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9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10.xml" ContentType="application/vnd.openxmlformats-officedocument.drawing+xml"/>
  <Override PartName="/xl/charts/chart11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harts/chart14.xml" ContentType="application/vnd.openxmlformats-officedocument.drawingml.chart+xml"/>
  <Override PartName="/xl/drawings/drawing17.xml" ContentType="application/vnd.openxmlformats-officedocument.drawingml.chartshapes+xml"/>
  <Override PartName="/xl/drawings/drawing18.xml" ContentType="application/vnd.openxmlformats-officedocument.drawing+xml"/>
  <Override PartName="/xl/charts/chart15.xml" ContentType="application/vnd.openxmlformats-officedocument.drawingml.chart+xml"/>
  <Override PartName="/xl/drawings/drawing19.xml" ContentType="application/vnd.openxmlformats-officedocument.drawingml.chartshapes+xml"/>
  <Override PartName="/xl/drawings/drawing20.xml" ContentType="application/vnd.openxmlformats-officedocument.drawing+xml"/>
  <Override PartName="/xl/charts/chart16.xml" ContentType="application/vnd.openxmlformats-officedocument.drawingml.chart+xml"/>
  <Override PartName="/xl/drawings/drawing21.xml" ContentType="application/vnd.openxmlformats-officedocument.drawingml.chartshapes+xml"/>
  <Override PartName="/xl/drawings/drawing22.xml" ContentType="application/vnd.openxmlformats-officedocument.drawing+xml"/>
  <Override PartName="/xl/charts/chart17.xml" ContentType="application/vnd.openxmlformats-officedocument.drawingml.chart+xml"/>
  <Override PartName="/xl/drawings/drawing23.xml" ContentType="application/vnd.openxmlformats-officedocument.drawingml.chartshapes+xml"/>
  <Override PartName="/xl/drawings/drawing24.xml" ContentType="application/vnd.openxmlformats-officedocument.drawing+xml"/>
  <Override PartName="/xl/charts/chart18.xml" ContentType="application/vnd.openxmlformats-officedocument.drawingml.chart+xml"/>
  <Override PartName="/xl/drawings/drawing25.xml" ContentType="application/vnd.openxmlformats-officedocument.drawingml.chartshapes+xml"/>
  <Override PartName="/xl/drawings/drawing2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Y:\Departamento\Gestión de la Información\Publicaciones e Informes\Mensual\Boletín&amp;Consejo\BOLETIN ELECTRONICO\2024\MAR\INF_ELABORADA\"/>
    </mc:Choice>
  </mc:AlternateContent>
  <xr:revisionPtr revIDLastSave="0" documentId="13_ncr:1_{AB4F6394-D362-4D35-95DD-DF52F2CB2559}" xr6:coauthVersionLast="47" xr6:coauthVersionMax="47" xr10:uidLastSave="{00000000-0000-0000-0000-000000000000}"/>
  <bookViews>
    <workbookView xWindow="-28920" yWindow="-120" windowWidth="29040" windowHeight="15840" tabRatio="749" xr2:uid="{39F6C391-F3F6-4833-92C2-75411310EE15}"/>
  </bookViews>
  <sheets>
    <sheet name="Indice" sheetId="40" r:id="rId1"/>
    <sheet name="Mozart Reports" sheetId="45" state="veryHidden" r:id="rId2"/>
    <sheet name="P1" sheetId="6" r:id="rId3"/>
    <sheet name="P2" sheetId="29" r:id="rId4"/>
    <sheet name="P3" sheetId="11" r:id="rId5"/>
    <sheet name="P4" sheetId="10" r:id="rId6"/>
    <sheet name="P5" sheetId="13" r:id="rId7"/>
    <sheet name="P6" sheetId="30" r:id="rId8"/>
    <sheet name="P7" sheetId="31" r:id="rId9"/>
    <sheet name="P8" sheetId="14" r:id="rId10"/>
    <sheet name="P9" sheetId="15" r:id="rId11"/>
    <sheet name="P10" sheetId="58" r:id="rId12"/>
    <sheet name="P11" sheetId="61" r:id="rId13"/>
    <sheet name="P12" sheetId="62" r:id="rId14"/>
    <sheet name="P13" sheetId="63" r:id="rId15"/>
    <sheet name="P14_old" sheetId="57" state="hidden" r:id="rId16"/>
    <sheet name="P14" sheetId="64" r:id="rId17"/>
    <sheet name="P15_OLD" sheetId="21" state="hidden" r:id="rId18"/>
    <sheet name="P15" sheetId="65" r:id="rId19"/>
    <sheet name="P16" sheetId="23" r:id="rId20"/>
    <sheet name="Data 1" sheetId="48" state="hidden" r:id="rId21"/>
    <sheet name="Dat_01" sheetId="44" r:id="rId22"/>
    <sheet name="Dat_02" sheetId="47" r:id="rId23"/>
    <sheet name="Data 2" sheetId="49" state="hidden" r:id="rId24"/>
    <sheet name="Data 3" sheetId="43" r:id="rId25"/>
    <sheet name="Data 4" sheetId="59" r:id="rId26"/>
    <sheet name="Data 5" sheetId="60" r:id="rId27"/>
  </sheets>
  <definedNames>
    <definedName name="_xlnm._FilterDatabase" localSheetId="25" hidden="1">'Data 4'!$B$1:$H$487</definedName>
    <definedName name="_xlnm.Print_Area" localSheetId="11">#REF!</definedName>
    <definedName name="_xlnm.Print_Area" localSheetId="14">#REF!</definedName>
    <definedName name="_xlnm.Print_Area" localSheetId="16">#REF!</definedName>
    <definedName name="_xlnm.Print_Area" localSheetId="15">#REF!</definedName>
    <definedName name="_xlnm.Print_Area" localSheetId="18">#REF!</definedName>
    <definedName name="_xlnm.Print_Area">#REF!</definedName>
    <definedName name="_xlnm.Database" localSheetId="11">#REF!</definedName>
    <definedName name="_xlnm.Database" localSheetId="14">#REF!</definedName>
    <definedName name="_xlnm.Database" localSheetId="16">#REF!</definedName>
    <definedName name="_xlnm.Database" localSheetId="15">#REF!</definedName>
    <definedName name="_xlnm.Database" localSheetId="18">#REF!</definedName>
    <definedName name="_xlnm.Database">#REF!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>#REF!</definedName>
    <definedName name="CCCCV" localSheetId="11">#REF!</definedName>
    <definedName name="CCCCV" localSheetId="14">#REF!</definedName>
    <definedName name="CCCCV" localSheetId="16">#REF!</definedName>
    <definedName name="CCCCV" localSheetId="15">#REF!</definedName>
    <definedName name="CCCCV" localSheetId="18">#REF!</definedName>
    <definedName name="CCCCV">#REF!</definedName>
    <definedName name="CUADRO_ANTERIOR">#REF!</definedName>
    <definedName name="cuadro_anterior_jcol">#N/A</definedName>
    <definedName name="CUADRO_PROXIMO">#REF!</definedName>
    <definedName name="cuadro_proximo_jcol">#N/A</definedName>
    <definedName name="DATOS" localSheetId="11">#REF!</definedName>
    <definedName name="DATOS" localSheetId="14">#REF!</definedName>
    <definedName name="DATOS" localSheetId="16">#REF!</definedName>
    <definedName name="DATOS" localSheetId="15">#REF!</definedName>
    <definedName name="DATOS" localSheetId="18">#REF!</definedName>
    <definedName name="DATOS">#REF!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#REF!</definedName>
    <definedName name="Eol_Dia" localSheetId="11">OFFSET(#REF!,0,0,COUNT(#REF!),1)</definedName>
    <definedName name="Eol_Dia" localSheetId="14">OFFSET(#REF!,0,0,COUNT(#REF!),1)</definedName>
    <definedName name="Eol_Dia">OFFSET(Dat_01!$W$180,0,0,COUNT(Dat_01!$W$180:$W$211),1)</definedName>
    <definedName name="Eol_Fechas" localSheetId="11">OFFSET(#REF!,0,0,COUNT(#REF!),1)</definedName>
    <definedName name="Eol_Fechas" localSheetId="14">OFFSET(#REF!,0,0,COUNT(#REF!),1)</definedName>
    <definedName name="Eol_Fechas">OFFSET(Dat_01!$A$180,0,0,COUNT(Dat_01!$A$180:$A$211),1)</definedName>
    <definedName name="Eol_Porcentaje" localSheetId="11">OFFSET(#REF!,0,0,COUNT(#REF!),1)</definedName>
    <definedName name="Eol_Porcentaje" localSheetId="14">OFFSET(#REF!,0,0,COUNT(#REF!),1)</definedName>
    <definedName name="Eol_Porcentaje">OFFSET(Dat_01!$V$180,0,0,COUNT(Dat_01!$V$180:$V$211),1)</definedName>
    <definedName name="Fecha">#REF!</definedName>
    <definedName name="FINALIZAR">#REF!</definedName>
    <definedName name="finalizar_jcol">#N/A</definedName>
    <definedName name="fl">#N/A</definedName>
    <definedName name="H_Eol" localSheetId="11">OFFSET(#REF!,0,0,COUNT(#REF!),1)</definedName>
    <definedName name="H_Eol" localSheetId="14">OFFSET(#REF!,0,0,COUNT(#REF!),1)</definedName>
    <definedName name="H_Eol">OFFSET(Dat_01!$K$220,0,0,COUNT(Dat_01!$I$220:$I$245),1)</definedName>
    <definedName name="H_Gen" localSheetId="11">OFFSET(#REF!,0,0,COUNT(#REF!),1)</definedName>
    <definedName name="H_Gen" localSheetId="14">OFFSET(#REF!,0,0,COUNT(#REF!),1)</definedName>
    <definedName name="H_Gen">OFFSET(Dat_01!$R$220,0,0,COUNT(Dat_01!$P$220:$P$245),1)</definedName>
    <definedName name="H_Porcentaje" localSheetId="11">OFFSET(#REF!,0,0,COUNT(#REF!),1)</definedName>
    <definedName name="H_Porcentaje" localSheetId="14">OFFSET(#REF!,0,0,COUNT(#REF!),1)</definedName>
    <definedName name="H_Porcentaje">OFFSET(Dat_01!$V$220,0,0,COUNT(Dat_01!$V$220:$V$245),1)</definedName>
    <definedName name="hola">#N/A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>#REF!</definedName>
    <definedName name="impresion_jcol">#N/A</definedName>
    <definedName name="jkhjklhjkhjkl">#N/A</definedName>
    <definedName name="MSTR.Balance_B.C._Mensual_Sistema_eléctrico" localSheetId="11">#REF!</definedName>
    <definedName name="MSTR.Balance_B.C._Mensual_Sistema_eléctrico" localSheetId="14">#REF!</definedName>
    <definedName name="MSTR.Balance_B.C._Mensual_Sistema_eléctrico">#REF!</definedName>
    <definedName name="MSTR.BANDA_PARA_CONSEJO_PROCESOS" localSheetId="11">#REF!</definedName>
    <definedName name="MSTR.BANDA_PARA_CONSEJO_PROCESOS" localSheetId="14">#REF!</definedName>
    <definedName name="MSTR.BANDA_PARA_CONSEJO_PROCESOS" localSheetId="16">#REF!</definedName>
    <definedName name="MSTR.BANDA_PARA_CONSEJO_PROCESOS" localSheetId="15">#REF!</definedName>
    <definedName name="MSTR.BANDA_PARA_CONSEJO_PROCESOS" localSheetId="18">#REF!</definedName>
    <definedName name="MSTR.BANDA_PARA_CONSEJO_PROCESOS">#REF!</definedName>
    <definedName name="MSTR.BANDA_PARA_CONSEJO_PROCESOS1" localSheetId="11">#REF!</definedName>
    <definedName name="MSTR.BANDA_PARA_CONSEJO_PROCESOS1" localSheetId="14">#REF!</definedName>
    <definedName name="MSTR.BANDA_PARA_CONSEJO_PROCESOS1" localSheetId="16">#REF!</definedName>
    <definedName name="MSTR.BANDA_PARA_CONSEJO_PROCESOS1" localSheetId="15">#REF!</definedName>
    <definedName name="MSTR.BANDA_PARA_CONSEJO_PROCESOS1" localSheetId="18">#REF!</definedName>
    <definedName name="MSTR.BANDA_PARA_CONSEJO_PROCESOS1">#REF!</definedName>
    <definedName name="MSTR.BANDA_PARA_CONSEJO_PROCESOS10" localSheetId="11">#REF!</definedName>
    <definedName name="MSTR.BANDA_PARA_CONSEJO_PROCESOS10" localSheetId="14">#REF!</definedName>
    <definedName name="MSTR.BANDA_PARA_CONSEJO_PROCESOS10" localSheetId="16">#REF!</definedName>
    <definedName name="MSTR.BANDA_PARA_CONSEJO_PROCESOS10" localSheetId="15">#REF!</definedName>
    <definedName name="MSTR.BANDA_PARA_CONSEJO_PROCESOS10" localSheetId="18">#REF!</definedName>
    <definedName name="MSTR.BANDA_PARA_CONSEJO_PROCESOS10">#REF!</definedName>
    <definedName name="MSTR.BANDA_PARA_CONSEJO_PROCESOS2" localSheetId="11">#REF!</definedName>
    <definedName name="MSTR.BANDA_PARA_CONSEJO_PROCESOS2" localSheetId="14">#REF!</definedName>
    <definedName name="MSTR.BANDA_PARA_CONSEJO_PROCESOS2" localSheetId="16">#REF!</definedName>
    <definedName name="MSTR.BANDA_PARA_CONSEJO_PROCESOS2" localSheetId="15">#REF!</definedName>
    <definedName name="MSTR.BANDA_PARA_CONSEJO_PROCESOS2" localSheetId="18">#REF!</definedName>
    <definedName name="MSTR.BANDA_PARA_CONSEJO_PROCESOS2">#REF!</definedName>
    <definedName name="MSTR.BANDA_PARA_CONSEJO_PROCESOS3" localSheetId="11">#REF!</definedName>
    <definedName name="MSTR.BANDA_PARA_CONSEJO_PROCESOS3" localSheetId="14">#REF!</definedName>
    <definedName name="MSTR.BANDA_PARA_CONSEJO_PROCESOS3" localSheetId="16">#REF!</definedName>
    <definedName name="MSTR.BANDA_PARA_CONSEJO_PROCESOS3" localSheetId="15">#REF!</definedName>
    <definedName name="MSTR.BANDA_PARA_CONSEJO_PROCESOS3" localSheetId="18">#REF!</definedName>
    <definedName name="MSTR.BANDA_PARA_CONSEJO_PROCESOS3">#REF!</definedName>
    <definedName name="MSTR.BANDA_PARA_CONSEJO_PROCESOS4" localSheetId="11">#REF!</definedName>
    <definedName name="MSTR.BANDA_PARA_CONSEJO_PROCESOS4" localSheetId="14">#REF!</definedName>
    <definedName name="MSTR.BANDA_PARA_CONSEJO_PROCESOS4" localSheetId="16">#REF!</definedName>
    <definedName name="MSTR.BANDA_PARA_CONSEJO_PROCESOS4" localSheetId="15">#REF!</definedName>
    <definedName name="MSTR.BANDA_PARA_CONSEJO_PROCESOS4" localSheetId="18">#REF!</definedName>
    <definedName name="MSTR.BANDA_PARA_CONSEJO_PROCESOS4">#REF!</definedName>
    <definedName name="MSTR.BANDA_PARA_CONSEJO_PROCESOS5" localSheetId="11">#REF!</definedName>
    <definedName name="MSTR.BANDA_PARA_CONSEJO_PROCESOS5" localSheetId="14">#REF!</definedName>
    <definedName name="MSTR.BANDA_PARA_CONSEJO_PROCESOS5" localSheetId="16">#REF!</definedName>
    <definedName name="MSTR.BANDA_PARA_CONSEJO_PROCESOS5" localSheetId="15">#REF!</definedName>
    <definedName name="MSTR.BANDA_PARA_CONSEJO_PROCESOS5" localSheetId="18">#REF!</definedName>
    <definedName name="MSTR.BANDA_PARA_CONSEJO_PROCESOS5">#REF!</definedName>
    <definedName name="MSTR.BANDA_PARA_CONSEJO_PROCESOS6" localSheetId="11">#REF!</definedName>
    <definedName name="MSTR.BANDA_PARA_CONSEJO_PROCESOS6" localSheetId="14">#REF!</definedName>
    <definedName name="MSTR.BANDA_PARA_CONSEJO_PROCESOS6" localSheetId="16">#REF!</definedName>
    <definedName name="MSTR.BANDA_PARA_CONSEJO_PROCESOS6" localSheetId="15">#REF!</definedName>
    <definedName name="MSTR.BANDA_PARA_CONSEJO_PROCESOS6" localSheetId="18">#REF!</definedName>
    <definedName name="MSTR.BANDA_PARA_CONSEJO_PROCESOS6">#REF!</definedName>
    <definedName name="MSTR.BANDA_PARA_CONSEJO_PROCESOS7" localSheetId="11">#REF!</definedName>
    <definedName name="MSTR.BANDA_PARA_CONSEJO_PROCESOS7" localSheetId="14">#REF!</definedName>
    <definedName name="MSTR.BANDA_PARA_CONSEJO_PROCESOS7" localSheetId="16">#REF!</definedName>
    <definedName name="MSTR.BANDA_PARA_CONSEJO_PROCESOS7" localSheetId="15">#REF!</definedName>
    <definedName name="MSTR.BANDA_PARA_CONSEJO_PROCESOS7" localSheetId="18">#REF!</definedName>
    <definedName name="MSTR.BANDA_PARA_CONSEJO_PROCESOS7">#REF!</definedName>
    <definedName name="MSTR.BANDA_PARA_CONSEJO_PROCESOS8" localSheetId="11">#REF!</definedName>
    <definedName name="MSTR.BANDA_PARA_CONSEJO_PROCESOS8" localSheetId="14">#REF!</definedName>
    <definedName name="MSTR.BANDA_PARA_CONSEJO_PROCESOS8" localSheetId="16">#REF!</definedName>
    <definedName name="MSTR.BANDA_PARA_CONSEJO_PROCESOS8" localSheetId="15">#REF!</definedName>
    <definedName name="MSTR.BANDA_PARA_CONSEJO_PROCESOS8" localSheetId="18">#REF!</definedName>
    <definedName name="MSTR.BANDA_PARA_CONSEJO_PROCESOS8">#REF!</definedName>
    <definedName name="MSTR.BANDA_PARA_CONSEJO_PROCESOS9" localSheetId="11">#REF!</definedName>
    <definedName name="MSTR.BANDA_PARA_CONSEJO_PROCESOS9" localSheetId="14">#REF!</definedName>
    <definedName name="MSTR.BANDA_PARA_CONSEJO_PROCESOS9" localSheetId="16">#REF!</definedName>
    <definedName name="MSTR.BANDA_PARA_CONSEJO_PROCESOS9" localSheetId="15">#REF!</definedName>
    <definedName name="MSTR.BANDA_PARA_CONSEJO_PROCESOS9" localSheetId="18">#REF!</definedName>
    <definedName name="MSTR.BANDA_PARA_CONSEJO_PROCESOS9">#REF!</definedName>
    <definedName name="MSTR.Emisiones_CO2" localSheetId="11">#REF!</definedName>
    <definedName name="MSTR.Emisiones_CO2" localSheetId="14">#REF!</definedName>
    <definedName name="MSTR.Emisiones_CO2">#REF!</definedName>
    <definedName name="MSTR.Eolica_diaria_Balance">#REF!</definedName>
    <definedName name="MSTR.Liquidación_por_Segmentos" localSheetId="11">#REF!</definedName>
    <definedName name="MSTR.Liquidación_por_Segmentos" localSheetId="14">#REF!</definedName>
    <definedName name="MSTR.Liquidación_por_Segmentos" localSheetId="16">#REF!</definedName>
    <definedName name="MSTR.Liquidación_por_Segmentos" localSheetId="15">#REF!</definedName>
    <definedName name="MSTR.Liquidación_por_Segmentos" localSheetId="18">#REF!</definedName>
    <definedName name="MSTR.Liquidación_por_Segmentos">#REF!</definedName>
    <definedName name="MSTR.Liquidación_por_Segmentos1" localSheetId="11">#REF!</definedName>
    <definedName name="MSTR.Liquidación_por_Segmentos1" localSheetId="14">#REF!</definedName>
    <definedName name="MSTR.Liquidación_por_Segmentos1" localSheetId="16">#REF!</definedName>
    <definedName name="MSTR.Liquidación_por_Segmentos1" localSheetId="15">#REF!</definedName>
    <definedName name="MSTR.Liquidación_por_Segmentos1" localSheetId="18">#REF!</definedName>
    <definedName name="MSTR.Liquidación_por_Segmentos1">#REF!</definedName>
    <definedName name="MSTR.Liquidación_por_Segmentos10" localSheetId="11">#REF!</definedName>
    <definedName name="MSTR.Liquidación_por_Segmentos10" localSheetId="14">#REF!</definedName>
    <definedName name="MSTR.Liquidación_por_Segmentos10" localSheetId="16">#REF!</definedName>
    <definedName name="MSTR.Liquidación_por_Segmentos10" localSheetId="15">#REF!</definedName>
    <definedName name="MSTR.Liquidación_por_Segmentos10" localSheetId="18">#REF!</definedName>
    <definedName name="MSTR.Liquidación_por_Segmentos10">#REF!</definedName>
    <definedName name="MSTR.Liquidación_por_Segmentos11" localSheetId="11">#REF!</definedName>
    <definedName name="MSTR.Liquidación_por_Segmentos11" localSheetId="14">#REF!</definedName>
    <definedName name="MSTR.Liquidación_por_Segmentos11" localSheetId="16">#REF!</definedName>
    <definedName name="MSTR.Liquidación_por_Segmentos11" localSheetId="15">#REF!</definedName>
    <definedName name="MSTR.Liquidación_por_Segmentos11" localSheetId="18">#REF!</definedName>
    <definedName name="MSTR.Liquidación_por_Segmentos11">#REF!</definedName>
    <definedName name="MSTR.Liquidación_por_Segmentos2" localSheetId="11">#REF!</definedName>
    <definedName name="MSTR.Liquidación_por_Segmentos2" localSheetId="14">#REF!</definedName>
    <definedName name="MSTR.Liquidación_por_Segmentos2" localSheetId="16">#REF!</definedName>
    <definedName name="MSTR.Liquidación_por_Segmentos2" localSheetId="15">#REF!</definedName>
    <definedName name="MSTR.Liquidación_por_Segmentos2" localSheetId="18">#REF!</definedName>
    <definedName name="MSTR.Liquidación_por_Segmentos2">#REF!</definedName>
    <definedName name="MSTR.Liquidación_por_Segmentos3" localSheetId="11">#REF!</definedName>
    <definedName name="MSTR.Liquidación_por_Segmentos3" localSheetId="14">#REF!</definedName>
    <definedName name="MSTR.Liquidación_por_Segmentos3" localSheetId="16">#REF!</definedName>
    <definedName name="MSTR.Liquidación_por_Segmentos3" localSheetId="15">#REF!</definedName>
    <definedName name="MSTR.Liquidación_por_Segmentos3" localSheetId="18">#REF!</definedName>
    <definedName name="MSTR.Liquidación_por_Segmentos3">#REF!</definedName>
    <definedName name="MSTR.Liquidación_por_Segmentos4" localSheetId="11">#REF!</definedName>
    <definedName name="MSTR.Liquidación_por_Segmentos4" localSheetId="14">#REF!</definedName>
    <definedName name="MSTR.Liquidación_por_Segmentos4" localSheetId="16">#REF!</definedName>
    <definedName name="MSTR.Liquidación_por_Segmentos4" localSheetId="15">#REF!</definedName>
    <definedName name="MSTR.Liquidación_por_Segmentos4" localSheetId="18">#REF!</definedName>
    <definedName name="MSTR.Liquidación_por_Segmentos4">#REF!</definedName>
    <definedName name="MSTR.Liquidación_por_Segmentos5" localSheetId="11">#REF!</definedName>
    <definedName name="MSTR.Liquidación_por_Segmentos5" localSheetId="14">#REF!</definedName>
    <definedName name="MSTR.Liquidación_por_Segmentos5" localSheetId="16">#REF!</definedName>
    <definedName name="MSTR.Liquidación_por_Segmentos5" localSheetId="15">#REF!</definedName>
    <definedName name="MSTR.Liquidación_por_Segmentos5" localSheetId="18">#REF!</definedName>
    <definedName name="MSTR.Liquidación_por_Segmentos5">#REF!</definedName>
    <definedName name="MSTR.Liquidación_por_Segmentos6" localSheetId="11">#REF!</definedName>
    <definedName name="MSTR.Liquidación_por_Segmentos6" localSheetId="14">#REF!</definedName>
    <definedName name="MSTR.Liquidación_por_Segmentos6" localSheetId="16">#REF!</definedName>
    <definedName name="MSTR.Liquidación_por_Segmentos6" localSheetId="15">#REF!</definedName>
    <definedName name="MSTR.Liquidación_por_Segmentos6" localSheetId="18">#REF!</definedName>
    <definedName name="MSTR.Liquidación_por_Segmentos6">#REF!</definedName>
    <definedName name="MSTR.Liquidación_por_Segmentos7" localSheetId="11">#REF!</definedName>
    <definedName name="MSTR.Liquidación_por_Segmentos7" localSheetId="14">#REF!</definedName>
    <definedName name="MSTR.Liquidación_por_Segmentos7" localSheetId="16">#REF!</definedName>
    <definedName name="MSTR.Liquidación_por_Segmentos7" localSheetId="15">#REF!</definedName>
    <definedName name="MSTR.Liquidación_por_Segmentos7" localSheetId="18">#REF!</definedName>
    <definedName name="MSTR.Liquidación_por_Segmentos7">#REF!</definedName>
    <definedName name="MSTR.Liquidación_por_Segmentos8" localSheetId="11">#REF!</definedName>
    <definedName name="MSTR.Liquidación_por_Segmentos8" localSheetId="14">#REF!</definedName>
    <definedName name="MSTR.Liquidación_por_Segmentos8" localSheetId="16">#REF!</definedName>
    <definedName name="MSTR.Liquidación_por_Segmentos8" localSheetId="15">#REF!</definedName>
    <definedName name="MSTR.Liquidación_por_Segmentos8" localSheetId="18">#REF!</definedName>
    <definedName name="MSTR.Liquidación_por_Segmentos8">#REF!</definedName>
    <definedName name="MSTR.Liquidación_por_Segmentos9" localSheetId="11">#REF!</definedName>
    <definedName name="MSTR.Liquidación_por_Segmentos9" localSheetId="14">#REF!</definedName>
    <definedName name="MSTR.Liquidación_por_Segmentos9" localSheetId="16">#REF!</definedName>
    <definedName name="MSTR.Liquidación_por_Segmentos9" localSheetId="15">#REF!</definedName>
    <definedName name="MSTR.Liquidación_por_Segmentos9" localSheetId="18">#REF!</definedName>
    <definedName name="MSTR.Liquidación_por_Segmentos9">#REF!</definedName>
    <definedName name="MSTR.Potencia_instalada">#REF!</definedName>
    <definedName name="MSTR.Serie_Balance_Nuevo_Energía_Eléctrica_Mensual.1" localSheetId="11">#REF!</definedName>
    <definedName name="MSTR.Serie_Balance_Nuevo_Energía_Eléctrica_Mensual.1" localSheetId="14">#REF!</definedName>
    <definedName name="MSTR.Serie_Balance_Nuevo_Energía_Eléctrica_Mensual.1" localSheetId="16">#REF!</definedName>
    <definedName name="MSTR.Serie_Balance_Nuevo_Energía_Eléctrica_Mensual.1" localSheetId="15">#REF!</definedName>
    <definedName name="MSTR.Serie_Balance_Nuevo_Energía_Eléctrica_Mensual.1" localSheetId="18">#REF!</definedName>
    <definedName name="MSTR.Serie_Balance_Nuevo_Energía_Eléctrica_Mensual.1">#REF!</definedName>
    <definedName name="MSTR.Serie_Balance_Nuevo_Energía_Eléctrica_Mes_Baleares" localSheetId="11">#REF!</definedName>
    <definedName name="MSTR.Serie_Balance_Nuevo_Energía_Eléctrica_Mes_Baleares" localSheetId="14">#REF!</definedName>
    <definedName name="MSTR.Serie_Balance_Nuevo_Energía_Eléctrica_Mes_Baleares" localSheetId="16">#REF!</definedName>
    <definedName name="MSTR.Serie_Balance_Nuevo_Energía_Eléctrica_Mes_Baleares" localSheetId="15">#REF!</definedName>
    <definedName name="MSTR.Serie_Balance_Nuevo_Energía_Eléctrica_Mes_Baleares" localSheetId="18">#REF!</definedName>
    <definedName name="MSTR.Serie_Balance_Nuevo_Energía_Eléctrica_Mes_Baleares">#REF!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>#REF!</definedName>
    <definedName name="nnnn">#REF!</definedName>
    <definedName name="nu">#REF!</definedName>
    <definedName name="nuevo">#N/A</definedName>
    <definedName name="PRINCIPAL">#REF!</definedName>
    <definedName name="principal_jcol">#N/A</definedName>
    <definedName name="Prod" localSheetId="11">OFFSET(#REF!,0,0,COUNT(#REF!),1)</definedName>
    <definedName name="Prod" localSheetId="14">OFFSET(#REF!,0,0,COUNT(#REF!),1)</definedName>
    <definedName name="Prod">OFFSET(Dat_02!$E$3,0,0,COUNT(Dat_02!$E$3:$E$500),1)</definedName>
    <definedName name="Prod_Dia" localSheetId="11">OFFSET(#REF!,0,0,COUNT(#REF!),1)</definedName>
    <definedName name="Prod_Dia" localSheetId="14">OFFSET(#REF!,0,0,COUNT(#REF!),1)</definedName>
    <definedName name="Prod_Dia">OFFSET(Dat_02!$C$3,0,0,COUNT(Dat_02!$C$3:$C$500),1)</definedName>
    <definedName name="Prod_Inter" localSheetId="11">OFFSET(#REF!,0,0,COUNT(#REF!),1)</definedName>
    <definedName name="Prod_Inter" localSheetId="14">OFFSET(#REF!,0,0,COUNT(#REF!),1)</definedName>
    <definedName name="Prod_Inter" localSheetId="15">OFFSET(Dat_02!$H$3,0,0,COUNT(Dat_02!#REF!),1)</definedName>
    <definedName name="Prod_Inter">OFFSET(Dat_02!$H$3,0,0,COUNT(Dat_02!#REF!),1)</definedName>
    <definedName name="Prod_Med" localSheetId="11">OFFSET(#REF!,0,0,COUNT(#REF!),1)</definedName>
    <definedName name="Prod_Med" localSheetId="14">OFFSET(#REF!,0,0,COUNT(#REF!),1)</definedName>
    <definedName name="Prod_Med">OFFSET(Dat_02!$D$3,0,0,COUNT(Dat_02!$D$3:$D$500),1)</definedName>
    <definedName name="rosa">#REF!</definedName>
    <definedName name="rosa2">#REF!</definedName>
    <definedName name="v">#N/A</definedName>
    <definedName name="VV">#REF!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>#REF!</definedName>
    <definedName name="XX">#REF!</definedName>
    <definedName name="xxx">#REF!</definedName>
    <definedName name="XXXX" localSheetId="11">Dat_01!$A$248:$O$261</definedName>
    <definedName name="XXXX" localSheetId="14">Dat_01!$A$248:$O$262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54" i="43" l="1"/>
  <c r="J55" i="43"/>
  <c r="O158" i="44"/>
  <c r="C82" i="44" l="1"/>
  <c r="F70" i="43"/>
  <c r="I55" i="43"/>
  <c r="E763" i="47" l="1"/>
  <c r="E764" i="47"/>
  <c r="E762" i="47"/>
  <c r="A761" i="60" l="1"/>
  <c r="A762" i="60"/>
  <c r="A763" i="60" s="1"/>
  <c r="E761" i="60" l="1"/>
  <c r="E763" i="60" l="1"/>
  <c r="E762" i="60" l="1"/>
  <c r="A761" i="59"/>
  <c r="A762" i="59"/>
  <c r="A763" i="59" s="1"/>
  <c r="E762" i="59" l="1"/>
  <c r="E761" i="59" l="1"/>
  <c r="E763" i="59"/>
  <c r="Q262" i="44" l="1"/>
  <c r="V180" i="44" l="1"/>
  <c r="V221" i="44" l="1"/>
  <c r="V222" i="44"/>
  <c r="V223" i="44"/>
  <c r="V224" i="44"/>
  <c r="V225" i="44"/>
  <c r="V226" i="44"/>
  <c r="V227" i="44"/>
  <c r="V228" i="44"/>
  <c r="V229" i="44"/>
  <c r="V230" i="44"/>
  <c r="V231" i="44"/>
  <c r="V232" i="44"/>
  <c r="V233" i="44"/>
  <c r="V234" i="44"/>
  <c r="V235" i="44"/>
  <c r="V236" i="44"/>
  <c r="V237" i="44"/>
  <c r="V238" i="44"/>
  <c r="V239" i="44"/>
  <c r="V240" i="44"/>
  <c r="V241" i="44"/>
  <c r="V242" i="44"/>
  <c r="V243" i="44"/>
  <c r="V220" i="44" l="1"/>
  <c r="Y181" i="44"/>
  <c r="Y182" i="44"/>
  <c r="Y183" i="44"/>
  <c r="Y184" i="44"/>
  <c r="Y185" i="44"/>
  <c r="Y186" i="44"/>
  <c r="Y187" i="44"/>
  <c r="Y188" i="44"/>
  <c r="Y189" i="44"/>
  <c r="Y190" i="44"/>
  <c r="Y191" i="44"/>
  <c r="Y192" i="44"/>
  <c r="Y193" i="44"/>
  <c r="Y194" i="44"/>
  <c r="Y195" i="44"/>
  <c r="Y196" i="44"/>
  <c r="Y197" i="44"/>
  <c r="Y198" i="44"/>
  <c r="Y199" i="44"/>
  <c r="Y200" i="44"/>
  <c r="Y201" i="44"/>
  <c r="Y202" i="44"/>
  <c r="Y203" i="44"/>
  <c r="Y204" i="44"/>
  <c r="Y205" i="44"/>
  <c r="Y206" i="44"/>
  <c r="Y207" i="44"/>
  <c r="Y208" i="44"/>
  <c r="Y209" i="44"/>
  <c r="Y210" i="44"/>
  <c r="Y180" i="44"/>
  <c r="X181" i="44"/>
  <c r="X182" i="44"/>
  <c r="X183" i="44"/>
  <c r="X184" i="44"/>
  <c r="X185" i="44"/>
  <c r="X186" i="44"/>
  <c r="X187" i="44"/>
  <c r="X188" i="44"/>
  <c r="X189" i="44"/>
  <c r="X190" i="44"/>
  <c r="X191" i="44"/>
  <c r="X192" i="44"/>
  <c r="X193" i="44"/>
  <c r="X194" i="44"/>
  <c r="X195" i="44"/>
  <c r="X196" i="44"/>
  <c r="X197" i="44"/>
  <c r="X198" i="44"/>
  <c r="X199" i="44"/>
  <c r="X200" i="44"/>
  <c r="X201" i="44"/>
  <c r="X202" i="44"/>
  <c r="X203" i="44"/>
  <c r="X204" i="44"/>
  <c r="X205" i="44"/>
  <c r="X206" i="44"/>
  <c r="X207" i="44"/>
  <c r="X208" i="44"/>
  <c r="X209" i="44"/>
  <c r="X210" i="44"/>
  <c r="X180" i="44"/>
  <c r="W181" i="44"/>
  <c r="W182" i="44"/>
  <c r="W183" i="44"/>
  <c r="W184" i="44"/>
  <c r="W185" i="44"/>
  <c r="W186" i="44"/>
  <c r="W187" i="44"/>
  <c r="W188" i="44"/>
  <c r="W189" i="44"/>
  <c r="W190" i="44"/>
  <c r="W191" i="44"/>
  <c r="W192" i="44"/>
  <c r="W193" i="44"/>
  <c r="W194" i="44"/>
  <c r="W195" i="44"/>
  <c r="W196" i="44"/>
  <c r="W197" i="44"/>
  <c r="W198" i="44"/>
  <c r="W199" i="44"/>
  <c r="W200" i="44"/>
  <c r="W201" i="44"/>
  <c r="W202" i="44"/>
  <c r="W203" i="44"/>
  <c r="W204" i="44"/>
  <c r="W205" i="44"/>
  <c r="W206" i="44"/>
  <c r="W207" i="44"/>
  <c r="W208" i="44"/>
  <c r="W209" i="44"/>
  <c r="W210" i="44"/>
  <c r="W180" i="44"/>
  <c r="V181" i="44"/>
  <c r="V182" i="44"/>
  <c r="V183" i="44"/>
  <c r="V184" i="44"/>
  <c r="V185" i="44"/>
  <c r="V186" i="44"/>
  <c r="V187" i="44"/>
  <c r="V188" i="44"/>
  <c r="V189" i="44"/>
  <c r="V190" i="44"/>
  <c r="V191" i="44"/>
  <c r="V192" i="44"/>
  <c r="V193" i="44"/>
  <c r="V194" i="44"/>
  <c r="V195" i="44"/>
  <c r="V196" i="44"/>
  <c r="V197" i="44"/>
  <c r="V198" i="44"/>
  <c r="V199" i="44"/>
  <c r="V200" i="44"/>
  <c r="V201" i="44"/>
  <c r="V202" i="44"/>
  <c r="V203" i="44"/>
  <c r="V204" i="44"/>
  <c r="V205" i="44"/>
  <c r="V206" i="44"/>
  <c r="V207" i="44"/>
  <c r="V208" i="44"/>
  <c r="V209" i="44"/>
  <c r="V210" i="44"/>
  <c r="I54" i="43" l="1"/>
  <c r="G211" i="44" l="1"/>
  <c r="I53" i="43" l="1"/>
  <c r="H70" i="43"/>
  <c r="H211" i="44" l="1"/>
  <c r="V244" i="44" l="1"/>
  <c r="V245" i="44"/>
  <c r="V246" i="44"/>
  <c r="I211" i="44" l="1"/>
  <c r="I82" i="44" l="1"/>
  <c r="I750" i="49" l="1"/>
  <c r="I751" i="49"/>
  <c r="I752" i="49"/>
  <c r="I753" i="49"/>
  <c r="I754" i="49"/>
  <c r="I755" i="49"/>
  <c r="I756" i="49"/>
  <c r="I757" i="49"/>
  <c r="I758" i="49"/>
  <c r="I759" i="49"/>
  <c r="I760" i="49"/>
  <c r="I761" i="49"/>
  <c r="I762" i="49"/>
  <c r="I763" i="49"/>
  <c r="I399" i="49"/>
  <c r="I400" i="49"/>
  <c r="I401" i="49"/>
  <c r="I402" i="49"/>
  <c r="I403" i="49"/>
  <c r="I404" i="49"/>
  <c r="I405" i="49"/>
  <c r="I406" i="49"/>
  <c r="I407" i="49"/>
  <c r="I408" i="49"/>
  <c r="I409" i="49"/>
  <c r="I410" i="49"/>
  <c r="I412" i="49"/>
  <c r="I415" i="49"/>
  <c r="I416" i="49"/>
  <c r="I417" i="49"/>
  <c r="I418" i="49"/>
  <c r="I419" i="49"/>
  <c r="I420" i="49"/>
  <c r="I421" i="49"/>
  <c r="I422" i="49"/>
  <c r="I423" i="49"/>
  <c r="I424" i="49"/>
  <c r="I425" i="49"/>
  <c r="I426" i="49"/>
  <c r="I427" i="49"/>
  <c r="I428" i="49"/>
  <c r="I429" i="49"/>
  <c r="I430" i="49"/>
  <c r="I431" i="49"/>
  <c r="I432" i="49"/>
  <c r="I433" i="49"/>
  <c r="I434" i="49"/>
  <c r="I435" i="49"/>
  <c r="I436" i="49"/>
  <c r="I437" i="49"/>
  <c r="I438" i="49"/>
  <c r="I439" i="49"/>
  <c r="I440" i="49"/>
  <c r="I441" i="49"/>
  <c r="I443" i="49"/>
  <c r="I445" i="49"/>
  <c r="I446" i="49"/>
  <c r="I447" i="49"/>
  <c r="I448" i="49"/>
  <c r="I449" i="49"/>
  <c r="I450" i="49"/>
  <c r="I451" i="49"/>
  <c r="I452" i="49"/>
  <c r="I453" i="49"/>
  <c r="I454" i="49"/>
  <c r="I455" i="49"/>
  <c r="I456" i="49"/>
  <c r="I457" i="49"/>
  <c r="I458" i="49"/>
  <c r="I459" i="49"/>
  <c r="I460" i="49"/>
  <c r="I461" i="49"/>
  <c r="I462" i="49"/>
  <c r="I463" i="49"/>
  <c r="I464" i="49"/>
  <c r="I465" i="49"/>
  <c r="I466" i="49"/>
  <c r="I467" i="49"/>
  <c r="I468" i="49"/>
  <c r="I469" i="49"/>
  <c r="I470" i="49"/>
  <c r="I471" i="49"/>
  <c r="I476" i="49"/>
  <c r="I477" i="49"/>
  <c r="I478" i="49"/>
  <c r="I479" i="49"/>
  <c r="I480" i="49"/>
  <c r="I481" i="49"/>
  <c r="I482" i="49"/>
  <c r="I483" i="49"/>
  <c r="I484" i="49"/>
  <c r="I485" i="49"/>
  <c r="I486" i="49"/>
  <c r="I487" i="49"/>
  <c r="I488" i="49"/>
  <c r="I489" i="49"/>
  <c r="I490" i="49"/>
  <c r="I491" i="49"/>
  <c r="I492" i="49"/>
  <c r="I493" i="49"/>
  <c r="I494" i="49"/>
  <c r="I495" i="49"/>
  <c r="I496" i="49"/>
  <c r="I497" i="49"/>
  <c r="I498" i="49"/>
  <c r="I499" i="49"/>
  <c r="I500" i="49"/>
  <c r="I501" i="49"/>
  <c r="I502" i="49"/>
  <c r="I504" i="49"/>
  <c r="I507" i="49"/>
  <c r="I508" i="49"/>
  <c r="I509" i="49"/>
  <c r="I510" i="49"/>
  <c r="I511" i="49"/>
  <c r="I512" i="49"/>
  <c r="I513" i="49"/>
  <c r="I514" i="49"/>
  <c r="I515" i="49"/>
  <c r="I516" i="49"/>
  <c r="I517" i="49"/>
  <c r="I518" i="49"/>
  <c r="I519" i="49"/>
  <c r="I520" i="49"/>
  <c r="I521" i="49"/>
  <c r="I522" i="49"/>
  <c r="I523" i="49"/>
  <c r="I524" i="49"/>
  <c r="I525" i="49"/>
  <c r="I526" i="49"/>
  <c r="I527" i="49"/>
  <c r="I528" i="49"/>
  <c r="I529" i="49"/>
  <c r="I530" i="49"/>
  <c r="I531" i="49"/>
  <c r="I532" i="49"/>
  <c r="I535" i="49"/>
  <c r="I537" i="49"/>
  <c r="I538" i="49"/>
  <c r="I539" i="49"/>
  <c r="I540" i="49"/>
  <c r="I541" i="49"/>
  <c r="I542" i="49"/>
  <c r="I543" i="49"/>
  <c r="I544" i="49"/>
  <c r="I545" i="49"/>
  <c r="I546" i="49"/>
  <c r="I547" i="49"/>
  <c r="I548" i="49"/>
  <c r="I549" i="49"/>
  <c r="I550" i="49"/>
  <c r="I551" i="49"/>
  <c r="I552" i="49"/>
  <c r="I553" i="49"/>
  <c r="I554" i="49"/>
  <c r="I555" i="49"/>
  <c r="I556" i="49"/>
  <c r="I557" i="49"/>
  <c r="I558" i="49"/>
  <c r="I559" i="49"/>
  <c r="I560" i="49"/>
  <c r="I561" i="49"/>
  <c r="I562" i="49"/>
  <c r="I563" i="49"/>
  <c r="I566" i="49"/>
  <c r="I568" i="49"/>
  <c r="I569" i="49"/>
  <c r="I570" i="49"/>
  <c r="I571" i="49"/>
  <c r="I572" i="49"/>
  <c r="I573" i="49"/>
  <c r="I574" i="49"/>
  <c r="I575" i="49"/>
  <c r="I576" i="49"/>
  <c r="I577" i="49"/>
  <c r="I578" i="49"/>
  <c r="I579" i="49"/>
  <c r="I580" i="49"/>
  <c r="I581" i="49"/>
  <c r="I582" i="49"/>
  <c r="I583" i="49"/>
  <c r="I584" i="49"/>
  <c r="I585" i="49"/>
  <c r="I586" i="49"/>
  <c r="I587" i="49"/>
  <c r="I588" i="49"/>
  <c r="I589" i="49"/>
  <c r="I590" i="49"/>
  <c r="I591" i="49"/>
  <c r="I592" i="49"/>
  <c r="I593" i="49"/>
  <c r="I594" i="49"/>
  <c r="I596" i="49"/>
  <c r="I598" i="49"/>
  <c r="I599" i="49"/>
  <c r="I600" i="49"/>
  <c r="I601" i="49"/>
  <c r="I602" i="49"/>
  <c r="I603" i="49"/>
  <c r="I604" i="49"/>
  <c r="I605" i="49"/>
  <c r="I606" i="49"/>
  <c r="I607" i="49"/>
  <c r="I608" i="49"/>
  <c r="I609" i="49"/>
  <c r="I610" i="49"/>
  <c r="I611" i="49"/>
  <c r="I612" i="49"/>
  <c r="I613" i="49"/>
  <c r="I614" i="49"/>
  <c r="I615" i="49"/>
  <c r="I616" i="49"/>
  <c r="I617" i="49"/>
  <c r="I618" i="49"/>
  <c r="I619" i="49"/>
  <c r="I620" i="49"/>
  <c r="I621" i="49"/>
  <c r="I622" i="49"/>
  <c r="I623" i="49"/>
  <c r="I624" i="49"/>
  <c r="I627" i="49"/>
  <c r="I629" i="49"/>
  <c r="I630" i="49"/>
  <c r="I631" i="49"/>
  <c r="I632" i="49"/>
  <c r="I633" i="49"/>
  <c r="I634" i="49"/>
  <c r="I635" i="49"/>
  <c r="I636" i="49"/>
  <c r="I637" i="49"/>
  <c r="I638" i="49"/>
  <c r="I639" i="49"/>
  <c r="I640" i="49"/>
  <c r="I641" i="49"/>
  <c r="I642" i="49"/>
  <c r="I643" i="49"/>
  <c r="I644" i="49"/>
  <c r="I645" i="49"/>
  <c r="I646" i="49"/>
  <c r="I647" i="49"/>
  <c r="I648" i="49"/>
  <c r="I649" i="49"/>
  <c r="I650" i="49"/>
  <c r="I651" i="49"/>
  <c r="I652" i="49"/>
  <c r="I653" i="49"/>
  <c r="I654" i="49"/>
  <c r="I655" i="49"/>
  <c r="I657" i="49"/>
  <c r="I659" i="49"/>
  <c r="I660" i="49"/>
  <c r="I661" i="49"/>
  <c r="I662" i="49"/>
  <c r="I663" i="49"/>
  <c r="I664" i="49"/>
  <c r="I665" i="49"/>
  <c r="I666" i="49"/>
  <c r="I667" i="49"/>
  <c r="I668" i="49"/>
  <c r="I669" i="49"/>
  <c r="I670" i="49"/>
  <c r="I671" i="49"/>
  <c r="I672" i="49"/>
  <c r="I673" i="49"/>
  <c r="I674" i="49"/>
  <c r="I675" i="49"/>
  <c r="I676" i="49"/>
  <c r="I677" i="49"/>
  <c r="I678" i="49"/>
  <c r="I679" i="49"/>
  <c r="I680" i="49"/>
  <c r="I681" i="49"/>
  <c r="I682" i="49"/>
  <c r="I683" i="49"/>
  <c r="I684" i="49"/>
  <c r="I685" i="49"/>
  <c r="I688" i="49"/>
  <c r="I690" i="49"/>
  <c r="I691" i="49"/>
  <c r="I692" i="49"/>
  <c r="I693" i="49"/>
  <c r="I694" i="49"/>
  <c r="I695" i="49"/>
  <c r="I696" i="49"/>
  <c r="I697" i="49"/>
  <c r="I698" i="49"/>
  <c r="I699" i="49"/>
  <c r="I700" i="49"/>
  <c r="I701" i="49"/>
  <c r="I702" i="49"/>
  <c r="I703" i="49"/>
  <c r="I704" i="49"/>
  <c r="I705" i="49"/>
  <c r="I706" i="49"/>
  <c r="I707" i="49"/>
  <c r="I708" i="49"/>
  <c r="I709" i="49"/>
  <c r="I710" i="49"/>
  <c r="I711" i="49"/>
  <c r="I712" i="49"/>
  <c r="I713" i="49"/>
  <c r="I714" i="49"/>
  <c r="I715" i="49"/>
  <c r="I716" i="49"/>
  <c r="I719" i="49"/>
  <c r="I721" i="49"/>
  <c r="I722" i="49"/>
  <c r="I723" i="49"/>
  <c r="I724" i="49"/>
  <c r="I725" i="49"/>
  <c r="I726" i="49"/>
  <c r="I727" i="49"/>
  <c r="I728" i="49"/>
  <c r="I729" i="49"/>
  <c r="I730" i="49"/>
  <c r="I731" i="49"/>
  <c r="I732" i="49"/>
  <c r="I733" i="49"/>
  <c r="I734" i="49"/>
  <c r="I735" i="49"/>
  <c r="I736" i="49"/>
  <c r="I737" i="49"/>
  <c r="I738" i="49"/>
  <c r="I739" i="49"/>
  <c r="I740" i="49"/>
  <c r="I741" i="49"/>
  <c r="I742" i="49"/>
  <c r="I743" i="49"/>
  <c r="I744" i="49"/>
  <c r="I745" i="49"/>
  <c r="I746" i="49"/>
  <c r="I747" i="49"/>
  <c r="I47" i="49" l="1"/>
  <c r="B54" i="43" l="1"/>
  <c r="B55" i="43"/>
  <c r="B56" i="43"/>
  <c r="B57" i="43"/>
  <c r="B58" i="43"/>
  <c r="B59" i="43"/>
  <c r="B60" i="43"/>
  <c r="B61" i="43"/>
  <c r="B62" i="43"/>
  <c r="B63" i="43"/>
  <c r="B64" i="43"/>
  <c r="B53" i="43"/>
  <c r="B42" i="43"/>
  <c r="B43" i="43"/>
  <c r="B44" i="43"/>
  <c r="B45" i="43"/>
  <c r="B46" i="43"/>
  <c r="B47" i="43"/>
  <c r="B48" i="43"/>
  <c r="B49" i="43"/>
  <c r="B50" i="43"/>
  <c r="B51" i="43"/>
  <c r="B52" i="43"/>
  <c r="B41" i="43"/>
  <c r="B30" i="43"/>
  <c r="B31" i="43"/>
  <c r="B32" i="43"/>
  <c r="B33" i="43"/>
  <c r="B34" i="43"/>
  <c r="B35" i="43"/>
  <c r="B36" i="43"/>
  <c r="B37" i="43"/>
  <c r="B38" i="43"/>
  <c r="B39" i="43"/>
  <c r="B40" i="43"/>
  <c r="B29" i="43"/>
  <c r="B18" i="43"/>
  <c r="B19" i="43"/>
  <c r="B20" i="43"/>
  <c r="B21" i="43"/>
  <c r="B22" i="43"/>
  <c r="B23" i="43"/>
  <c r="B24" i="43"/>
  <c r="B25" i="43"/>
  <c r="B26" i="43"/>
  <c r="B27" i="43"/>
  <c r="B28" i="43"/>
  <c r="B17" i="43"/>
  <c r="B6" i="43"/>
  <c r="B7" i="43"/>
  <c r="B8" i="43"/>
  <c r="B9" i="43"/>
  <c r="B10" i="43"/>
  <c r="B11" i="43"/>
  <c r="B12" i="43"/>
  <c r="B13" i="43"/>
  <c r="B14" i="43"/>
  <c r="B15" i="43"/>
  <c r="B16" i="43"/>
  <c r="B5" i="43"/>
  <c r="I399" i="47"/>
  <c r="I400" i="47"/>
  <c r="I401" i="47"/>
  <c r="I402" i="47"/>
  <c r="I403" i="47"/>
  <c r="I404" i="47"/>
  <c r="I405" i="47"/>
  <c r="I406" i="47"/>
  <c r="I407" i="47"/>
  <c r="I409" i="47"/>
  <c r="I411" i="47"/>
  <c r="I414" i="47"/>
  <c r="I415" i="47"/>
  <c r="I416" i="47"/>
  <c r="I417" i="47"/>
  <c r="I418" i="47"/>
  <c r="I419" i="47"/>
  <c r="I420" i="47"/>
  <c r="I421" i="47"/>
  <c r="I422" i="47"/>
  <c r="I423" i="47"/>
  <c r="I424" i="47"/>
  <c r="I425" i="47"/>
  <c r="I426" i="47"/>
  <c r="I427" i="47"/>
  <c r="I428" i="47"/>
  <c r="I429" i="47"/>
  <c r="I430" i="47"/>
  <c r="I431" i="47"/>
  <c r="I432" i="47"/>
  <c r="I433" i="47"/>
  <c r="I434" i="47"/>
  <c r="I435" i="47"/>
  <c r="I436" i="47"/>
  <c r="I437" i="47"/>
  <c r="I438" i="47"/>
  <c r="I439" i="47"/>
  <c r="I440" i="47"/>
  <c r="F444" i="47"/>
  <c r="F454" i="47"/>
  <c r="F462" i="47"/>
  <c r="F466" i="47"/>
  <c r="I473" i="47"/>
  <c r="I475" i="47"/>
  <c r="I476" i="47"/>
  <c r="I477" i="47"/>
  <c r="I478" i="47"/>
  <c r="I480" i="47"/>
  <c r="I481" i="47"/>
  <c r="I483" i="47"/>
  <c r="I484" i="47"/>
  <c r="I485" i="47"/>
  <c r="I486" i="47"/>
  <c r="I487" i="47"/>
  <c r="I489" i="47"/>
  <c r="I490" i="47"/>
  <c r="I491" i="47"/>
  <c r="I492" i="47"/>
  <c r="I493" i="47"/>
  <c r="I494" i="47"/>
  <c r="I496" i="47"/>
  <c r="I497" i="47"/>
  <c r="I498" i="47"/>
  <c r="I499" i="47"/>
  <c r="I500" i="47"/>
  <c r="I501" i="47"/>
  <c r="I503" i="47"/>
  <c r="I505" i="47"/>
  <c r="I507" i="47"/>
  <c r="I508" i="47"/>
  <c r="I509" i="47"/>
  <c r="I510" i="47"/>
  <c r="I511" i="47"/>
  <c r="I512" i="47"/>
  <c r="I513" i="47"/>
  <c r="I514" i="47"/>
  <c r="I515" i="47"/>
  <c r="I516" i="47"/>
  <c r="I517" i="47"/>
  <c r="I518" i="47"/>
  <c r="I519" i="47"/>
  <c r="I522" i="47"/>
  <c r="I523" i="47"/>
  <c r="I524" i="47"/>
  <c r="I525" i="47"/>
  <c r="I527" i="47"/>
  <c r="I528" i="47"/>
  <c r="I529" i="47"/>
  <c r="I531" i="47"/>
  <c r="I533" i="47"/>
  <c r="I537" i="47"/>
  <c r="I540" i="47"/>
  <c r="I541" i="47"/>
  <c r="I542" i="47"/>
  <c r="I543" i="47"/>
  <c r="I544" i="47"/>
  <c r="I545" i="47"/>
  <c r="I546" i="47"/>
  <c r="I547" i="47"/>
  <c r="I548" i="47"/>
  <c r="I549" i="47"/>
  <c r="I550" i="47"/>
  <c r="I552" i="47"/>
  <c r="I553" i="47"/>
  <c r="I554" i="47"/>
  <c r="I555" i="47"/>
  <c r="I556" i="47"/>
  <c r="I557" i="47"/>
  <c r="I558" i="47"/>
  <c r="I560" i="47"/>
  <c r="I562" i="47"/>
  <c r="I564" i="47"/>
  <c r="I565" i="47"/>
  <c r="I568" i="47"/>
  <c r="I570" i="47"/>
  <c r="I572" i="47"/>
  <c r="I573" i="47"/>
  <c r="I574" i="47"/>
  <c r="I576" i="47"/>
  <c r="I578" i="47"/>
  <c r="I580" i="47"/>
  <c r="I581" i="47"/>
  <c r="I582" i="47"/>
  <c r="I583" i="47"/>
  <c r="I584" i="47"/>
  <c r="I585" i="47"/>
  <c r="I586" i="47"/>
  <c r="I587" i="47"/>
  <c r="I588" i="47"/>
  <c r="I589" i="47"/>
  <c r="I590" i="47"/>
  <c r="I591" i="47"/>
  <c r="I592" i="47"/>
  <c r="I593" i="47"/>
  <c r="I594" i="47"/>
  <c r="I595" i="47"/>
  <c r="I598" i="47"/>
  <c r="I599" i="47"/>
  <c r="I600" i="47"/>
  <c r="I601" i="47"/>
  <c r="I602" i="47"/>
  <c r="I603" i="47"/>
  <c r="I604" i="47"/>
  <c r="I605" i="47"/>
  <c r="I606" i="47"/>
  <c r="I607" i="47"/>
  <c r="I608" i="47"/>
  <c r="I609" i="47"/>
  <c r="I610" i="47"/>
  <c r="I611" i="47"/>
  <c r="I612" i="47"/>
  <c r="I613" i="47"/>
  <c r="I614" i="47"/>
  <c r="I615" i="47"/>
  <c r="I616" i="47"/>
  <c r="I617" i="47"/>
  <c r="I618" i="47"/>
  <c r="I619" i="47"/>
  <c r="I620" i="47"/>
  <c r="I621" i="47"/>
  <c r="I622" i="47"/>
  <c r="I623" i="47"/>
  <c r="I625" i="47"/>
  <c r="I626" i="47"/>
  <c r="I628" i="47"/>
  <c r="I629" i="47"/>
  <c r="I630" i="47"/>
  <c r="I631" i="47"/>
  <c r="I632" i="47"/>
  <c r="I633" i="47"/>
  <c r="I634" i="47"/>
  <c r="I635" i="47"/>
  <c r="I636" i="47"/>
  <c r="I637" i="47"/>
  <c r="I638" i="47"/>
  <c r="I639" i="47"/>
  <c r="I640" i="47"/>
  <c r="I641" i="47"/>
  <c r="I642" i="47"/>
  <c r="I643" i="47"/>
  <c r="I644" i="47"/>
  <c r="I645" i="47"/>
  <c r="I646" i="47"/>
  <c r="I647" i="47"/>
  <c r="I648" i="47"/>
  <c r="I649" i="47"/>
  <c r="I650" i="47"/>
  <c r="I651" i="47"/>
  <c r="I652" i="47"/>
  <c r="I653" i="47"/>
  <c r="I654" i="47"/>
  <c r="I655" i="47"/>
  <c r="I658" i="47"/>
  <c r="I659" i="47"/>
  <c r="I660" i="47"/>
  <c r="I661" i="47"/>
  <c r="I662" i="47"/>
  <c r="I663" i="47"/>
  <c r="I664" i="47"/>
  <c r="I665" i="47"/>
  <c r="I666" i="47"/>
  <c r="I667" i="47"/>
  <c r="I668" i="47"/>
  <c r="I669" i="47"/>
  <c r="I670" i="47"/>
  <c r="I671" i="47"/>
  <c r="I672" i="47"/>
  <c r="I673" i="47"/>
  <c r="I674" i="47"/>
  <c r="I675" i="47"/>
  <c r="I676" i="47"/>
  <c r="I677" i="47"/>
  <c r="I678" i="47"/>
  <c r="I679" i="47"/>
  <c r="I680" i="47"/>
  <c r="I681" i="47"/>
  <c r="I682" i="47"/>
  <c r="I683" i="47"/>
  <c r="I684" i="47"/>
  <c r="I686" i="47"/>
  <c r="I687" i="47"/>
  <c r="I689" i="47"/>
  <c r="I690" i="47"/>
  <c r="I691" i="47"/>
  <c r="I692" i="47"/>
  <c r="I693" i="47"/>
  <c r="I694" i="47"/>
  <c r="I695" i="47"/>
  <c r="I696" i="47"/>
  <c r="I697" i="47"/>
  <c r="I698" i="47"/>
  <c r="I699" i="47"/>
  <c r="I700" i="47"/>
  <c r="I701" i="47"/>
  <c r="I702" i="47"/>
  <c r="I703" i="47"/>
  <c r="I704" i="47"/>
  <c r="I705" i="47"/>
  <c r="I706" i="47"/>
  <c r="I707" i="47"/>
  <c r="I708" i="47"/>
  <c r="I709" i="47"/>
  <c r="I710" i="47"/>
  <c r="I711" i="47"/>
  <c r="I712" i="47"/>
  <c r="I713" i="47"/>
  <c r="I714" i="47"/>
  <c r="I715" i="47"/>
  <c r="I717" i="47"/>
  <c r="I718" i="47"/>
  <c r="I720" i="47"/>
  <c r="I721" i="47"/>
  <c r="I722" i="47"/>
  <c r="I723" i="47"/>
  <c r="I724" i="47"/>
  <c r="I725" i="47"/>
  <c r="I726" i="47"/>
  <c r="I727" i="47"/>
  <c r="I728" i="47"/>
  <c r="I729" i="47"/>
  <c r="I730" i="47"/>
  <c r="I731" i="47"/>
  <c r="I732" i="47"/>
  <c r="I733" i="47"/>
  <c r="I734" i="47"/>
  <c r="I735" i="47"/>
  <c r="I736" i="47"/>
  <c r="I737" i="47"/>
  <c r="I738" i="47"/>
  <c r="I739" i="47"/>
  <c r="I740" i="47"/>
  <c r="I741" i="47"/>
  <c r="I742" i="47"/>
  <c r="I743" i="47"/>
  <c r="I744" i="47"/>
  <c r="I745" i="47"/>
  <c r="I746" i="47"/>
  <c r="I747" i="47"/>
  <c r="C750" i="49"/>
  <c r="C751" i="49"/>
  <c r="C752" i="49"/>
  <c r="C753" i="49"/>
  <c r="C754" i="49"/>
  <c r="C755" i="49"/>
  <c r="C756" i="49"/>
  <c r="C757" i="49"/>
  <c r="C758" i="49"/>
  <c r="C759" i="49"/>
  <c r="C760" i="49"/>
  <c r="C761" i="49"/>
  <c r="C762" i="49"/>
  <c r="C763" i="49"/>
  <c r="I398" i="47"/>
  <c r="I108" i="47"/>
  <c r="I140" i="47"/>
  <c r="I168" i="47"/>
  <c r="I199" i="47"/>
  <c r="I260" i="47"/>
  <c r="I321" i="47"/>
  <c r="I352" i="47"/>
  <c r="H3" i="47"/>
  <c r="F71" i="43"/>
  <c r="F354" i="47" l="1"/>
  <c r="I48" i="47"/>
  <c r="F48" i="47"/>
  <c r="I688" i="47"/>
  <c r="F688" i="47"/>
  <c r="I504" i="47"/>
  <c r="F504" i="47"/>
  <c r="F231" i="47"/>
  <c r="I719" i="47"/>
  <c r="F719" i="47"/>
  <c r="F535" i="47"/>
  <c r="F170" i="47"/>
  <c r="F382" i="47"/>
  <c r="F262" i="47"/>
  <c r="I78" i="47"/>
  <c r="F78" i="47"/>
  <c r="F566" i="47"/>
  <c r="F201" i="47"/>
  <c r="I109" i="47"/>
  <c r="F109" i="47"/>
  <c r="I413" i="47"/>
  <c r="F413" i="47"/>
  <c r="I474" i="47"/>
  <c r="F474" i="47"/>
  <c r="F292" i="47"/>
  <c r="C749" i="49"/>
  <c r="F748" i="47"/>
  <c r="I596" i="47"/>
  <c r="F596" i="47"/>
  <c r="I657" i="47"/>
  <c r="F657" i="47"/>
  <c r="F323" i="47"/>
  <c r="F139" i="47"/>
  <c r="I627" i="47"/>
  <c r="F627" i="47"/>
  <c r="F443" i="47"/>
  <c r="I450" i="47"/>
  <c r="F450" i="47"/>
  <c r="I465" i="47"/>
  <c r="F465" i="47"/>
  <c r="I457" i="47"/>
  <c r="F457" i="47"/>
  <c r="I449" i="47"/>
  <c r="F449" i="47"/>
  <c r="I320" i="47"/>
  <c r="I464" i="47"/>
  <c r="F464" i="47"/>
  <c r="I456" i="47"/>
  <c r="F456" i="47"/>
  <c r="I448" i="47"/>
  <c r="F448" i="47"/>
  <c r="I458" i="47"/>
  <c r="F458" i="47"/>
  <c r="I410" i="47"/>
  <c r="I471" i="47"/>
  <c r="I463" i="47"/>
  <c r="F463" i="47"/>
  <c r="I455" i="47"/>
  <c r="F455" i="47"/>
  <c r="I447" i="47"/>
  <c r="F447" i="47"/>
  <c r="I470" i="47"/>
  <c r="F470" i="47"/>
  <c r="I446" i="47"/>
  <c r="F446" i="47"/>
  <c r="I442" i="47"/>
  <c r="F442" i="47"/>
  <c r="I685" i="47"/>
  <c r="I469" i="47"/>
  <c r="F469" i="47"/>
  <c r="I461" i="47"/>
  <c r="F461" i="47"/>
  <c r="I453" i="47"/>
  <c r="F453" i="47"/>
  <c r="I445" i="47"/>
  <c r="F445" i="47"/>
  <c r="I532" i="47"/>
  <c r="I468" i="47"/>
  <c r="F468" i="47"/>
  <c r="I460" i="47"/>
  <c r="F460" i="47"/>
  <c r="I452" i="47"/>
  <c r="F452" i="47"/>
  <c r="I467" i="47"/>
  <c r="F467" i="47"/>
  <c r="I459" i="47"/>
  <c r="F459" i="47"/>
  <c r="I451" i="47"/>
  <c r="F451" i="47"/>
  <c r="I443" i="47"/>
  <c r="I441" i="47"/>
  <c r="I472" i="47"/>
  <c r="H386" i="47"/>
  <c r="I386" i="47"/>
  <c r="H378" i="47"/>
  <c r="I378" i="47"/>
  <c r="H370" i="47"/>
  <c r="I370" i="47"/>
  <c r="H362" i="47"/>
  <c r="I362" i="47"/>
  <c r="H354" i="47"/>
  <c r="I354" i="47"/>
  <c r="H346" i="47"/>
  <c r="I346" i="47"/>
  <c r="H338" i="47"/>
  <c r="I338" i="47"/>
  <c r="H330" i="47"/>
  <c r="I330" i="47"/>
  <c r="H322" i="47"/>
  <c r="I322" i="47"/>
  <c r="H314" i="47"/>
  <c r="I314" i="47"/>
  <c r="H306" i="47"/>
  <c r="I306" i="47"/>
  <c r="H298" i="47"/>
  <c r="I298" i="47"/>
  <c r="H290" i="47"/>
  <c r="I290" i="47"/>
  <c r="H282" i="47"/>
  <c r="I282" i="47"/>
  <c r="H274" i="47"/>
  <c r="I274" i="47"/>
  <c r="H266" i="47"/>
  <c r="I266" i="47"/>
  <c r="H258" i="47"/>
  <c r="I258" i="47"/>
  <c r="H250" i="47"/>
  <c r="I250" i="47"/>
  <c r="H242" i="47"/>
  <c r="I242" i="47"/>
  <c r="H234" i="47"/>
  <c r="I234" i="47"/>
  <c r="H226" i="47"/>
  <c r="I226" i="47"/>
  <c r="H218" i="47"/>
  <c r="I218" i="47"/>
  <c r="H210" i="47"/>
  <c r="I210" i="47"/>
  <c r="H202" i="47"/>
  <c r="I202" i="47"/>
  <c r="H194" i="47"/>
  <c r="I194" i="47"/>
  <c r="H186" i="47"/>
  <c r="I186" i="47"/>
  <c r="H178" i="47"/>
  <c r="I178" i="47"/>
  <c r="H170" i="47"/>
  <c r="I170" i="47"/>
  <c r="H162" i="47"/>
  <c r="I162" i="47"/>
  <c r="H154" i="47"/>
  <c r="I154" i="47"/>
  <c r="H146" i="47"/>
  <c r="I146" i="47"/>
  <c r="H138" i="47"/>
  <c r="I138" i="47"/>
  <c r="H130" i="47"/>
  <c r="I130" i="47"/>
  <c r="H122" i="47"/>
  <c r="I122" i="47"/>
  <c r="H114" i="47"/>
  <c r="I114" i="47"/>
  <c r="H106" i="47"/>
  <c r="I106" i="47"/>
  <c r="H98" i="47"/>
  <c r="I98" i="47"/>
  <c r="H90" i="47"/>
  <c r="I90" i="47"/>
  <c r="H82" i="47"/>
  <c r="I82" i="47"/>
  <c r="H74" i="47"/>
  <c r="I74" i="47"/>
  <c r="H66" i="47"/>
  <c r="I66" i="47"/>
  <c r="H58" i="47"/>
  <c r="I58" i="47"/>
  <c r="H50" i="47"/>
  <c r="I50" i="47"/>
  <c r="H42" i="47"/>
  <c r="I42" i="47"/>
  <c r="H34" i="47"/>
  <c r="I34" i="47"/>
  <c r="H26" i="47"/>
  <c r="I26" i="47"/>
  <c r="H18" i="47"/>
  <c r="I18" i="47"/>
  <c r="H10" i="47"/>
  <c r="I10" i="47"/>
  <c r="C539" i="49"/>
  <c r="I538" i="47"/>
  <c r="C531" i="49"/>
  <c r="I530" i="47"/>
  <c r="C507" i="49"/>
  <c r="I506" i="47"/>
  <c r="C483" i="49"/>
  <c r="I482" i="47"/>
  <c r="C467" i="49"/>
  <c r="I466" i="47"/>
  <c r="H393" i="47"/>
  <c r="I393" i="47"/>
  <c r="H369" i="47"/>
  <c r="I369" i="47"/>
  <c r="H361" i="47"/>
  <c r="I361" i="47"/>
  <c r="H353" i="47"/>
  <c r="I353" i="47"/>
  <c r="H345" i="47"/>
  <c r="I345" i="47"/>
  <c r="H337" i="47"/>
  <c r="I337" i="47"/>
  <c r="H329" i="47"/>
  <c r="I329" i="47"/>
  <c r="H313" i="47"/>
  <c r="I313" i="47"/>
  <c r="H305" i="47"/>
  <c r="I305" i="47"/>
  <c r="H297" i="47"/>
  <c r="I297" i="47"/>
  <c r="H289" i="47"/>
  <c r="I289" i="47"/>
  <c r="H281" i="47"/>
  <c r="I281" i="47"/>
  <c r="H273" i="47"/>
  <c r="I273" i="47"/>
  <c r="H265" i="47"/>
  <c r="I265" i="47"/>
  <c r="H257" i="47"/>
  <c r="I257" i="47"/>
  <c r="H249" i="47"/>
  <c r="I249" i="47"/>
  <c r="H241" i="47"/>
  <c r="I241" i="47"/>
  <c r="H233" i="47"/>
  <c r="I233" i="47"/>
  <c r="H225" i="47"/>
  <c r="I225" i="47"/>
  <c r="H217" i="47"/>
  <c r="I217" i="47"/>
  <c r="H209" i="47"/>
  <c r="I209" i="47"/>
  <c r="H201" i="47"/>
  <c r="I201" i="47"/>
  <c r="H193" i="47"/>
  <c r="I193" i="47"/>
  <c r="H185" i="47"/>
  <c r="I185" i="47"/>
  <c r="H177" i="47"/>
  <c r="I177" i="47"/>
  <c r="H169" i="47"/>
  <c r="I169" i="47"/>
  <c r="H161" i="47"/>
  <c r="I161" i="47"/>
  <c r="H153" i="47"/>
  <c r="I153" i="47"/>
  <c r="H145" i="47"/>
  <c r="I145" i="47"/>
  <c r="H137" i="47"/>
  <c r="I137" i="47"/>
  <c r="H129" i="47"/>
  <c r="I129" i="47"/>
  <c r="H121" i="47"/>
  <c r="I121" i="47"/>
  <c r="H113" i="47"/>
  <c r="I113" i="47"/>
  <c r="H105" i="47"/>
  <c r="I105" i="47"/>
  <c r="H97" i="47"/>
  <c r="I97" i="47"/>
  <c r="H89" i="47"/>
  <c r="I89" i="47"/>
  <c r="H81" i="47"/>
  <c r="I81" i="47"/>
  <c r="H73" i="47"/>
  <c r="I73" i="47"/>
  <c r="H65" i="47"/>
  <c r="I65" i="47"/>
  <c r="H57" i="47"/>
  <c r="I57" i="47"/>
  <c r="H49" i="47"/>
  <c r="I49" i="47"/>
  <c r="H41" i="47"/>
  <c r="I41" i="47"/>
  <c r="H33" i="47"/>
  <c r="I33" i="47"/>
  <c r="H25" i="47"/>
  <c r="I25" i="47"/>
  <c r="H17" i="47"/>
  <c r="I17" i="47"/>
  <c r="H9" i="47"/>
  <c r="I9" i="47"/>
  <c r="C578" i="49"/>
  <c r="I577" i="47"/>
  <c r="C570" i="49"/>
  <c r="I569" i="47"/>
  <c r="C562" i="49"/>
  <c r="I561" i="47"/>
  <c r="C522" i="49"/>
  <c r="I521" i="47"/>
  <c r="H394" i="47"/>
  <c r="I394" i="47"/>
  <c r="H392" i="47"/>
  <c r="I392" i="47"/>
  <c r="H384" i="47"/>
  <c r="I384" i="47"/>
  <c r="H376" i="47"/>
  <c r="I376" i="47"/>
  <c r="H368" i="47"/>
  <c r="I368" i="47"/>
  <c r="H360" i="47"/>
  <c r="I360" i="47"/>
  <c r="H344" i="47"/>
  <c r="I344" i="47"/>
  <c r="H336" i="47"/>
  <c r="I336" i="47"/>
  <c r="H328" i="47"/>
  <c r="I328" i="47"/>
  <c r="H312" i="47"/>
  <c r="I312" i="47"/>
  <c r="H304" i="47"/>
  <c r="I304" i="47"/>
  <c r="H296" i="47"/>
  <c r="I296" i="47"/>
  <c r="H288" i="47"/>
  <c r="I288" i="47"/>
  <c r="H280" i="47"/>
  <c r="I280" i="47"/>
  <c r="H272" i="47"/>
  <c r="I272" i="47"/>
  <c r="H264" i="47"/>
  <c r="I264" i="47"/>
  <c r="H256" i="47"/>
  <c r="I256" i="47"/>
  <c r="H248" i="47"/>
  <c r="I248" i="47"/>
  <c r="H240" i="47"/>
  <c r="I240" i="47"/>
  <c r="H232" i="47"/>
  <c r="I232" i="47"/>
  <c r="H224" i="47"/>
  <c r="I224" i="47"/>
  <c r="H216" i="47"/>
  <c r="I216" i="47"/>
  <c r="H208" i="47"/>
  <c r="I208" i="47"/>
  <c r="H200" i="47"/>
  <c r="I200" i="47"/>
  <c r="H192" i="47"/>
  <c r="I192" i="47"/>
  <c r="H184" i="47"/>
  <c r="I184" i="47"/>
  <c r="H176" i="47"/>
  <c r="I176" i="47"/>
  <c r="H160" i="47"/>
  <c r="I160" i="47"/>
  <c r="H152" i="47"/>
  <c r="I152" i="47"/>
  <c r="H144" i="47"/>
  <c r="I144" i="47"/>
  <c r="H136" i="47"/>
  <c r="I136" i="47"/>
  <c r="H128" i="47"/>
  <c r="I128" i="47"/>
  <c r="H120" i="47"/>
  <c r="I120" i="47"/>
  <c r="H112" i="47"/>
  <c r="I112" i="47"/>
  <c r="H104" i="47"/>
  <c r="I104" i="47"/>
  <c r="H96" i="47"/>
  <c r="I96" i="47"/>
  <c r="H88" i="47"/>
  <c r="I88" i="47"/>
  <c r="H80" i="47"/>
  <c r="I80" i="47"/>
  <c r="H72" i="47"/>
  <c r="I72" i="47"/>
  <c r="H64" i="47"/>
  <c r="I64" i="47"/>
  <c r="H56" i="47"/>
  <c r="I56" i="47"/>
  <c r="H40" i="47"/>
  <c r="I40" i="47"/>
  <c r="H32" i="47"/>
  <c r="I32" i="47"/>
  <c r="H24" i="47"/>
  <c r="I24" i="47"/>
  <c r="H16" i="47"/>
  <c r="I16" i="47"/>
  <c r="H8" i="47"/>
  <c r="I8" i="47"/>
  <c r="C657" i="49"/>
  <c r="I656" i="47"/>
  <c r="I624" i="47"/>
  <c r="C537" i="49"/>
  <c r="I536" i="47"/>
  <c r="C521" i="49"/>
  <c r="I520" i="47"/>
  <c r="C489" i="49"/>
  <c r="I488" i="47"/>
  <c r="C409" i="49"/>
  <c r="I408" i="47"/>
  <c r="H397" i="47"/>
  <c r="I397" i="47"/>
  <c r="H385" i="47"/>
  <c r="I385" i="47"/>
  <c r="H391" i="47"/>
  <c r="I391" i="47"/>
  <c r="H383" i="47"/>
  <c r="I383" i="47"/>
  <c r="H375" i="47"/>
  <c r="I375" i="47"/>
  <c r="H367" i="47"/>
  <c r="I367" i="47"/>
  <c r="H359" i="47"/>
  <c r="I359" i="47"/>
  <c r="H351" i="47"/>
  <c r="I351" i="47"/>
  <c r="H343" i="47"/>
  <c r="I343" i="47"/>
  <c r="H335" i="47"/>
  <c r="I335" i="47"/>
  <c r="H327" i="47"/>
  <c r="I327" i="47"/>
  <c r="H319" i="47"/>
  <c r="I319" i="47"/>
  <c r="H311" i="47"/>
  <c r="I311" i="47"/>
  <c r="H303" i="47"/>
  <c r="I303" i="47"/>
  <c r="H295" i="47"/>
  <c r="I295" i="47"/>
  <c r="H287" i="47"/>
  <c r="I287" i="47"/>
  <c r="H279" i="47"/>
  <c r="I279" i="47"/>
  <c r="H271" i="47"/>
  <c r="I271" i="47"/>
  <c r="H263" i="47"/>
  <c r="I263" i="47"/>
  <c r="H255" i="47"/>
  <c r="I255" i="47"/>
  <c r="H247" i="47"/>
  <c r="I247" i="47"/>
  <c r="H239" i="47"/>
  <c r="I239" i="47"/>
  <c r="H231" i="47"/>
  <c r="I231" i="47"/>
  <c r="H223" i="47"/>
  <c r="I223" i="47"/>
  <c r="H215" i="47"/>
  <c r="I215" i="47"/>
  <c r="H207" i="47"/>
  <c r="I207" i="47"/>
  <c r="H191" i="47"/>
  <c r="I191" i="47"/>
  <c r="H183" i="47"/>
  <c r="I183" i="47"/>
  <c r="H175" i="47"/>
  <c r="I175" i="47"/>
  <c r="H167" i="47"/>
  <c r="I167" i="47"/>
  <c r="H159" i="47"/>
  <c r="I159" i="47"/>
  <c r="H151" i="47"/>
  <c r="I151" i="47"/>
  <c r="H143" i="47"/>
  <c r="I143" i="47"/>
  <c r="H135" i="47"/>
  <c r="I135" i="47"/>
  <c r="H127" i="47"/>
  <c r="I127" i="47"/>
  <c r="H119" i="47"/>
  <c r="I119" i="47"/>
  <c r="H111" i="47"/>
  <c r="I111" i="47"/>
  <c r="H103" i="47"/>
  <c r="I103" i="47"/>
  <c r="H95" i="47"/>
  <c r="I95" i="47"/>
  <c r="H87" i="47"/>
  <c r="I87" i="47"/>
  <c r="H79" i="47"/>
  <c r="I79" i="47"/>
  <c r="H71" i="47"/>
  <c r="I71" i="47"/>
  <c r="H63" i="47"/>
  <c r="I63" i="47"/>
  <c r="H55" i="47"/>
  <c r="I55" i="47"/>
  <c r="I47" i="47"/>
  <c r="H39" i="47"/>
  <c r="I39" i="47"/>
  <c r="H31" i="47"/>
  <c r="I31" i="47"/>
  <c r="H23" i="47"/>
  <c r="I23" i="47"/>
  <c r="H15" i="47"/>
  <c r="I15" i="47"/>
  <c r="H7" i="47"/>
  <c r="I7" i="47"/>
  <c r="C576" i="49"/>
  <c r="I575" i="47"/>
  <c r="C568" i="49"/>
  <c r="I567" i="47"/>
  <c r="C560" i="49"/>
  <c r="I559" i="47"/>
  <c r="C552" i="49"/>
  <c r="I551" i="47"/>
  <c r="C536" i="49"/>
  <c r="I535" i="47"/>
  <c r="C496" i="49"/>
  <c r="I495" i="47"/>
  <c r="C480" i="49"/>
  <c r="I479" i="47"/>
  <c r="H389" i="47"/>
  <c r="I389" i="47"/>
  <c r="H377" i="47"/>
  <c r="I377" i="47"/>
  <c r="H390" i="47"/>
  <c r="I390" i="47"/>
  <c r="H382" i="47"/>
  <c r="I382" i="47"/>
  <c r="H374" i="47"/>
  <c r="I374" i="47"/>
  <c r="H366" i="47"/>
  <c r="I366" i="47"/>
  <c r="H358" i="47"/>
  <c r="I358" i="47"/>
  <c r="H350" i="47"/>
  <c r="I350" i="47"/>
  <c r="H342" i="47"/>
  <c r="I342" i="47"/>
  <c r="H334" i="47"/>
  <c r="I334" i="47"/>
  <c r="H326" i="47"/>
  <c r="I326" i="47"/>
  <c r="H318" i="47"/>
  <c r="I318" i="47"/>
  <c r="H310" i="47"/>
  <c r="I310" i="47"/>
  <c r="H302" i="47"/>
  <c r="I302" i="47"/>
  <c r="H294" i="47"/>
  <c r="I294" i="47"/>
  <c r="H286" i="47"/>
  <c r="I286" i="47"/>
  <c r="H278" i="47"/>
  <c r="I278" i="47"/>
  <c r="H270" i="47"/>
  <c r="I270" i="47"/>
  <c r="H262" i="47"/>
  <c r="I262" i="47"/>
  <c r="H254" i="47"/>
  <c r="I254" i="47"/>
  <c r="H246" i="47"/>
  <c r="I246" i="47"/>
  <c r="H238" i="47"/>
  <c r="I238" i="47"/>
  <c r="H230" i="47"/>
  <c r="I230" i="47"/>
  <c r="H222" i="47"/>
  <c r="I222" i="47"/>
  <c r="H214" i="47"/>
  <c r="I214" i="47"/>
  <c r="H206" i="47"/>
  <c r="I206" i="47"/>
  <c r="I198" i="47"/>
  <c r="H190" i="47"/>
  <c r="I190" i="47"/>
  <c r="H182" i="47"/>
  <c r="I182" i="47"/>
  <c r="H174" i="47"/>
  <c r="I174" i="47"/>
  <c r="H166" i="47"/>
  <c r="I166" i="47"/>
  <c r="H158" i="47"/>
  <c r="I158" i="47"/>
  <c r="H150" i="47"/>
  <c r="I150" i="47"/>
  <c r="H142" i="47"/>
  <c r="I142" i="47"/>
  <c r="H134" i="47"/>
  <c r="I134" i="47"/>
  <c r="H126" i="47"/>
  <c r="I126" i="47"/>
  <c r="H118" i="47"/>
  <c r="I118" i="47"/>
  <c r="H110" i="47"/>
  <c r="I110" i="47"/>
  <c r="H102" i="47"/>
  <c r="I102" i="47"/>
  <c r="H94" i="47"/>
  <c r="I94" i="47"/>
  <c r="H86" i="47"/>
  <c r="I86" i="47"/>
  <c r="H70" i="47"/>
  <c r="I70" i="47"/>
  <c r="H62" i="47"/>
  <c r="I62" i="47"/>
  <c r="H54" i="47"/>
  <c r="I54" i="47"/>
  <c r="H46" i="47"/>
  <c r="I46" i="47"/>
  <c r="H38" i="47"/>
  <c r="I38" i="47"/>
  <c r="H30" i="47"/>
  <c r="I30" i="47"/>
  <c r="H22" i="47"/>
  <c r="I22" i="47"/>
  <c r="H14" i="47"/>
  <c r="I14" i="47"/>
  <c r="H6" i="47"/>
  <c r="I6" i="47"/>
  <c r="C567" i="49"/>
  <c r="I566" i="47"/>
  <c r="C535" i="49"/>
  <c r="I534" i="47"/>
  <c r="C527" i="49"/>
  <c r="I526" i="47"/>
  <c r="I502" i="47"/>
  <c r="C463" i="49"/>
  <c r="I462" i="47"/>
  <c r="C455" i="49"/>
  <c r="I454" i="47"/>
  <c r="H373" i="47"/>
  <c r="I373" i="47"/>
  <c r="H365" i="47"/>
  <c r="I365" i="47"/>
  <c r="H357" i="47"/>
  <c r="I357" i="47"/>
  <c r="H349" i="47"/>
  <c r="I349" i="47"/>
  <c r="H341" i="47"/>
  <c r="I341" i="47"/>
  <c r="H333" i="47"/>
  <c r="I333" i="47"/>
  <c r="H325" i="47"/>
  <c r="I325" i="47"/>
  <c r="H317" i="47"/>
  <c r="I317" i="47"/>
  <c r="H309" i="47"/>
  <c r="I309" i="47"/>
  <c r="H301" i="47"/>
  <c r="I301" i="47"/>
  <c r="H293" i="47"/>
  <c r="I293" i="47"/>
  <c r="H285" i="47"/>
  <c r="I285" i="47"/>
  <c r="H277" i="47"/>
  <c r="I277" i="47"/>
  <c r="H269" i="47"/>
  <c r="I269" i="47"/>
  <c r="H261" i="47"/>
  <c r="I261" i="47"/>
  <c r="H253" i="47"/>
  <c r="I253" i="47"/>
  <c r="H245" i="47"/>
  <c r="I245" i="47"/>
  <c r="H237" i="47"/>
  <c r="I237" i="47"/>
  <c r="H229" i="47"/>
  <c r="I229" i="47"/>
  <c r="H221" i="47"/>
  <c r="I221" i="47"/>
  <c r="H213" i="47"/>
  <c r="I213" i="47"/>
  <c r="H205" i="47"/>
  <c r="I205" i="47"/>
  <c r="H197" i="47"/>
  <c r="I197" i="47"/>
  <c r="H189" i="47"/>
  <c r="I189" i="47"/>
  <c r="H181" i="47"/>
  <c r="I181" i="47"/>
  <c r="H173" i="47"/>
  <c r="I173" i="47"/>
  <c r="H165" i="47"/>
  <c r="I165" i="47"/>
  <c r="H157" i="47"/>
  <c r="I157" i="47"/>
  <c r="H149" i="47"/>
  <c r="I149" i="47"/>
  <c r="H141" i="47"/>
  <c r="I141" i="47"/>
  <c r="H133" i="47"/>
  <c r="I133" i="47"/>
  <c r="H125" i="47"/>
  <c r="I125" i="47"/>
  <c r="H117" i="47"/>
  <c r="I117" i="47"/>
  <c r="H101" i="47"/>
  <c r="I101" i="47"/>
  <c r="H93" i="47"/>
  <c r="I93" i="47"/>
  <c r="H85" i="47"/>
  <c r="I85" i="47"/>
  <c r="H77" i="47"/>
  <c r="I77" i="47"/>
  <c r="H69" i="47"/>
  <c r="I69" i="47"/>
  <c r="H61" i="47"/>
  <c r="I61" i="47"/>
  <c r="H53" i="47"/>
  <c r="I53" i="47"/>
  <c r="H45" i="47"/>
  <c r="I45" i="47"/>
  <c r="H37" i="47"/>
  <c r="I37" i="47"/>
  <c r="H29" i="47"/>
  <c r="I29" i="47"/>
  <c r="H21" i="47"/>
  <c r="I21" i="47"/>
  <c r="H13" i="47"/>
  <c r="I13" i="47"/>
  <c r="H5" i="47"/>
  <c r="I5" i="47"/>
  <c r="C598" i="49"/>
  <c r="I597" i="47"/>
  <c r="H396" i="47"/>
  <c r="I396" i="47"/>
  <c r="H388" i="47"/>
  <c r="I388" i="47"/>
  <c r="H380" i="47"/>
  <c r="I380" i="47"/>
  <c r="H372" i="47"/>
  <c r="I372" i="47"/>
  <c r="H364" i="47"/>
  <c r="I364" i="47"/>
  <c r="H356" i="47"/>
  <c r="I356" i="47"/>
  <c r="H348" i="47"/>
  <c r="I348" i="47"/>
  <c r="H340" i="47"/>
  <c r="I340" i="47"/>
  <c r="H332" i="47"/>
  <c r="I332" i="47"/>
  <c r="H324" i="47"/>
  <c r="I324" i="47"/>
  <c r="H316" i="47"/>
  <c r="I316" i="47"/>
  <c r="H308" i="47"/>
  <c r="I308" i="47"/>
  <c r="H300" i="47"/>
  <c r="I300" i="47"/>
  <c r="H292" i="47"/>
  <c r="I292" i="47"/>
  <c r="H284" i="47"/>
  <c r="I284" i="47"/>
  <c r="H276" i="47"/>
  <c r="I276" i="47"/>
  <c r="H268" i="47"/>
  <c r="I268" i="47"/>
  <c r="H252" i="47"/>
  <c r="I252" i="47"/>
  <c r="H244" i="47"/>
  <c r="I244" i="47"/>
  <c r="H236" i="47"/>
  <c r="I236" i="47"/>
  <c r="H228" i="47"/>
  <c r="I228" i="47"/>
  <c r="H220" i="47"/>
  <c r="I220" i="47"/>
  <c r="H212" i="47"/>
  <c r="I212" i="47"/>
  <c r="H204" i="47"/>
  <c r="I204" i="47"/>
  <c r="H196" i="47"/>
  <c r="I196" i="47"/>
  <c r="H188" i="47"/>
  <c r="I188" i="47"/>
  <c r="H180" i="47"/>
  <c r="I180" i="47"/>
  <c r="H172" i="47"/>
  <c r="I172" i="47"/>
  <c r="H164" i="47"/>
  <c r="I164" i="47"/>
  <c r="H156" i="47"/>
  <c r="I156" i="47"/>
  <c r="H148" i="47"/>
  <c r="I148" i="47"/>
  <c r="H132" i="47"/>
  <c r="I132" i="47"/>
  <c r="H124" i="47"/>
  <c r="I124" i="47"/>
  <c r="H116" i="47"/>
  <c r="I116" i="47"/>
  <c r="H100" i="47"/>
  <c r="I100" i="47"/>
  <c r="H92" i="47"/>
  <c r="I92" i="47"/>
  <c r="H84" i="47"/>
  <c r="I84" i="47"/>
  <c r="H76" i="47"/>
  <c r="I76" i="47"/>
  <c r="H68" i="47"/>
  <c r="I68" i="47"/>
  <c r="H60" i="47"/>
  <c r="I60" i="47"/>
  <c r="H52" i="47"/>
  <c r="I52" i="47"/>
  <c r="H44" i="47"/>
  <c r="I44" i="47"/>
  <c r="H36" i="47"/>
  <c r="I36" i="47"/>
  <c r="H28" i="47"/>
  <c r="I28" i="47"/>
  <c r="H20" i="47"/>
  <c r="I20" i="47"/>
  <c r="H12" i="47"/>
  <c r="I12" i="47"/>
  <c r="H4" i="47"/>
  <c r="I4" i="47"/>
  <c r="I716" i="47"/>
  <c r="C445" i="49"/>
  <c r="I444" i="47"/>
  <c r="I412" i="47"/>
  <c r="H381" i="47"/>
  <c r="I381" i="47"/>
  <c r="H395" i="47"/>
  <c r="I395" i="47"/>
  <c r="H387" i="47"/>
  <c r="I387" i="47"/>
  <c r="H379" i="47"/>
  <c r="I379" i="47"/>
  <c r="H371" i="47"/>
  <c r="I371" i="47"/>
  <c r="H363" i="47"/>
  <c r="I363" i="47"/>
  <c r="H355" i="47"/>
  <c r="I355" i="47"/>
  <c r="H347" i="47"/>
  <c r="I347" i="47"/>
  <c r="H339" i="47"/>
  <c r="I339" i="47"/>
  <c r="H331" i="47"/>
  <c r="I331" i="47"/>
  <c r="H323" i="47"/>
  <c r="I323" i="47"/>
  <c r="H315" i="47"/>
  <c r="I315" i="47"/>
  <c r="H307" i="47"/>
  <c r="I307" i="47"/>
  <c r="H299" i="47"/>
  <c r="I299" i="47"/>
  <c r="H291" i="47"/>
  <c r="I291" i="47"/>
  <c r="H283" i="47"/>
  <c r="I283" i="47"/>
  <c r="H275" i="47"/>
  <c r="I275" i="47"/>
  <c r="H267" i="47"/>
  <c r="I267" i="47"/>
  <c r="I259" i="47"/>
  <c r="H251" i="47"/>
  <c r="I251" i="47"/>
  <c r="H243" i="47"/>
  <c r="I243" i="47"/>
  <c r="H235" i="47"/>
  <c r="I235" i="47"/>
  <c r="H227" i="47"/>
  <c r="I227" i="47"/>
  <c r="H219" i="47"/>
  <c r="I219" i="47"/>
  <c r="H211" i="47"/>
  <c r="I211" i="47"/>
  <c r="H203" i="47"/>
  <c r="I203" i="47"/>
  <c r="H195" i="47"/>
  <c r="I195" i="47"/>
  <c r="H187" i="47"/>
  <c r="I187" i="47"/>
  <c r="H179" i="47"/>
  <c r="I179" i="47"/>
  <c r="H171" i="47"/>
  <c r="I171" i="47"/>
  <c r="H163" i="47"/>
  <c r="I163" i="47"/>
  <c r="H155" i="47"/>
  <c r="I155" i="47"/>
  <c r="H147" i="47"/>
  <c r="I147" i="47"/>
  <c r="H139" i="47"/>
  <c r="I139" i="47"/>
  <c r="H131" i="47"/>
  <c r="I131" i="47"/>
  <c r="H123" i="47"/>
  <c r="I123" i="47"/>
  <c r="H115" i="47"/>
  <c r="I115" i="47"/>
  <c r="H107" i="47"/>
  <c r="I107" i="47"/>
  <c r="H99" i="47"/>
  <c r="I99" i="47"/>
  <c r="H91" i="47"/>
  <c r="I91" i="47"/>
  <c r="H83" i="47"/>
  <c r="I83" i="47"/>
  <c r="H75" i="47"/>
  <c r="I75" i="47"/>
  <c r="H67" i="47"/>
  <c r="I67" i="47"/>
  <c r="H59" i="47"/>
  <c r="I59" i="47"/>
  <c r="H51" i="47"/>
  <c r="I51" i="47"/>
  <c r="H43" i="47"/>
  <c r="I43" i="47"/>
  <c r="H35" i="47"/>
  <c r="I35" i="47"/>
  <c r="H27" i="47"/>
  <c r="I27" i="47"/>
  <c r="H19" i="47"/>
  <c r="I19" i="47"/>
  <c r="H11" i="47"/>
  <c r="I11" i="47"/>
  <c r="C580" i="49"/>
  <c r="I579" i="47"/>
  <c r="C572" i="49"/>
  <c r="I571" i="47"/>
  <c r="I563" i="47"/>
  <c r="C540" i="49"/>
  <c r="I539" i="47"/>
  <c r="C475" i="49"/>
  <c r="H321" i="47"/>
  <c r="C626" i="49"/>
  <c r="C506" i="49"/>
  <c r="H352" i="47"/>
  <c r="H168" i="47"/>
  <c r="H48" i="47"/>
  <c r="H199" i="47"/>
  <c r="C687" i="49"/>
  <c r="H109" i="47"/>
  <c r="C718" i="49"/>
  <c r="C414" i="49"/>
  <c r="H260" i="47"/>
  <c r="H140" i="47"/>
  <c r="H746" i="47"/>
  <c r="C747" i="49"/>
  <c r="H738" i="47"/>
  <c r="C739" i="49"/>
  <c r="H730" i="47"/>
  <c r="C731" i="49"/>
  <c r="H722" i="47"/>
  <c r="C723" i="49"/>
  <c r="H714" i="47"/>
  <c r="C715" i="49"/>
  <c r="H706" i="47"/>
  <c r="C707" i="49"/>
  <c r="H698" i="47"/>
  <c r="C699" i="49"/>
  <c r="H690" i="47"/>
  <c r="C691" i="49"/>
  <c r="H682" i="47"/>
  <c r="C683" i="49"/>
  <c r="H674" i="47"/>
  <c r="C675" i="49"/>
  <c r="H666" i="47"/>
  <c r="C667" i="49"/>
  <c r="H658" i="47"/>
  <c r="C659" i="49"/>
  <c r="H650" i="47"/>
  <c r="C651" i="49"/>
  <c r="H642" i="47"/>
  <c r="C643" i="49"/>
  <c r="H634" i="47"/>
  <c r="C635" i="49"/>
  <c r="H626" i="47"/>
  <c r="C627" i="49"/>
  <c r="H618" i="47"/>
  <c r="C619" i="49"/>
  <c r="H610" i="47"/>
  <c r="C611" i="49"/>
  <c r="H602" i="47"/>
  <c r="C603" i="49"/>
  <c r="H594" i="47"/>
  <c r="C595" i="49"/>
  <c r="H586" i="47"/>
  <c r="C587" i="49"/>
  <c r="H578" i="47"/>
  <c r="C579" i="49"/>
  <c r="H570" i="47"/>
  <c r="C571" i="49"/>
  <c r="H562" i="47"/>
  <c r="C563" i="49"/>
  <c r="H554" i="47"/>
  <c r="C555" i="49"/>
  <c r="H546" i="47"/>
  <c r="C547" i="49"/>
  <c r="H522" i="47"/>
  <c r="C523" i="49"/>
  <c r="H514" i="47"/>
  <c r="C515" i="49"/>
  <c r="H498" i="47"/>
  <c r="C499" i="49"/>
  <c r="H490" i="47"/>
  <c r="C491" i="49"/>
  <c r="H458" i="47"/>
  <c r="C459" i="49"/>
  <c r="H450" i="47"/>
  <c r="C451" i="49"/>
  <c r="H442" i="47"/>
  <c r="C443" i="49"/>
  <c r="H434" i="47"/>
  <c r="C435" i="49"/>
  <c r="H426" i="47"/>
  <c r="C427" i="49"/>
  <c r="H418" i="47"/>
  <c r="C419" i="49"/>
  <c r="H410" i="47"/>
  <c r="C411" i="49"/>
  <c r="H402" i="47"/>
  <c r="C403" i="49"/>
  <c r="H745" i="47"/>
  <c r="C746" i="49"/>
  <c r="H737" i="47"/>
  <c r="C738" i="49"/>
  <c r="H729" i="47"/>
  <c r="C730" i="49"/>
  <c r="H721" i="47"/>
  <c r="C722" i="49"/>
  <c r="H713" i="47"/>
  <c r="C714" i="49"/>
  <c r="H705" i="47"/>
  <c r="C706" i="49"/>
  <c r="H697" i="47"/>
  <c r="C698" i="49"/>
  <c r="H689" i="47"/>
  <c r="C690" i="49"/>
  <c r="H681" i="47"/>
  <c r="C682" i="49"/>
  <c r="H673" i="47"/>
  <c r="C674" i="49"/>
  <c r="H665" i="47"/>
  <c r="C666" i="49"/>
  <c r="H657" i="47"/>
  <c r="C658" i="49"/>
  <c r="H649" i="47"/>
  <c r="C650" i="49"/>
  <c r="H641" i="47"/>
  <c r="C642" i="49"/>
  <c r="H633" i="47"/>
  <c r="C634" i="49"/>
  <c r="H617" i="47"/>
  <c r="C618" i="49"/>
  <c r="H609" i="47"/>
  <c r="C610" i="49"/>
  <c r="H601" i="47"/>
  <c r="C602" i="49"/>
  <c r="H593" i="47"/>
  <c r="C594" i="49"/>
  <c r="H585" i="47"/>
  <c r="C586" i="49"/>
  <c r="H553" i="47"/>
  <c r="C554" i="49"/>
  <c r="H545" i="47"/>
  <c r="C546" i="49"/>
  <c r="H537" i="47"/>
  <c r="C538" i="49"/>
  <c r="H529" i="47"/>
  <c r="C530" i="49"/>
  <c r="H513" i="47"/>
  <c r="C514" i="49"/>
  <c r="H497" i="47"/>
  <c r="C498" i="49"/>
  <c r="H489" i="47"/>
  <c r="C490" i="49"/>
  <c r="H481" i="47"/>
  <c r="C482" i="49"/>
  <c r="H473" i="47"/>
  <c r="C474" i="49"/>
  <c r="H465" i="47"/>
  <c r="C466" i="49"/>
  <c r="H457" i="47"/>
  <c r="C458" i="49"/>
  <c r="H449" i="47"/>
  <c r="C450" i="49"/>
  <c r="H441" i="47"/>
  <c r="C442" i="49"/>
  <c r="H433" i="47"/>
  <c r="C434" i="49"/>
  <c r="H425" i="47"/>
  <c r="C426" i="49"/>
  <c r="H417" i="47"/>
  <c r="C418" i="49"/>
  <c r="H409" i="47"/>
  <c r="C410" i="49"/>
  <c r="H401" i="47"/>
  <c r="C402" i="49"/>
  <c r="H320" i="47"/>
  <c r="H744" i="47"/>
  <c r="C745" i="49"/>
  <c r="H736" i="47"/>
  <c r="C737" i="49"/>
  <c r="H728" i="47"/>
  <c r="C729" i="49"/>
  <c r="H720" i="47"/>
  <c r="C721" i="49"/>
  <c r="H712" i="47"/>
  <c r="C713" i="49"/>
  <c r="H704" i="47"/>
  <c r="C705" i="49"/>
  <c r="H696" i="47"/>
  <c r="C697" i="49"/>
  <c r="H688" i="47"/>
  <c r="C689" i="49"/>
  <c r="H680" i="47"/>
  <c r="C681" i="49"/>
  <c r="H672" i="47"/>
  <c r="C673" i="49"/>
  <c r="H664" i="47"/>
  <c r="C665" i="49"/>
  <c r="H648" i="47"/>
  <c r="C649" i="49"/>
  <c r="H640" i="47"/>
  <c r="C641" i="49"/>
  <c r="H632" i="47"/>
  <c r="C633" i="49"/>
  <c r="H624" i="47"/>
  <c r="C625" i="49"/>
  <c r="H616" i="47"/>
  <c r="C617" i="49"/>
  <c r="H608" i="47"/>
  <c r="C609" i="49"/>
  <c r="H600" i="47"/>
  <c r="C601" i="49"/>
  <c r="H592" i="47"/>
  <c r="C593" i="49"/>
  <c r="H584" i="47"/>
  <c r="C585" i="49"/>
  <c r="H576" i="47"/>
  <c r="C577" i="49"/>
  <c r="H568" i="47"/>
  <c r="C569" i="49"/>
  <c r="H560" i="47"/>
  <c r="C561" i="49"/>
  <c r="H552" i="47"/>
  <c r="C553" i="49"/>
  <c r="H544" i="47"/>
  <c r="C545" i="49"/>
  <c r="H528" i="47"/>
  <c r="C529" i="49"/>
  <c r="H512" i="47"/>
  <c r="C513" i="49"/>
  <c r="H504" i="47"/>
  <c r="C505" i="49"/>
  <c r="H496" i="47"/>
  <c r="C497" i="49"/>
  <c r="H480" i="47"/>
  <c r="C481" i="49"/>
  <c r="H472" i="47"/>
  <c r="C473" i="49"/>
  <c r="H464" i="47"/>
  <c r="C465" i="49"/>
  <c r="H456" i="47"/>
  <c r="C457" i="49"/>
  <c r="H448" i="47"/>
  <c r="C449" i="49"/>
  <c r="H440" i="47"/>
  <c r="C441" i="49"/>
  <c r="H432" i="47"/>
  <c r="C433" i="49"/>
  <c r="H424" i="47"/>
  <c r="C425" i="49"/>
  <c r="H416" i="47"/>
  <c r="C417" i="49"/>
  <c r="H400" i="47"/>
  <c r="C401" i="49"/>
  <c r="H47" i="47"/>
  <c r="H743" i="47"/>
  <c r="C744" i="49"/>
  <c r="H735" i="47"/>
  <c r="C736" i="49"/>
  <c r="H727" i="47"/>
  <c r="C728" i="49"/>
  <c r="H719" i="47"/>
  <c r="C720" i="49"/>
  <c r="H711" i="47"/>
  <c r="C712" i="49"/>
  <c r="H703" i="47"/>
  <c r="C704" i="49"/>
  <c r="H695" i="47"/>
  <c r="C696" i="49"/>
  <c r="H687" i="47"/>
  <c r="C688" i="49"/>
  <c r="H679" i="47"/>
  <c r="C680" i="49"/>
  <c r="H671" i="47"/>
  <c r="C672" i="49"/>
  <c r="H663" i="47"/>
  <c r="C664" i="49"/>
  <c r="H655" i="47"/>
  <c r="C656" i="49"/>
  <c r="H647" i="47"/>
  <c r="C648" i="49"/>
  <c r="H639" i="47"/>
  <c r="C640" i="49"/>
  <c r="H631" i="47"/>
  <c r="C632" i="49"/>
  <c r="H623" i="47"/>
  <c r="C624" i="49"/>
  <c r="H615" i="47"/>
  <c r="C616" i="49"/>
  <c r="H607" i="47"/>
  <c r="C608" i="49"/>
  <c r="H599" i="47"/>
  <c r="C600" i="49"/>
  <c r="H591" i="47"/>
  <c r="C592" i="49"/>
  <c r="H583" i="47"/>
  <c r="C584" i="49"/>
  <c r="H543" i="47"/>
  <c r="C544" i="49"/>
  <c r="H527" i="47"/>
  <c r="C528" i="49"/>
  <c r="H519" i="47"/>
  <c r="C520" i="49"/>
  <c r="H511" i="47"/>
  <c r="C512" i="49"/>
  <c r="H503" i="47"/>
  <c r="C504" i="49"/>
  <c r="H487" i="47"/>
  <c r="C488" i="49"/>
  <c r="H471" i="47"/>
  <c r="C472" i="49"/>
  <c r="H463" i="47"/>
  <c r="C464" i="49"/>
  <c r="H455" i="47"/>
  <c r="C456" i="49"/>
  <c r="H447" i="47"/>
  <c r="C448" i="49"/>
  <c r="H439" i="47"/>
  <c r="C440" i="49"/>
  <c r="H431" i="47"/>
  <c r="C432" i="49"/>
  <c r="H423" i="47"/>
  <c r="C424" i="49"/>
  <c r="H415" i="47"/>
  <c r="C416" i="49"/>
  <c r="H407" i="47"/>
  <c r="C408" i="49"/>
  <c r="H399" i="47"/>
  <c r="C400" i="49"/>
  <c r="H198" i="47"/>
  <c r="H78" i="47"/>
  <c r="H742" i="47"/>
  <c r="C743" i="49"/>
  <c r="H734" i="47"/>
  <c r="C735" i="49"/>
  <c r="H726" i="47"/>
  <c r="C727" i="49"/>
  <c r="H718" i="47"/>
  <c r="C719" i="49"/>
  <c r="H710" i="47"/>
  <c r="C711" i="49"/>
  <c r="H702" i="47"/>
  <c r="C703" i="49"/>
  <c r="H694" i="47"/>
  <c r="C695" i="49"/>
  <c r="H678" i="47"/>
  <c r="C679" i="49"/>
  <c r="H670" i="47"/>
  <c r="C671" i="49"/>
  <c r="H662" i="47"/>
  <c r="C663" i="49"/>
  <c r="H654" i="47"/>
  <c r="C655" i="49"/>
  <c r="H646" i="47"/>
  <c r="C647" i="49"/>
  <c r="H638" i="47"/>
  <c r="C639" i="49"/>
  <c r="H630" i="47"/>
  <c r="C631" i="49"/>
  <c r="H622" i="47"/>
  <c r="C623" i="49"/>
  <c r="H614" i="47"/>
  <c r="C615" i="49"/>
  <c r="H606" i="47"/>
  <c r="C607" i="49"/>
  <c r="H598" i="47"/>
  <c r="C599" i="49"/>
  <c r="H590" i="47"/>
  <c r="C591" i="49"/>
  <c r="H582" i="47"/>
  <c r="C583" i="49"/>
  <c r="H574" i="47"/>
  <c r="C575" i="49"/>
  <c r="H558" i="47"/>
  <c r="C559" i="49"/>
  <c r="H550" i="47"/>
  <c r="C551" i="49"/>
  <c r="H542" i="47"/>
  <c r="C543" i="49"/>
  <c r="H518" i="47"/>
  <c r="C519" i="49"/>
  <c r="H510" i="47"/>
  <c r="C511" i="49"/>
  <c r="H502" i="47"/>
  <c r="C503" i="49"/>
  <c r="H494" i="47"/>
  <c r="C495" i="49"/>
  <c r="H486" i="47"/>
  <c r="C487" i="49"/>
  <c r="H478" i="47"/>
  <c r="C479" i="49"/>
  <c r="H470" i="47"/>
  <c r="C471" i="49"/>
  <c r="H446" i="47"/>
  <c r="C447" i="49"/>
  <c r="H438" i="47"/>
  <c r="C439" i="49"/>
  <c r="H430" i="47"/>
  <c r="C431" i="49"/>
  <c r="H422" i="47"/>
  <c r="C423" i="49"/>
  <c r="H414" i="47"/>
  <c r="C415" i="49"/>
  <c r="H406" i="47"/>
  <c r="C407" i="49"/>
  <c r="H741" i="47"/>
  <c r="C742" i="49"/>
  <c r="H733" i="47"/>
  <c r="C734" i="49"/>
  <c r="H725" i="47"/>
  <c r="C726" i="49"/>
  <c r="H709" i="47"/>
  <c r="C710" i="49"/>
  <c r="H701" i="47"/>
  <c r="C702" i="49"/>
  <c r="H693" i="47"/>
  <c r="C694" i="49"/>
  <c r="H685" i="47"/>
  <c r="C686" i="49"/>
  <c r="H677" i="47"/>
  <c r="C678" i="49"/>
  <c r="H669" i="47"/>
  <c r="C670" i="49"/>
  <c r="H661" i="47"/>
  <c r="C662" i="49"/>
  <c r="H653" i="47"/>
  <c r="C654" i="49"/>
  <c r="H645" i="47"/>
  <c r="C646" i="49"/>
  <c r="H637" i="47"/>
  <c r="C638" i="49"/>
  <c r="H629" i="47"/>
  <c r="C630" i="49"/>
  <c r="H621" i="47"/>
  <c r="C622" i="49"/>
  <c r="H613" i="47"/>
  <c r="C614" i="49"/>
  <c r="H605" i="47"/>
  <c r="C606" i="49"/>
  <c r="H589" i="47"/>
  <c r="C590" i="49"/>
  <c r="H581" i="47"/>
  <c r="C582" i="49"/>
  <c r="H573" i="47"/>
  <c r="C574" i="49"/>
  <c r="H565" i="47"/>
  <c r="C566" i="49"/>
  <c r="H557" i="47"/>
  <c r="C558" i="49"/>
  <c r="H549" i="47"/>
  <c r="C550" i="49"/>
  <c r="H541" i="47"/>
  <c r="C542" i="49"/>
  <c r="H533" i="47"/>
  <c r="C534" i="49"/>
  <c r="H525" i="47"/>
  <c r="C526" i="49"/>
  <c r="H517" i="47"/>
  <c r="C518" i="49"/>
  <c r="H509" i="47"/>
  <c r="C510" i="49"/>
  <c r="H501" i="47"/>
  <c r="C502" i="49"/>
  <c r="H493" i="47"/>
  <c r="C494" i="49"/>
  <c r="H485" i="47"/>
  <c r="C486" i="49"/>
  <c r="H477" i="47"/>
  <c r="C478" i="49"/>
  <c r="H469" i="47"/>
  <c r="C470" i="49"/>
  <c r="H461" i="47"/>
  <c r="C462" i="49"/>
  <c r="H453" i="47"/>
  <c r="C454" i="49"/>
  <c r="H445" i="47"/>
  <c r="C446" i="49"/>
  <c r="H437" i="47"/>
  <c r="C438" i="49"/>
  <c r="H429" i="47"/>
  <c r="C430" i="49"/>
  <c r="H421" i="47"/>
  <c r="C422" i="49"/>
  <c r="H405" i="47"/>
  <c r="C406" i="49"/>
  <c r="H108" i="47"/>
  <c r="H740" i="47"/>
  <c r="C741" i="49"/>
  <c r="H732" i="47"/>
  <c r="C733" i="49"/>
  <c r="H724" i="47"/>
  <c r="C725" i="49"/>
  <c r="H716" i="47"/>
  <c r="C717" i="49"/>
  <c r="H708" i="47"/>
  <c r="C709" i="49"/>
  <c r="H700" i="47"/>
  <c r="C701" i="49"/>
  <c r="H692" i="47"/>
  <c r="C693" i="49"/>
  <c r="H684" i="47"/>
  <c r="C685" i="49"/>
  <c r="H676" i="47"/>
  <c r="C677" i="49"/>
  <c r="H668" i="47"/>
  <c r="C669" i="49"/>
  <c r="H660" i="47"/>
  <c r="C661" i="49"/>
  <c r="H652" i="47"/>
  <c r="C653" i="49"/>
  <c r="H644" i="47"/>
  <c r="C645" i="49"/>
  <c r="H636" i="47"/>
  <c r="C637" i="49"/>
  <c r="H628" i="47"/>
  <c r="C629" i="49"/>
  <c r="H620" i="47"/>
  <c r="C621" i="49"/>
  <c r="H612" i="47"/>
  <c r="C613" i="49"/>
  <c r="H604" i="47"/>
  <c r="C605" i="49"/>
  <c r="H596" i="47"/>
  <c r="C597" i="49"/>
  <c r="H588" i="47"/>
  <c r="C589" i="49"/>
  <c r="H580" i="47"/>
  <c r="C581" i="49"/>
  <c r="H572" i="47"/>
  <c r="C573" i="49"/>
  <c r="H564" i="47"/>
  <c r="C565" i="49"/>
  <c r="H556" i="47"/>
  <c r="C557" i="49"/>
  <c r="H548" i="47"/>
  <c r="C549" i="49"/>
  <c r="H540" i="47"/>
  <c r="C541" i="49"/>
  <c r="H532" i="47"/>
  <c r="C533" i="49"/>
  <c r="H524" i="47"/>
  <c r="C525" i="49"/>
  <c r="H516" i="47"/>
  <c r="C517" i="49"/>
  <c r="H508" i="47"/>
  <c r="C509" i="49"/>
  <c r="H500" i="47"/>
  <c r="C501" i="49"/>
  <c r="H492" i="47"/>
  <c r="C493" i="49"/>
  <c r="H484" i="47"/>
  <c r="C485" i="49"/>
  <c r="H476" i="47"/>
  <c r="C477" i="49"/>
  <c r="H468" i="47"/>
  <c r="C469" i="49"/>
  <c r="H460" i="47"/>
  <c r="C461" i="49"/>
  <c r="H452" i="47"/>
  <c r="C453" i="49"/>
  <c r="H436" i="47"/>
  <c r="C437" i="49"/>
  <c r="H428" i="47"/>
  <c r="C429" i="49"/>
  <c r="H420" i="47"/>
  <c r="C421" i="49"/>
  <c r="H412" i="47"/>
  <c r="C413" i="49"/>
  <c r="H404" i="47"/>
  <c r="C405" i="49"/>
  <c r="H259" i="47"/>
  <c r="H398" i="47"/>
  <c r="C399" i="49"/>
  <c r="H747" i="47"/>
  <c r="C748" i="49"/>
  <c r="H739" i="47"/>
  <c r="C740" i="49"/>
  <c r="H731" i="47"/>
  <c r="C732" i="49"/>
  <c r="H723" i="47"/>
  <c r="C724" i="49"/>
  <c r="H715" i="47"/>
  <c r="C716" i="49"/>
  <c r="H707" i="47"/>
  <c r="C708" i="49"/>
  <c r="H699" i="47"/>
  <c r="C700" i="49"/>
  <c r="H691" i="47"/>
  <c r="C692" i="49"/>
  <c r="H683" i="47"/>
  <c r="C684" i="49"/>
  <c r="H675" i="47"/>
  <c r="C676" i="49"/>
  <c r="H667" i="47"/>
  <c r="C668" i="49"/>
  <c r="H659" i="47"/>
  <c r="C660" i="49"/>
  <c r="H651" i="47"/>
  <c r="C652" i="49"/>
  <c r="H643" i="47"/>
  <c r="C644" i="49"/>
  <c r="H635" i="47"/>
  <c r="C636" i="49"/>
  <c r="H627" i="47"/>
  <c r="C628" i="49"/>
  <c r="H619" i="47"/>
  <c r="C620" i="49"/>
  <c r="H611" i="47"/>
  <c r="C612" i="49"/>
  <c r="H603" i="47"/>
  <c r="C604" i="49"/>
  <c r="H595" i="47"/>
  <c r="C596" i="49"/>
  <c r="H587" i="47"/>
  <c r="C588" i="49"/>
  <c r="H563" i="47"/>
  <c r="C564" i="49"/>
  <c r="H555" i="47"/>
  <c r="C556" i="49"/>
  <c r="H547" i="47"/>
  <c r="C548" i="49"/>
  <c r="H531" i="47"/>
  <c r="C532" i="49"/>
  <c r="H523" i="47"/>
  <c r="C524" i="49"/>
  <c r="H515" i="47"/>
  <c r="C516" i="49"/>
  <c r="H507" i="47"/>
  <c r="C508" i="49"/>
  <c r="H499" i="47"/>
  <c r="C500" i="49"/>
  <c r="H491" i="47"/>
  <c r="C492" i="49"/>
  <c r="H483" i="47"/>
  <c r="C484" i="49"/>
  <c r="H475" i="47"/>
  <c r="C476" i="49"/>
  <c r="H467" i="47"/>
  <c r="C468" i="49"/>
  <c r="H459" i="47"/>
  <c r="C460" i="49"/>
  <c r="H451" i="47"/>
  <c r="C452" i="49"/>
  <c r="H443" i="47"/>
  <c r="C444" i="49"/>
  <c r="H435" i="47"/>
  <c r="C436" i="49"/>
  <c r="H427" i="47"/>
  <c r="C428" i="49"/>
  <c r="H419" i="47"/>
  <c r="C420" i="49"/>
  <c r="H411" i="47"/>
  <c r="C412" i="49"/>
  <c r="H403" i="47"/>
  <c r="C404" i="49"/>
  <c r="H762" i="47"/>
  <c r="I762" i="47"/>
  <c r="H754" i="47"/>
  <c r="I754" i="47"/>
  <c r="H761" i="47"/>
  <c r="I761" i="47"/>
  <c r="H753" i="47"/>
  <c r="I753" i="47"/>
  <c r="H760" i="47"/>
  <c r="I760" i="47"/>
  <c r="H752" i="47"/>
  <c r="I752" i="47"/>
  <c r="H759" i="47"/>
  <c r="I759" i="47"/>
  <c r="H751" i="47"/>
  <c r="I751" i="47"/>
  <c r="I758" i="47"/>
  <c r="H758" i="47"/>
  <c r="H750" i="47"/>
  <c r="I750" i="47"/>
  <c r="H757" i="47"/>
  <c r="I757" i="47"/>
  <c r="H749" i="47"/>
  <c r="I749" i="47"/>
  <c r="H756" i="47"/>
  <c r="I756" i="47"/>
  <c r="H748" i="47"/>
  <c r="I748" i="47"/>
  <c r="H763" i="47"/>
  <c r="I763" i="47"/>
  <c r="H755" i="47"/>
  <c r="I755" i="47"/>
  <c r="F538" i="47"/>
  <c r="H538" i="47"/>
  <c r="E531" i="49"/>
  <c r="H530" i="47"/>
  <c r="E507" i="49"/>
  <c r="H506" i="47"/>
  <c r="F482" i="47"/>
  <c r="H482" i="47"/>
  <c r="H474" i="47"/>
  <c r="F467" i="49"/>
  <c r="H466" i="47"/>
  <c r="H625" i="47"/>
  <c r="E578" i="49"/>
  <c r="H577" i="47"/>
  <c r="E570" i="49"/>
  <c r="H569" i="47"/>
  <c r="F562" i="49"/>
  <c r="H561" i="47"/>
  <c r="F522" i="49"/>
  <c r="H521" i="47"/>
  <c r="H505" i="47"/>
  <c r="H656" i="47"/>
  <c r="F537" i="49"/>
  <c r="H536" i="47"/>
  <c r="E521" i="49"/>
  <c r="H520" i="47"/>
  <c r="E489" i="49"/>
  <c r="H488" i="47"/>
  <c r="E409" i="49"/>
  <c r="H408" i="47"/>
  <c r="E576" i="49"/>
  <c r="H575" i="47"/>
  <c r="F568" i="49"/>
  <c r="H567" i="47"/>
  <c r="E560" i="49"/>
  <c r="H559" i="47"/>
  <c r="F552" i="49"/>
  <c r="H551" i="47"/>
  <c r="H535" i="47"/>
  <c r="E496" i="49"/>
  <c r="H495" i="47"/>
  <c r="E480" i="49"/>
  <c r="H479" i="47"/>
  <c r="H686" i="47"/>
  <c r="H566" i="47"/>
  <c r="F535" i="49"/>
  <c r="H534" i="47"/>
  <c r="F526" i="47"/>
  <c r="H526" i="47"/>
  <c r="H462" i="47"/>
  <c r="E455" i="49"/>
  <c r="H454" i="47"/>
  <c r="H717" i="47"/>
  <c r="H597" i="47"/>
  <c r="H413" i="47"/>
  <c r="H444" i="47"/>
  <c r="E580" i="49"/>
  <c r="H579" i="47"/>
  <c r="E572" i="49"/>
  <c r="H571" i="47"/>
  <c r="F540" i="49"/>
  <c r="H539" i="47"/>
  <c r="E505" i="49"/>
  <c r="F17" i="47"/>
  <c r="F50" i="47"/>
  <c r="F49" i="47"/>
  <c r="F47" i="47"/>
  <c r="F46" i="47"/>
  <c r="F763" i="47"/>
  <c r="E763" i="49"/>
  <c r="F763" i="49"/>
  <c r="F762" i="47"/>
  <c r="F761" i="47"/>
  <c r="E762" i="49"/>
  <c r="F762" i="49"/>
  <c r="E761" i="49"/>
  <c r="F761" i="49"/>
  <c r="F760" i="47"/>
  <c r="F759" i="47"/>
  <c r="E760" i="49"/>
  <c r="F760" i="49"/>
  <c r="E759" i="49"/>
  <c r="F759" i="49"/>
  <c r="F758" i="47"/>
  <c r="F757" i="47"/>
  <c r="E758" i="49"/>
  <c r="F758" i="49"/>
  <c r="E757" i="49"/>
  <c r="F757" i="49"/>
  <c r="F756" i="47"/>
  <c r="F755" i="47"/>
  <c r="E756" i="49"/>
  <c r="F756" i="49"/>
  <c r="E755" i="49"/>
  <c r="F755" i="49"/>
  <c r="F754" i="47"/>
  <c r="F753" i="47"/>
  <c r="E754" i="49"/>
  <c r="F754" i="49"/>
  <c r="E753" i="49"/>
  <c r="F753" i="49"/>
  <c r="F752" i="47"/>
  <c r="F751" i="47"/>
  <c r="E752" i="49"/>
  <c r="F752" i="49"/>
  <c r="E751" i="49"/>
  <c r="F751" i="49"/>
  <c r="F750" i="47"/>
  <c r="F749" i="47"/>
  <c r="E750" i="49"/>
  <c r="F750" i="49"/>
  <c r="E749" i="49"/>
  <c r="F749" i="49"/>
  <c r="F747" i="47"/>
  <c r="E748" i="49"/>
  <c r="E747" i="49"/>
  <c r="F747" i="49"/>
  <c r="F746" i="47"/>
  <c r="F745" i="47"/>
  <c r="E746" i="49"/>
  <c r="F746" i="49"/>
  <c r="E745" i="49"/>
  <c r="F745" i="49"/>
  <c r="F744" i="47"/>
  <c r="F743" i="47"/>
  <c r="E744" i="49"/>
  <c r="F744" i="49"/>
  <c r="E743" i="49"/>
  <c r="F743" i="49"/>
  <c r="F742" i="47"/>
  <c r="F741" i="47"/>
  <c r="E742" i="49"/>
  <c r="F742" i="49"/>
  <c r="E741" i="49"/>
  <c r="F741" i="49"/>
  <c r="F740" i="47"/>
  <c r="F739" i="47"/>
  <c r="E740" i="49"/>
  <c r="F740" i="49"/>
  <c r="E739" i="49"/>
  <c r="F739" i="49"/>
  <c r="F738" i="47"/>
  <c r="F737" i="47"/>
  <c r="E738" i="49"/>
  <c r="F738" i="49"/>
  <c r="E737" i="49"/>
  <c r="F737" i="49"/>
  <c r="F736" i="47"/>
  <c r="F735" i="47"/>
  <c r="E736" i="49"/>
  <c r="F736" i="49"/>
  <c r="E735" i="49"/>
  <c r="F735" i="49"/>
  <c r="F734" i="47"/>
  <c r="F733" i="47"/>
  <c r="E734" i="49"/>
  <c r="F734" i="49"/>
  <c r="E733" i="49"/>
  <c r="F733" i="49"/>
  <c r="F732" i="47"/>
  <c r="F731" i="47"/>
  <c r="E732" i="49"/>
  <c r="F732" i="49"/>
  <c r="E731" i="49"/>
  <c r="F731" i="49"/>
  <c r="F730" i="47"/>
  <c r="F729" i="47"/>
  <c r="E730" i="49"/>
  <c r="F730" i="49"/>
  <c r="E729" i="49"/>
  <c r="F729" i="49"/>
  <c r="F728" i="47"/>
  <c r="F727" i="47"/>
  <c r="E728" i="49"/>
  <c r="F728" i="49"/>
  <c r="E727" i="49"/>
  <c r="F727" i="49"/>
  <c r="F726" i="47"/>
  <c r="F725" i="47"/>
  <c r="E726" i="49"/>
  <c r="F726" i="49"/>
  <c r="E725" i="49"/>
  <c r="F725" i="49"/>
  <c r="F724" i="47"/>
  <c r="F723" i="47"/>
  <c r="E724" i="49"/>
  <c r="F724" i="49"/>
  <c r="E723" i="49"/>
  <c r="F723" i="49"/>
  <c r="F722" i="47"/>
  <c r="F721" i="47"/>
  <c r="E722" i="49"/>
  <c r="F722" i="49"/>
  <c r="E721" i="49"/>
  <c r="F721" i="49"/>
  <c r="F720" i="47"/>
  <c r="E720" i="49"/>
  <c r="F720" i="49"/>
  <c r="E719" i="49"/>
  <c r="F719" i="49"/>
  <c r="F718" i="47"/>
  <c r="F717" i="47"/>
  <c r="F718" i="49"/>
  <c r="E718" i="49"/>
  <c r="E717" i="49"/>
  <c r="F716" i="47"/>
  <c r="F716" i="49"/>
  <c r="F715" i="47"/>
  <c r="E716" i="49"/>
  <c r="E715" i="49"/>
  <c r="F715" i="49"/>
  <c r="F714" i="47"/>
  <c r="F714" i="49"/>
  <c r="F713" i="47"/>
  <c r="E714" i="49"/>
  <c r="E713" i="49"/>
  <c r="F713" i="49"/>
  <c r="F712" i="47"/>
  <c r="F712" i="49"/>
  <c r="F711" i="47"/>
  <c r="E712" i="49"/>
  <c r="E711" i="49"/>
  <c r="F711" i="49"/>
  <c r="F710" i="47"/>
  <c r="F710" i="49"/>
  <c r="F709" i="47"/>
  <c r="E710" i="49"/>
  <c r="E709" i="49"/>
  <c r="F709" i="49"/>
  <c r="F708" i="47"/>
  <c r="F708" i="49"/>
  <c r="F707" i="47"/>
  <c r="E708" i="49"/>
  <c r="E707" i="49"/>
  <c r="F707" i="49"/>
  <c r="F706" i="47"/>
  <c r="F706" i="49"/>
  <c r="F705" i="47"/>
  <c r="E706" i="49"/>
  <c r="E705" i="49"/>
  <c r="F705" i="49"/>
  <c r="F704" i="47"/>
  <c r="F704" i="49"/>
  <c r="F703" i="47"/>
  <c r="E704" i="49"/>
  <c r="E703" i="49"/>
  <c r="F703" i="49"/>
  <c r="F702" i="47"/>
  <c r="F702" i="49"/>
  <c r="F701" i="47"/>
  <c r="E702" i="49"/>
  <c r="E701" i="49"/>
  <c r="F701" i="49"/>
  <c r="F700" i="47"/>
  <c r="F700" i="49"/>
  <c r="F699" i="47"/>
  <c r="E700" i="49"/>
  <c r="E699" i="49"/>
  <c r="F699" i="49"/>
  <c r="F698" i="47"/>
  <c r="F698" i="49"/>
  <c r="F697" i="47"/>
  <c r="E698" i="49"/>
  <c r="E697" i="49"/>
  <c r="F697" i="49"/>
  <c r="F696" i="47"/>
  <c r="F696" i="49"/>
  <c r="F695" i="47"/>
  <c r="E696" i="49"/>
  <c r="E695" i="49"/>
  <c r="F695" i="49"/>
  <c r="F694" i="47"/>
  <c r="F694" i="49"/>
  <c r="F693" i="47"/>
  <c r="E694" i="49"/>
  <c r="E693" i="49"/>
  <c r="F693" i="49"/>
  <c r="F692" i="47"/>
  <c r="F692" i="49"/>
  <c r="F691" i="47"/>
  <c r="E692" i="49"/>
  <c r="E691" i="49"/>
  <c r="F691" i="49"/>
  <c r="F690" i="47"/>
  <c r="F690" i="49"/>
  <c r="F689" i="47"/>
  <c r="E690" i="49"/>
  <c r="E689" i="49"/>
  <c r="F689" i="49"/>
  <c r="F688" i="49"/>
  <c r="F687" i="47"/>
  <c r="E688" i="49"/>
  <c r="F686" i="47"/>
  <c r="E687" i="49"/>
  <c r="F687" i="49"/>
  <c r="E686" i="49"/>
  <c r="F686" i="49"/>
  <c r="F685" i="47"/>
  <c r="E685" i="49"/>
  <c r="F685" i="49"/>
  <c r="F684" i="47"/>
  <c r="E684" i="49"/>
  <c r="F684" i="49"/>
  <c r="F683" i="47"/>
  <c r="E683" i="49"/>
  <c r="F683" i="49"/>
  <c r="F682" i="47"/>
  <c r="E682" i="49"/>
  <c r="F682" i="49"/>
  <c r="F681" i="47"/>
  <c r="E681" i="49"/>
  <c r="F681" i="49"/>
  <c r="F680" i="47"/>
  <c r="E680" i="49"/>
  <c r="F680" i="49"/>
  <c r="F679" i="47"/>
  <c r="E679" i="49"/>
  <c r="F679" i="49"/>
  <c r="F678" i="47"/>
  <c r="E678" i="49"/>
  <c r="F678" i="49"/>
  <c r="F677" i="47"/>
  <c r="E677" i="49"/>
  <c r="F677" i="49"/>
  <c r="F676" i="47"/>
  <c r="E676" i="49"/>
  <c r="F676" i="49"/>
  <c r="F675" i="47"/>
  <c r="E675" i="49"/>
  <c r="F675" i="49"/>
  <c r="F674" i="47"/>
  <c r="E674" i="49"/>
  <c r="F674" i="49"/>
  <c r="F673" i="47"/>
  <c r="E673" i="49"/>
  <c r="F673" i="49"/>
  <c r="F672" i="47"/>
  <c r="E672" i="49"/>
  <c r="F672" i="49"/>
  <c r="F671" i="47"/>
  <c r="E671" i="49"/>
  <c r="F671" i="49"/>
  <c r="F670" i="47"/>
  <c r="E670" i="49"/>
  <c r="F670" i="49"/>
  <c r="F669" i="47"/>
  <c r="E669" i="49"/>
  <c r="F669" i="49"/>
  <c r="F668" i="47"/>
  <c r="E668" i="49"/>
  <c r="F668" i="49"/>
  <c r="F667" i="47"/>
  <c r="E667" i="49"/>
  <c r="F667" i="49"/>
  <c r="F666" i="47"/>
  <c r="E666" i="49"/>
  <c r="F666" i="49"/>
  <c r="F665" i="47"/>
  <c r="E665" i="49"/>
  <c r="F665" i="49"/>
  <c r="F664" i="47"/>
  <c r="E664" i="49"/>
  <c r="F664" i="49"/>
  <c r="F663" i="47"/>
  <c r="E663" i="49"/>
  <c r="F663" i="49"/>
  <c r="F662" i="47"/>
  <c r="E662" i="49"/>
  <c r="F662" i="49"/>
  <c r="F661" i="47"/>
  <c r="E661" i="49"/>
  <c r="F661" i="49"/>
  <c r="F660" i="47"/>
  <c r="E660" i="49"/>
  <c r="F660" i="49"/>
  <c r="F659" i="47"/>
  <c r="E659" i="49"/>
  <c r="F659" i="49"/>
  <c r="F658" i="47"/>
  <c r="E658" i="49"/>
  <c r="F658" i="49"/>
  <c r="F656" i="47"/>
  <c r="E657" i="49"/>
  <c r="F657" i="49"/>
  <c r="E656" i="49"/>
  <c r="F655" i="47"/>
  <c r="F654" i="47"/>
  <c r="E655" i="49"/>
  <c r="F655" i="49"/>
  <c r="E654" i="49"/>
  <c r="F654" i="49"/>
  <c r="F653" i="47"/>
  <c r="F653" i="49"/>
  <c r="F652" i="47"/>
  <c r="E653" i="49"/>
  <c r="E652" i="49"/>
  <c r="F651" i="47"/>
  <c r="F652" i="49"/>
  <c r="F651" i="49"/>
  <c r="F650" i="47"/>
  <c r="E651" i="49"/>
  <c r="E650" i="49"/>
  <c r="F649" i="47"/>
  <c r="F650" i="49"/>
  <c r="F649" i="49"/>
  <c r="F648" i="47"/>
  <c r="E649" i="49"/>
  <c r="E648" i="49"/>
  <c r="F647" i="47"/>
  <c r="F648" i="49"/>
  <c r="F647" i="49"/>
  <c r="F646" i="47"/>
  <c r="E647" i="49"/>
  <c r="E646" i="49"/>
  <c r="F645" i="47"/>
  <c r="F646" i="49"/>
  <c r="F645" i="49"/>
  <c r="F644" i="47"/>
  <c r="E645" i="49"/>
  <c r="E644" i="49"/>
  <c r="F643" i="47"/>
  <c r="F644" i="49"/>
  <c r="F643" i="49"/>
  <c r="F642" i="47"/>
  <c r="E643" i="49"/>
  <c r="E642" i="49"/>
  <c r="F641" i="47"/>
  <c r="F642" i="49"/>
  <c r="F641" i="49"/>
  <c r="F640" i="47"/>
  <c r="E641" i="49"/>
  <c r="E640" i="49"/>
  <c r="F639" i="47"/>
  <c r="F640" i="49"/>
  <c r="F639" i="49"/>
  <c r="F638" i="47"/>
  <c r="E639" i="49"/>
  <c r="E638" i="49"/>
  <c r="F637" i="47"/>
  <c r="F638" i="49"/>
  <c r="F637" i="49"/>
  <c r="F636" i="47"/>
  <c r="E637" i="49"/>
  <c r="E636" i="49"/>
  <c r="F635" i="47"/>
  <c r="F636" i="49"/>
  <c r="F635" i="49"/>
  <c r="F634" i="47"/>
  <c r="E635" i="49"/>
  <c r="E634" i="49"/>
  <c r="F634" i="49"/>
  <c r="F633" i="47"/>
  <c r="F633" i="49"/>
  <c r="F632" i="47"/>
  <c r="E633" i="49"/>
  <c r="E632" i="49"/>
  <c r="F632" i="49"/>
  <c r="F631" i="47"/>
  <c r="F631" i="49"/>
  <c r="F630" i="47"/>
  <c r="E631" i="49"/>
  <c r="E630" i="49"/>
  <c r="F630" i="49"/>
  <c r="F629" i="47"/>
  <c r="F629" i="49"/>
  <c r="F628" i="47"/>
  <c r="E629" i="49"/>
  <c r="E628" i="49"/>
  <c r="F628" i="49"/>
  <c r="F627" i="49"/>
  <c r="F626" i="47"/>
  <c r="E627" i="49"/>
  <c r="F625" i="47"/>
  <c r="E626" i="49"/>
  <c r="F626" i="49"/>
  <c r="E625" i="49"/>
  <c r="F625" i="49"/>
  <c r="F624" i="47"/>
  <c r="E624" i="49"/>
  <c r="F624" i="49"/>
  <c r="F623" i="47"/>
  <c r="E623" i="49"/>
  <c r="F623" i="49"/>
  <c r="F622" i="47"/>
  <c r="E622" i="49"/>
  <c r="F622" i="49"/>
  <c r="F621" i="47"/>
  <c r="E621" i="49"/>
  <c r="F621" i="49"/>
  <c r="F620" i="47"/>
  <c r="E620" i="49"/>
  <c r="F619" i="47"/>
  <c r="F620" i="49"/>
  <c r="E619" i="49"/>
  <c r="F619" i="49"/>
  <c r="F618" i="47"/>
  <c r="E618" i="49"/>
  <c r="F618" i="49"/>
  <c r="F617" i="47"/>
  <c r="E617" i="49"/>
  <c r="F617" i="49"/>
  <c r="F616" i="47"/>
  <c r="E616" i="49"/>
  <c r="F616" i="49"/>
  <c r="F615" i="47"/>
  <c r="E615" i="49"/>
  <c r="F615" i="49"/>
  <c r="F614" i="47"/>
  <c r="E614" i="49"/>
  <c r="F614" i="49"/>
  <c r="F613" i="47"/>
  <c r="E613" i="49"/>
  <c r="F613" i="49"/>
  <c r="F612" i="47"/>
  <c r="E612" i="49"/>
  <c r="F611" i="47"/>
  <c r="F612" i="49"/>
  <c r="E611" i="49"/>
  <c r="F611" i="49"/>
  <c r="F610" i="47"/>
  <c r="E610" i="49"/>
  <c r="F610" i="49"/>
  <c r="F609" i="47"/>
  <c r="E609" i="49"/>
  <c r="F609" i="49"/>
  <c r="F608" i="47"/>
  <c r="E608" i="49"/>
  <c r="F608" i="49"/>
  <c r="F607" i="47"/>
  <c r="E607" i="49"/>
  <c r="F607" i="49"/>
  <c r="F606" i="47"/>
  <c r="E606" i="49"/>
  <c r="F606" i="49"/>
  <c r="F605" i="47"/>
  <c r="E605" i="49"/>
  <c r="F605" i="49"/>
  <c r="F604" i="47"/>
  <c r="E604" i="49"/>
  <c r="F603" i="47"/>
  <c r="F604" i="49"/>
  <c r="E603" i="49"/>
  <c r="F603" i="49"/>
  <c r="F602" i="47"/>
  <c r="E602" i="49"/>
  <c r="F602" i="49"/>
  <c r="F601" i="47"/>
  <c r="E601" i="49"/>
  <c r="F601" i="49"/>
  <c r="F600" i="47"/>
  <c r="E600" i="49"/>
  <c r="F600" i="49"/>
  <c r="F599" i="47"/>
  <c r="E599" i="49"/>
  <c r="F599" i="49"/>
  <c r="F598" i="47"/>
  <c r="F597" i="47"/>
  <c r="F598" i="49"/>
  <c r="E598" i="49"/>
  <c r="E597" i="49"/>
  <c r="F597" i="49"/>
  <c r="F595" i="47"/>
  <c r="F596" i="49"/>
  <c r="E596" i="49"/>
  <c r="E595" i="49"/>
  <c r="F594" i="47"/>
  <c r="F593" i="47"/>
  <c r="F594" i="49"/>
  <c r="E594" i="49"/>
  <c r="E593" i="49"/>
  <c r="F593" i="49"/>
  <c r="F592" i="47"/>
  <c r="F591" i="47"/>
  <c r="F592" i="49"/>
  <c r="E592" i="49"/>
  <c r="F589" i="47"/>
  <c r="F590" i="49"/>
  <c r="E590" i="49"/>
  <c r="E589" i="49"/>
  <c r="F589" i="49"/>
  <c r="F588" i="47"/>
  <c r="F587" i="47"/>
  <c r="F588" i="49"/>
  <c r="E588" i="49"/>
  <c r="F585" i="47"/>
  <c r="F586" i="49"/>
  <c r="E586" i="49"/>
  <c r="E585" i="49"/>
  <c r="F585" i="49"/>
  <c r="F584" i="47"/>
  <c r="F583" i="47"/>
  <c r="F584" i="49"/>
  <c r="E584" i="49"/>
  <c r="F581" i="47"/>
  <c r="F582" i="49"/>
  <c r="F573" i="47"/>
  <c r="F574" i="49"/>
  <c r="E566" i="49"/>
  <c r="F566" i="49"/>
  <c r="F565" i="47"/>
  <c r="F558" i="49"/>
  <c r="F557" i="47"/>
  <c r="F550" i="49"/>
  <c r="E542" i="49"/>
  <c r="F541" i="47"/>
  <c r="E534" i="49"/>
  <c r="F534" i="49"/>
  <c r="F526" i="49"/>
  <c r="F525" i="47"/>
  <c r="F518" i="49"/>
  <c r="E518" i="49"/>
  <c r="F517" i="47"/>
  <c r="F510" i="49"/>
  <c r="E510" i="49"/>
  <c r="E502" i="49"/>
  <c r="F501" i="47"/>
  <c r="F502" i="49"/>
  <c r="E494" i="49"/>
  <c r="F493" i="47"/>
  <c r="E486" i="49"/>
  <c r="F485" i="47"/>
  <c r="F486" i="49"/>
  <c r="E478" i="49"/>
  <c r="F477" i="47"/>
  <c r="F470" i="49"/>
  <c r="E470" i="49"/>
  <c r="F462" i="49"/>
  <c r="E454" i="49"/>
  <c r="F454" i="49"/>
  <c r="E446" i="49"/>
  <c r="F446" i="49"/>
  <c r="E438" i="49"/>
  <c r="F438" i="49"/>
  <c r="F437" i="47"/>
  <c r="E430" i="49"/>
  <c r="F430" i="49"/>
  <c r="E422" i="49"/>
  <c r="F422" i="49"/>
  <c r="E414" i="49"/>
  <c r="F414" i="49"/>
  <c r="E406" i="49"/>
  <c r="F405" i="47"/>
  <c r="F406" i="49"/>
  <c r="F542" i="49"/>
  <c r="F509" i="47"/>
  <c r="F429" i="47"/>
  <c r="E581" i="49"/>
  <c r="F581" i="49"/>
  <c r="F580" i="47"/>
  <c r="E573" i="49"/>
  <c r="F573" i="49"/>
  <c r="F572" i="47"/>
  <c r="F565" i="49"/>
  <c r="E557" i="49"/>
  <c r="F556" i="47"/>
  <c r="E549" i="49"/>
  <c r="F549" i="49"/>
  <c r="F548" i="47"/>
  <c r="E541" i="49"/>
  <c r="F541" i="49"/>
  <c r="F540" i="47"/>
  <c r="E533" i="49"/>
  <c r="F533" i="49"/>
  <c r="F532" i="47"/>
  <c r="F524" i="47"/>
  <c r="E525" i="49"/>
  <c r="F525" i="49"/>
  <c r="F517" i="49"/>
  <c r="E517" i="49"/>
  <c r="F509" i="49"/>
  <c r="E509" i="49"/>
  <c r="F508" i="47"/>
  <c r="E501" i="49"/>
  <c r="F500" i="47"/>
  <c r="E493" i="49"/>
  <c r="F493" i="49"/>
  <c r="F492" i="47"/>
  <c r="E485" i="49"/>
  <c r="F484" i="47"/>
  <c r="E477" i="49"/>
  <c r="F477" i="49"/>
  <c r="F476" i="47"/>
  <c r="F469" i="49"/>
  <c r="F461" i="49"/>
  <c r="E461" i="49"/>
  <c r="F453" i="49"/>
  <c r="E453" i="49"/>
  <c r="E445" i="49"/>
  <c r="F445" i="49"/>
  <c r="E437" i="49"/>
  <c r="F437" i="49"/>
  <c r="F436" i="47"/>
  <c r="E429" i="49"/>
  <c r="F429" i="49"/>
  <c r="F428" i="47"/>
  <c r="E421" i="49"/>
  <c r="F421" i="49"/>
  <c r="F420" i="47"/>
  <c r="E413" i="49"/>
  <c r="F413" i="49"/>
  <c r="F412" i="47"/>
  <c r="E405" i="49"/>
  <c r="F405" i="49"/>
  <c r="F404" i="47"/>
  <c r="F559" i="47"/>
  <c r="F549" i="47"/>
  <c r="F485" i="49"/>
  <c r="F421" i="47"/>
  <c r="F579" i="47"/>
  <c r="F571" i="47"/>
  <c r="E564" i="49"/>
  <c r="F564" i="49"/>
  <c r="F563" i="47"/>
  <c r="E556" i="49"/>
  <c r="F556" i="49"/>
  <c r="F555" i="47"/>
  <c r="F548" i="49"/>
  <c r="F547" i="47"/>
  <c r="F539" i="47"/>
  <c r="F532" i="49"/>
  <c r="E532" i="49"/>
  <c r="E524" i="49"/>
  <c r="F523" i="47"/>
  <c r="F524" i="49"/>
  <c r="F516" i="49"/>
  <c r="F515" i="47"/>
  <c r="F508" i="49"/>
  <c r="F507" i="47"/>
  <c r="E508" i="49"/>
  <c r="E500" i="49"/>
  <c r="F500" i="49"/>
  <c r="F499" i="47"/>
  <c r="E492" i="49"/>
  <c r="F492" i="49"/>
  <c r="F491" i="47"/>
  <c r="E484" i="49"/>
  <c r="F484" i="49"/>
  <c r="F483" i="47"/>
  <c r="E476" i="49"/>
  <c r="F476" i="49"/>
  <c r="F475" i="47"/>
  <c r="E468" i="49"/>
  <c r="F468" i="49"/>
  <c r="E460" i="49"/>
  <c r="F460" i="49"/>
  <c r="E452" i="49"/>
  <c r="G443" i="47"/>
  <c r="F436" i="49"/>
  <c r="E436" i="49"/>
  <c r="F435" i="47"/>
  <c r="F428" i="49"/>
  <c r="E428" i="49"/>
  <c r="F427" i="47"/>
  <c r="F420" i="49"/>
  <c r="F419" i="47"/>
  <c r="F411" i="47"/>
  <c r="E412" i="49"/>
  <c r="F412" i="49"/>
  <c r="F403" i="47"/>
  <c r="E404" i="49"/>
  <c r="F404" i="49"/>
  <c r="E550" i="49"/>
  <c r="E526" i="49"/>
  <c r="E462" i="49"/>
  <c r="E420" i="49"/>
  <c r="E587" i="49"/>
  <c r="F587" i="49"/>
  <c r="F586" i="47"/>
  <c r="E579" i="49"/>
  <c r="F579" i="49"/>
  <c r="F578" i="47"/>
  <c r="E571" i="49"/>
  <c r="F571" i="49"/>
  <c r="F570" i="47"/>
  <c r="F563" i="49"/>
  <c r="F562" i="47"/>
  <c r="F554" i="47"/>
  <c r="E555" i="49"/>
  <c r="E547" i="49"/>
  <c r="F546" i="47"/>
  <c r="E539" i="49"/>
  <c r="F539" i="49"/>
  <c r="F530" i="47"/>
  <c r="E523" i="49"/>
  <c r="F522" i="47"/>
  <c r="F523" i="49"/>
  <c r="F514" i="47"/>
  <c r="E515" i="49"/>
  <c r="F515" i="49"/>
  <c r="F506" i="47"/>
  <c r="F499" i="49"/>
  <c r="E499" i="49"/>
  <c r="F491" i="49"/>
  <c r="E491" i="49"/>
  <c r="F490" i="47"/>
  <c r="F483" i="49"/>
  <c r="E483" i="49"/>
  <c r="E475" i="49"/>
  <c r="F475" i="49"/>
  <c r="E459" i="49"/>
  <c r="F459" i="49"/>
  <c r="E451" i="49"/>
  <c r="F451" i="49"/>
  <c r="E443" i="49"/>
  <c r="F443" i="49"/>
  <c r="E435" i="49"/>
  <c r="F435" i="49"/>
  <c r="F434" i="47"/>
  <c r="E427" i="49"/>
  <c r="F427" i="49"/>
  <c r="F426" i="47"/>
  <c r="E419" i="49"/>
  <c r="F419" i="49"/>
  <c r="F418" i="47"/>
  <c r="E411" i="49"/>
  <c r="F411" i="49"/>
  <c r="E403" i="49"/>
  <c r="F403" i="49"/>
  <c r="F402" i="47"/>
  <c r="E558" i="49"/>
  <c r="E548" i="49"/>
  <c r="F536" i="47"/>
  <c r="F501" i="49"/>
  <c r="F410" i="47"/>
  <c r="F577" i="47"/>
  <c r="F569" i="47"/>
  <c r="F561" i="47"/>
  <c r="E554" i="49"/>
  <c r="F554" i="49"/>
  <c r="E546" i="49"/>
  <c r="F546" i="49"/>
  <c r="F545" i="47"/>
  <c r="E538" i="49"/>
  <c r="F538" i="49"/>
  <c r="F537" i="47"/>
  <c r="F529" i="47"/>
  <c r="E530" i="49"/>
  <c r="F530" i="49"/>
  <c r="F521" i="47"/>
  <c r="E514" i="49"/>
  <c r="F513" i="47"/>
  <c r="F514" i="49"/>
  <c r="F505" i="47"/>
  <c r="F506" i="49"/>
  <c r="E506" i="49"/>
  <c r="F498" i="49"/>
  <c r="E498" i="49"/>
  <c r="F497" i="47"/>
  <c r="F490" i="49"/>
  <c r="E490" i="49"/>
  <c r="F482" i="49"/>
  <c r="E482" i="49"/>
  <c r="F481" i="47"/>
  <c r="E474" i="49"/>
  <c r="F473" i="47"/>
  <c r="E466" i="49"/>
  <c r="F466" i="49"/>
  <c r="E458" i="49"/>
  <c r="F458" i="49"/>
  <c r="E450" i="49"/>
  <c r="F450" i="49"/>
  <c r="F442" i="49"/>
  <c r="F441" i="47"/>
  <c r="E442" i="49"/>
  <c r="F434" i="49"/>
  <c r="F433" i="47"/>
  <c r="E434" i="49"/>
  <c r="F426" i="49"/>
  <c r="F425" i="47"/>
  <c r="E426" i="49"/>
  <c r="F418" i="49"/>
  <c r="F417" i="47"/>
  <c r="E418" i="49"/>
  <c r="E410" i="49"/>
  <c r="F410" i="49"/>
  <c r="F409" i="47"/>
  <c r="E402" i="49"/>
  <c r="F402" i="49"/>
  <c r="F401" i="47"/>
  <c r="F557" i="49"/>
  <c r="F547" i="49"/>
  <c r="F498" i="47"/>
  <c r="F478" i="49"/>
  <c r="F452" i="49"/>
  <c r="E577" i="49"/>
  <c r="F577" i="49"/>
  <c r="F576" i="47"/>
  <c r="E569" i="49"/>
  <c r="F569" i="49"/>
  <c r="F568" i="47"/>
  <c r="E561" i="49"/>
  <c r="F561" i="49"/>
  <c r="F560" i="47"/>
  <c r="F553" i="49"/>
  <c r="F552" i="47"/>
  <c r="F544" i="47"/>
  <c r="F545" i="49"/>
  <c r="E529" i="49"/>
  <c r="F529" i="49"/>
  <c r="F528" i="47"/>
  <c r="F520" i="47"/>
  <c r="E513" i="49"/>
  <c r="F512" i="47"/>
  <c r="F513" i="49"/>
  <c r="F505" i="49"/>
  <c r="F497" i="49"/>
  <c r="F496" i="47"/>
  <c r="E497" i="49"/>
  <c r="F488" i="47"/>
  <c r="F481" i="49"/>
  <c r="F480" i="47"/>
  <c r="E481" i="49"/>
  <c r="E473" i="49"/>
  <c r="F473" i="49"/>
  <c r="F472" i="47"/>
  <c r="E465" i="49"/>
  <c r="F465" i="49"/>
  <c r="E457" i="49"/>
  <c r="F457" i="49"/>
  <c r="E449" i="49"/>
  <c r="F449" i="49"/>
  <c r="E441" i="49"/>
  <c r="F440" i="47"/>
  <c r="E433" i="49"/>
  <c r="F432" i="47"/>
  <c r="E425" i="49"/>
  <c r="F424" i="47"/>
  <c r="F425" i="49"/>
  <c r="E417" i="49"/>
  <c r="F416" i="47"/>
  <c r="F417" i="49"/>
  <c r="F408" i="47"/>
  <c r="F401" i="49"/>
  <c r="F400" i="47"/>
  <c r="F564" i="47"/>
  <c r="F555" i="49"/>
  <c r="F516" i="47"/>
  <c r="F474" i="49"/>
  <c r="E444" i="49"/>
  <c r="E401" i="49"/>
  <c r="F575" i="47"/>
  <c r="F567" i="47"/>
  <c r="F551" i="47"/>
  <c r="E544" i="49"/>
  <c r="F544" i="49"/>
  <c r="F543" i="47"/>
  <c r="E536" i="49"/>
  <c r="G535" i="47"/>
  <c r="F528" i="49"/>
  <c r="E528" i="49"/>
  <c r="F527" i="47"/>
  <c r="F519" i="47"/>
  <c r="E520" i="49"/>
  <c r="F520" i="49"/>
  <c r="E512" i="49"/>
  <c r="F511" i="47"/>
  <c r="F503" i="47"/>
  <c r="E504" i="49"/>
  <c r="F504" i="49"/>
  <c r="F495" i="47"/>
  <c r="F487" i="47"/>
  <c r="E488" i="49"/>
  <c r="F488" i="49"/>
  <c r="F479" i="47"/>
  <c r="F472" i="49"/>
  <c r="E472" i="49"/>
  <c r="F464" i="49"/>
  <c r="E464" i="49"/>
  <c r="E456" i="49"/>
  <c r="F456" i="49"/>
  <c r="E448" i="49"/>
  <c r="F448" i="49"/>
  <c r="E440" i="49"/>
  <c r="F440" i="49"/>
  <c r="F439" i="47"/>
  <c r="E432" i="49"/>
  <c r="F432" i="49"/>
  <c r="F431" i="47"/>
  <c r="E424" i="49"/>
  <c r="F424" i="49"/>
  <c r="F423" i="47"/>
  <c r="E416" i="49"/>
  <c r="F416" i="49"/>
  <c r="F415" i="47"/>
  <c r="E408" i="49"/>
  <c r="F408" i="49"/>
  <c r="F407" i="47"/>
  <c r="E400" i="49"/>
  <c r="F400" i="49"/>
  <c r="F399" i="47"/>
  <c r="E582" i="49"/>
  <c r="E574" i="49"/>
  <c r="E565" i="49"/>
  <c r="F553" i="47"/>
  <c r="E545" i="49"/>
  <c r="F533" i="47"/>
  <c r="E516" i="49"/>
  <c r="F494" i="49"/>
  <c r="F471" i="47"/>
  <c r="F441" i="49"/>
  <c r="E591" i="49"/>
  <c r="F591" i="49"/>
  <c r="F590" i="47"/>
  <c r="E583" i="49"/>
  <c r="F583" i="49"/>
  <c r="F582" i="47"/>
  <c r="E575" i="49"/>
  <c r="F575" i="49"/>
  <c r="F574" i="47"/>
  <c r="E567" i="49"/>
  <c r="F567" i="49"/>
  <c r="E559" i="49"/>
  <c r="F559" i="49"/>
  <c r="F558" i="47"/>
  <c r="E551" i="49"/>
  <c r="F551" i="49"/>
  <c r="F550" i="47"/>
  <c r="F543" i="49"/>
  <c r="F542" i="47"/>
  <c r="F534" i="47"/>
  <c r="F527" i="49"/>
  <c r="E527" i="49"/>
  <c r="E519" i="49"/>
  <c r="F519" i="49"/>
  <c r="F518" i="47"/>
  <c r="E511" i="49"/>
  <c r="F511" i="49"/>
  <c r="F510" i="47"/>
  <c r="E503" i="49"/>
  <c r="F502" i="47"/>
  <c r="F503" i="49"/>
  <c r="E495" i="49"/>
  <c r="F494" i="47"/>
  <c r="F495" i="49"/>
  <c r="E487" i="49"/>
  <c r="F486" i="47"/>
  <c r="F487" i="49"/>
  <c r="E479" i="49"/>
  <c r="F478" i="47"/>
  <c r="F479" i="49"/>
  <c r="F471" i="49"/>
  <c r="E471" i="49"/>
  <c r="F463" i="49"/>
  <c r="E463" i="49"/>
  <c r="F447" i="49"/>
  <c r="E447" i="49"/>
  <c r="F438" i="47"/>
  <c r="E439" i="49"/>
  <c r="F439" i="49"/>
  <c r="F430" i="47"/>
  <c r="E431" i="49"/>
  <c r="F431" i="49"/>
  <c r="F422" i="47"/>
  <c r="E423" i="49"/>
  <c r="F423" i="49"/>
  <c r="F414" i="47"/>
  <c r="E415" i="49"/>
  <c r="F415" i="49"/>
  <c r="F407" i="49"/>
  <c r="F406" i="47"/>
  <c r="E407" i="49"/>
  <c r="E563" i="49"/>
  <c r="E553" i="49"/>
  <c r="E543" i="49"/>
  <c r="F531" i="47"/>
  <c r="F512" i="49"/>
  <c r="F489" i="47"/>
  <c r="E469" i="49"/>
  <c r="F433" i="49"/>
  <c r="G688" i="47" l="1"/>
  <c r="I689" i="49" s="1"/>
  <c r="G596" i="47"/>
  <c r="I597" i="49" s="1"/>
  <c r="G474" i="47"/>
  <c r="G719" i="47"/>
  <c r="I720" i="49" s="1"/>
  <c r="G566" i="47"/>
  <c r="I567" i="49" s="1"/>
  <c r="G748" i="47"/>
  <c r="I749" i="49" s="1"/>
  <c r="G413" i="47"/>
  <c r="I414" i="49" s="1"/>
  <c r="G657" i="47"/>
  <c r="I658" i="49" s="1"/>
  <c r="G504" i="47"/>
  <c r="G627" i="47"/>
  <c r="I628" i="49" s="1"/>
  <c r="I411" i="49"/>
  <c r="I625" i="49"/>
  <c r="I564" i="49"/>
  <c r="I533" i="49"/>
  <c r="I472" i="49"/>
  <c r="I686" i="49"/>
  <c r="I473" i="49"/>
  <c r="I442" i="49"/>
  <c r="I503" i="49"/>
  <c r="I413" i="49"/>
  <c r="I506" i="49"/>
  <c r="I534" i="49"/>
  <c r="I565" i="49"/>
  <c r="I718" i="49"/>
  <c r="I626" i="49"/>
  <c r="I687" i="49"/>
  <c r="I475" i="49"/>
  <c r="E495" i="47"/>
  <c r="G496" i="49" s="1"/>
  <c r="F496" i="49"/>
  <c r="E575" i="47"/>
  <c r="G576" i="49" s="1"/>
  <c r="F576" i="49"/>
  <c r="E520" i="47"/>
  <c r="G521" i="49" s="1"/>
  <c r="F521" i="49"/>
  <c r="E561" i="47"/>
  <c r="G562" i="49" s="1"/>
  <c r="E562" i="49"/>
  <c r="E559" i="47"/>
  <c r="G560" i="49" s="1"/>
  <c r="F560" i="49"/>
  <c r="E569" i="47"/>
  <c r="G570" i="49" s="1"/>
  <c r="F570" i="49"/>
  <c r="E539" i="47"/>
  <c r="G540" i="49" s="1"/>
  <c r="E540" i="49"/>
  <c r="I748" i="49"/>
  <c r="F748" i="49"/>
  <c r="E579" i="47"/>
  <c r="G580" i="49" s="1"/>
  <c r="F580" i="49"/>
  <c r="E466" i="47"/>
  <c r="G467" i="49" s="1"/>
  <c r="E467" i="49"/>
  <c r="I444" i="49"/>
  <c r="F444" i="49"/>
  <c r="I474" i="49"/>
  <c r="E567" i="47"/>
  <c r="G568" i="49" s="1"/>
  <c r="E568" i="49"/>
  <c r="E454" i="47"/>
  <c r="G455" i="49" s="1"/>
  <c r="F455" i="49"/>
  <c r="E479" i="47"/>
  <c r="G480" i="49" s="1"/>
  <c r="F480" i="49"/>
  <c r="E408" i="47"/>
  <c r="G409" i="49" s="1"/>
  <c r="F409" i="49"/>
  <c r="E521" i="47"/>
  <c r="G522" i="49" s="1"/>
  <c r="E522" i="49"/>
  <c r="E577" i="47"/>
  <c r="G578" i="49" s="1"/>
  <c r="F578" i="49"/>
  <c r="E571" i="47"/>
  <c r="G572" i="49" s="1"/>
  <c r="F572" i="49"/>
  <c r="E506" i="47"/>
  <c r="G507" i="49" s="1"/>
  <c r="F507" i="49"/>
  <c r="E551" i="47"/>
  <c r="G552" i="49" s="1"/>
  <c r="E552" i="49"/>
  <c r="I536" i="49"/>
  <c r="F536" i="49"/>
  <c r="I717" i="49"/>
  <c r="F717" i="49"/>
  <c r="E536" i="47"/>
  <c r="G537" i="49" s="1"/>
  <c r="E537" i="49"/>
  <c r="E534" i="47"/>
  <c r="G535" i="49" s="1"/>
  <c r="E535" i="49"/>
  <c r="I656" i="49"/>
  <c r="F656" i="49"/>
  <c r="E530" i="47"/>
  <c r="G531" i="49" s="1"/>
  <c r="F531" i="49"/>
  <c r="E488" i="47"/>
  <c r="G489" i="49" s="1"/>
  <c r="F489" i="49"/>
  <c r="I595" i="49"/>
  <c r="F595" i="49"/>
  <c r="E497" i="47"/>
  <c r="G498" i="49" s="1"/>
  <c r="E504" i="47"/>
  <c r="G505" i="49" s="1"/>
  <c r="E682" i="47"/>
  <c r="G683" i="49" s="1"/>
  <c r="E666" i="47"/>
  <c r="G667" i="49" s="1"/>
  <c r="E674" i="47"/>
  <c r="G675" i="49" s="1"/>
  <c r="E664" i="47"/>
  <c r="G665" i="49" s="1"/>
  <c r="E672" i="47"/>
  <c r="G673" i="49" s="1"/>
  <c r="E680" i="47"/>
  <c r="G681" i="49" s="1"/>
  <c r="E697" i="47"/>
  <c r="G698" i="49" s="1"/>
  <c r="E713" i="47"/>
  <c r="G714" i="49" s="1"/>
  <c r="E670" i="47"/>
  <c r="G671" i="49" s="1"/>
  <c r="E678" i="47"/>
  <c r="G679" i="49" s="1"/>
  <c r="E668" i="47"/>
  <c r="G669" i="49" s="1"/>
  <c r="E676" i="47"/>
  <c r="G677" i="49" s="1"/>
  <c r="E684" i="47"/>
  <c r="G685" i="49" s="1"/>
  <c r="E693" i="47"/>
  <c r="G694" i="49" s="1"/>
  <c r="E701" i="47"/>
  <c r="G702" i="49" s="1"/>
  <c r="E709" i="47"/>
  <c r="G710" i="49" s="1"/>
  <c r="E711" i="47"/>
  <c r="G712" i="49" s="1"/>
  <c r="E695" i="47"/>
  <c r="G696" i="49" s="1"/>
  <c r="E703" i="47"/>
  <c r="G704" i="49" s="1"/>
  <c r="E707" i="47"/>
  <c r="G708" i="49" s="1"/>
  <c r="E699" i="47"/>
  <c r="G700" i="49" s="1"/>
  <c r="E414" i="47"/>
  <c r="G415" i="49" s="1"/>
  <c r="E705" i="47"/>
  <c r="G706" i="49" s="1"/>
  <c r="E406" i="47"/>
  <c r="G407" i="49" s="1"/>
  <c r="E517" i="47"/>
  <c r="G518" i="49" s="1"/>
  <c r="I505" i="49"/>
  <c r="E736" i="47"/>
  <c r="G737" i="49" s="1"/>
  <c r="G763" i="49"/>
  <c r="E546" i="47"/>
  <c r="G547" i="49" s="1"/>
  <c r="E452" i="47"/>
  <c r="G453" i="49" s="1"/>
  <c r="E440" i="47"/>
  <c r="G441" i="49" s="1"/>
  <c r="E425" i="47"/>
  <c r="G426" i="49" s="1"/>
  <c r="E441" i="47"/>
  <c r="G442" i="49" s="1"/>
  <c r="E507" i="47"/>
  <c r="G508" i="49" s="1"/>
  <c r="E471" i="47"/>
  <c r="G472" i="49" s="1"/>
  <c r="E443" i="47"/>
  <c r="G444" i="49" s="1"/>
  <c r="E496" i="47"/>
  <c r="G497" i="49" s="1"/>
  <c r="E473" i="47"/>
  <c r="G474" i="49" s="1"/>
  <c r="E554" i="47"/>
  <c r="G555" i="49" s="1"/>
  <c r="E508" i="47"/>
  <c r="G509" i="49" s="1"/>
  <c r="E462" i="47"/>
  <c r="G463" i="49" s="1"/>
  <c r="E527" i="47"/>
  <c r="G528" i="49" s="1"/>
  <c r="E480" i="47"/>
  <c r="G481" i="49" s="1"/>
  <c r="E438" i="47"/>
  <c r="G439" i="49" s="1"/>
  <c r="E558" i="47"/>
  <c r="G559" i="49" s="1"/>
  <c r="E490" i="47"/>
  <c r="G491" i="49" s="1"/>
  <c r="E435" i="47"/>
  <c r="G436" i="49" s="1"/>
  <c r="E587" i="47"/>
  <c r="G588" i="49" s="1"/>
  <c r="E589" i="47"/>
  <c r="G590" i="49" s="1"/>
  <c r="E626" i="47"/>
  <c r="G627" i="49" s="1"/>
  <c r="E628" i="47"/>
  <c r="G629" i="49" s="1"/>
  <c r="E485" i="47"/>
  <c r="G486" i="49" s="1"/>
  <c r="E687" i="47"/>
  <c r="G688" i="49" s="1"/>
  <c r="E481" i="47"/>
  <c r="G482" i="49" s="1"/>
  <c r="E689" i="47"/>
  <c r="G690" i="49" s="1"/>
  <c r="E562" i="47"/>
  <c r="G563" i="49" s="1"/>
  <c r="E470" i="47"/>
  <c r="G471" i="49" s="1"/>
  <c r="E515" i="47"/>
  <c r="G516" i="49" s="1"/>
  <c r="E463" i="47"/>
  <c r="G464" i="49" s="1"/>
  <c r="E519" i="47"/>
  <c r="G520" i="49" s="1"/>
  <c r="E535" i="47"/>
  <c r="G536" i="49" s="1"/>
  <c r="E401" i="47"/>
  <c r="G402" i="49" s="1"/>
  <c r="E417" i="47"/>
  <c r="G418" i="49" s="1"/>
  <c r="E465" i="47"/>
  <c r="G466" i="49" s="1"/>
  <c r="E505" i="47"/>
  <c r="G506" i="49" s="1"/>
  <c r="E460" i="47"/>
  <c r="G461" i="49" s="1"/>
  <c r="E556" i="47"/>
  <c r="G557" i="49" s="1"/>
  <c r="E627" i="47"/>
  <c r="G628" i="49" s="1"/>
  <c r="E629" i="47"/>
  <c r="G630" i="49" s="1"/>
  <c r="E631" i="47"/>
  <c r="G632" i="49" s="1"/>
  <c r="E633" i="47"/>
  <c r="G634" i="49" s="1"/>
  <c r="E653" i="47"/>
  <c r="G654" i="49" s="1"/>
  <c r="E655" i="47"/>
  <c r="G656" i="49" s="1"/>
  <c r="E735" i="47"/>
  <c r="G736" i="49" s="1"/>
  <c r="E737" i="47"/>
  <c r="G738" i="49" s="1"/>
  <c r="E662" i="47"/>
  <c r="G663" i="49" s="1"/>
  <c r="E688" i="47"/>
  <c r="G689" i="49" s="1"/>
  <c r="E694" i="47"/>
  <c r="G695" i="49" s="1"/>
  <c r="E700" i="47"/>
  <c r="G701" i="49" s="1"/>
  <c r="E706" i="47"/>
  <c r="G707" i="49" s="1"/>
  <c r="E712" i="47"/>
  <c r="G713" i="49" s="1"/>
  <c r="E718" i="47"/>
  <c r="G719" i="49" s="1"/>
  <c r="E724" i="47"/>
  <c r="G725" i="49" s="1"/>
  <c r="E732" i="47"/>
  <c r="G733" i="49" s="1"/>
  <c r="E744" i="47"/>
  <c r="G745" i="49" s="1"/>
  <c r="E746" i="47"/>
  <c r="G747" i="49" s="1"/>
  <c r="E748" i="47"/>
  <c r="G749" i="49" s="1"/>
  <c r="E750" i="47"/>
  <c r="G751" i="49" s="1"/>
  <c r="E752" i="47"/>
  <c r="G753" i="49" s="1"/>
  <c r="E754" i="47"/>
  <c r="G755" i="49" s="1"/>
  <c r="E756" i="47"/>
  <c r="G757" i="49" s="1"/>
  <c r="E758" i="47"/>
  <c r="G759" i="49" s="1"/>
  <c r="E760" i="47"/>
  <c r="G761" i="49" s="1"/>
  <c r="E422" i="47"/>
  <c r="G423" i="49" s="1"/>
  <c r="E658" i="47"/>
  <c r="G659" i="49" s="1"/>
  <c r="E692" i="47"/>
  <c r="G693" i="49" s="1"/>
  <c r="E696" i="47"/>
  <c r="G697" i="49" s="1"/>
  <c r="E702" i="47"/>
  <c r="G703" i="49" s="1"/>
  <c r="E708" i="47"/>
  <c r="G709" i="49" s="1"/>
  <c r="E714" i="47"/>
  <c r="G715" i="49" s="1"/>
  <c r="E720" i="47"/>
  <c r="G721" i="49" s="1"/>
  <c r="E726" i="47"/>
  <c r="G727" i="49" s="1"/>
  <c r="E448" i="47"/>
  <c r="G449" i="49" s="1"/>
  <c r="E442" i="47"/>
  <c r="G443" i="49" s="1"/>
  <c r="E541" i="47"/>
  <c r="G542" i="49" s="1"/>
  <c r="E469" i="47"/>
  <c r="G470" i="49" s="1"/>
  <c r="E509" i="47"/>
  <c r="G510" i="49" s="1"/>
  <c r="E525" i="47"/>
  <c r="G526" i="49" s="1"/>
  <c r="E625" i="47"/>
  <c r="G626" i="49" s="1"/>
  <c r="E468" i="47"/>
  <c r="G469" i="49" s="1"/>
  <c r="E660" i="47"/>
  <c r="G661" i="49" s="1"/>
  <c r="E690" i="47"/>
  <c r="G691" i="49" s="1"/>
  <c r="E698" i="47"/>
  <c r="G699" i="49" s="1"/>
  <c r="E704" i="47"/>
  <c r="G705" i="49" s="1"/>
  <c r="E710" i="47"/>
  <c r="G711" i="49" s="1"/>
  <c r="E716" i="47"/>
  <c r="G717" i="49" s="1"/>
  <c r="E722" i="47"/>
  <c r="G723" i="49" s="1"/>
  <c r="E728" i="47"/>
  <c r="G729" i="49" s="1"/>
  <c r="E734" i="47"/>
  <c r="G735" i="49" s="1"/>
  <c r="E432" i="47"/>
  <c r="G433" i="49" s="1"/>
  <c r="E500" i="47"/>
  <c r="G501" i="49" s="1"/>
  <c r="E572" i="47"/>
  <c r="G573" i="49" s="1"/>
  <c r="E739" i="47"/>
  <c r="G740" i="49" s="1"/>
  <c r="E759" i="47"/>
  <c r="G760" i="49" s="1"/>
  <c r="E630" i="47"/>
  <c r="G631" i="49" s="1"/>
  <c r="E632" i="47"/>
  <c r="G633" i="49" s="1"/>
  <c r="E634" i="47"/>
  <c r="G635" i="49" s="1"/>
  <c r="E638" i="47"/>
  <c r="G639" i="49" s="1"/>
  <c r="E640" i="47"/>
  <c r="G641" i="49" s="1"/>
  <c r="E642" i="47"/>
  <c r="G643" i="49" s="1"/>
  <c r="E646" i="47"/>
  <c r="G647" i="49" s="1"/>
  <c r="E648" i="47"/>
  <c r="G649" i="49" s="1"/>
  <c r="E650" i="47"/>
  <c r="G651" i="49" s="1"/>
  <c r="E652" i="47"/>
  <c r="G653" i="49" s="1"/>
  <c r="E588" i="47"/>
  <c r="G589" i="49" s="1"/>
  <c r="E522" i="47"/>
  <c r="G523" i="49" s="1"/>
  <c r="E451" i="47"/>
  <c r="G452" i="49" s="1"/>
  <c r="E499" i="47"/>
  <c r="G500" i="49" s="1"/>
  <c r="E412" i="47"/>
  <c r="G413" i="49" s="1"/>
  <c r="E493" i="47"/>
  <c r="G494" i="49" s="1"/>
  <c r="E691" i="47"/>
  <c r="G692" i="49" s="1"/>
  <c r="E400" i="47"/>
  <c r="G401" i="49" s="1"/>
  <c r="E472" i="47"/>
  <c r="G473" i="49" s="1"/>
  <c r="E489" i="47"/>
  <c r="G490" i="49" s="1"/>
  <c r="E434" i="47"/>
  <c r="G435" i="49" s="1"/>
  <c r="E484" i="47"/>
  <c r="G485" i="49" s="1"/>
  <c r="E477" i="47"/>
  <c r="G478" i="49" s="1"/>
  <c r="E557" i="47"/>
  <c r="G558" i="49" s="1"/>
  <c r="E727" i="47"/>
  <c r="G728" i="49" s="1"/>
  <c r="E731" i="47"/>
  <c r="G732" i="49" s="1"/>
  <c r="E733" i="47"/>
  <c r="G734" i="49" s="1"/>
  <c r="E450" i="47"/>
  <c r="G451" i="49" s="1"/>
  <c r="E564" i="47"/>
  <c r="G565" i="49" s="1"/>
  <c r="E409" i="47"/>
  <c r="G410" i="49" s="1"/>
  <c r="E446" i="47"/>
  <c r="G447" i="49" s="1"/>
  <c r="E581" i="47"/>
  <c r="G582" i="49" s="1"/>
  <c r="E416" i="47"/>
  <c r="G417" i="49" s="1"/>
  <c r="E433" i="47"/>
  <c r="G434" i="49" s="1"/>
  <c r="E482" i="47"/>
  <c r="G483" i="49" s="1"/>
  <c r="E427" i="47"/>
  <c r="G428" i="49" s="1"/>
  <c r="E531" i="47"/>
  <c r="G532" i="49" s="1"/>
  <c r="E516" i="47"/>
  <c r="G517" i="49" s="1"/>
  <c r="E740" i="47"/>
  <c r="G741" i="49" s="1"/>
  <c r="E742" i="47"/>
  <c r="G743" i="49" s="1"/>
  <c r="E476" i="47"/>
  <c r="G477" i="49" s="1"/>
  <c r="E437" i="47"/>
  <c r="G438" i="49" s="1"/>
  <c r="E549" i="47"/>
  <c r="G550" i="49" s="1"/>
  <c r="E483" i="47"/>
  <c r="G484" i="49" s="1"/>
  <c r="E555" i="47"/>
  <c r="G556" i="49" s="1"/>
  <c r="E428" i="47"/>
  <c r="G429" i="49" s="1"/>
  <c r="E741" i="47"/>
  <c r="G742" i="49" s="1"/>
  <c r="E743" i="47"/>
  <c r="G744" i="49" s="1"/>
  <c r="E745" i="47"/>
  <c r="G746" i="49" s="1"/>
  <c r="E747" i="47"/>
  <c r="G748" i="49" s="1"/>
  <c r="E749" i="47"/>
  <c r="G750" i="49" s="1"/>
  <c r="E751" i="47"/>
  <c r="G752" i="49" s="1"/>
  <c r="E753" i="47"/>
  <c r="G754" i="49" s="1"/>
  <c r="E755" i="47"/>
  <c r="G756" i="49" s="1"/>
  <c r="E757" i="47"/>
  <c r="G758" i="49" s="1"/>
  <c r="E453" i="47"/>
  <c r="G454" i="49" s="1"/>
  <c r="E467" i="47"/>
  <c r="G468" i="49" s="1"/>
  <c r="E456" i="47"/>
  <c r="G457" i="49" s="1"/>
  <c r="E537" i="47"/>
  <c r="G538" i="49" s="1"/>
  <c r="E540" i="47"/>
  <c r="G541" i="49" s="1"/>
  <c r="E533" i="47"/>
  <c r="G534" i="49" s="1"/>
  <c r="E729" i="47"/>
  <c r="G730" i="49" s="1"/>
  <c r="E457" i="47"/>
  <c r="G458" i="49" s="1"/>
  <c r="E526" i="47"/>
  <c r="G527" i="49" s="1"/>
  <c r="E478" i="47"/>
  <c r="G479" i="49" s="1"/>
  <c r="E494" i="47"/>
  <c r="G495" i="49" s="1"/>
  <c r="E543" i="47"/>
  <c r="G544" i="49" s="1"/>
  <c r="E498" i="47"/>
  <c r="G499" i="49" s="1"/>
  <c r="E492" i="47"/>
  <c r="G493" i="49" s="1"/>
  <c r="E501" i="47"/>
  <c r="G502" i="49" s="1"/>
  <c r="E444" i="47"/>
  <c r="G445" i="49" s="1"/>
  <c r="E524" i="47"/>
  <c r="G525" i="49" s="1"/>
  <c r="E421" i="47"/>
  <c r="G422" i="49" s="1"/>
  <c r="E599" i="47"/>
  <c r="G600" i="49" s="1"/>
  <c r="E601" i="47"/>
  <c r="G602" i="49" s="1"/>
  <c r="E603" i="47"/>
  <c r="G604" i="49" s="1"/>
  <c r="E605" i="47"/>
  <c r="G606" i="49" s="1"/>
  <c r="E607" i="47"/>
  <c r="G608" i="49" s="1"/>
  <c r="E609" i="47"/>
  <c r="G610" i="49" s="1"/>
  <c r="E611" i="47"/>
  <c r="G612" i="49" s="1"/>
  <c r="E613" i="47"/>
  <c r="G614" i="49" s="1"/>
  <c r="E615" i="47"/>
  <c r="G616" i="49" s="1"/>
  <c r="E617" i="47"/>
  <c r="G618" i="49" s="1"/>
  <c r="E619" i="47"/>
  <c r="G620" i="49" s="1"/>
  <c r="E621" i="47"/>
  <c r="G622" i="49" s="1"/>
  <c r="E623" i="47"/>
  <c r="G624" i="49" s="1"/>
  <c r="E635" i="47"/>
  <c r="G636" i="49" s="1"/>
  <c r="E637" i="47"/>
  <c r="G638" i="49" s="1"/>
  <c r="E639" i="47"/>
  <c r="G640" i="49" s="1"/>
  <c r="E641" i="47"/>
  <c r="G642" i="49" s="1"/>
  <c r="E643" i="47"/>
  <c r="G644" i="49" s="1"/>
  <c r="E645" i="47"/>
  <c r="G646" i="49" s="1"/>
  <c r="E647" i="47"/>
  <c r="G648" i="49" s="1"/>
  <c r="E649" i="47"/>
  <c r="G650" i="49" s="1"/>
  <c r="E651" i="47"/>
  <c r="G652" i="49" s="1"/>
  <c r="E568" i="47"/>
  <c r="G569" i="49" s="1"/>
  <c r="E512" i="47"/>
  <c r="G513" i="49" s="1"/>
  <c r="E403" i="47"/>
  <c r="G404" i="49" s="1"/>
  <c r="E405" i="47"/>
  <c r="G406" i="49" s="1"/>
  <c r="E510" i="47"/>
  <c r="G511" i="49" s="1"/>
  <c r="E550" i="47"/>
  <c r="G551" i="49" s="1"/>
  <c r="E423" i="47"/>
  <c r="G424" i="49" s="1"/>
  <c r="E586" i="47"/>
  <c r="G587" i="49" s="1"/>
  <c r="E523" i="47"/>
  <c r="G524" i="49" s="1"/>
  <c r="E528" i="47"/>
  <c r="G529" i="49" s="1"/>
  <c r="E402" i="47"/>
  <c r="G403" i="49" s="1"/>
  <c r="E424" i="47"/>
  <c r="G425" i="49" s="1"/>
  <c r="E566" i="47"/>
  <c r="G567" i="49" s="1"/>
  <c r="E573" i="47"/>
  <c r="G574" i="49" s="1"/>
  <c r="E439" i="47"/>
  <c r="G440" i="49" s="1"/>
  <c r="E529" i="47"/>
  <c r="G530" i="49" s="1"/>
  <c r="E582" i="47"/>
  <c r="G583" i="49" s="1"/>
  <c r="E464" i="47"/>
  <c r="G465" i="49" s="1"/>
  <c r="E545" i="47"/>
  <c r="G546" i="49" s="1"/>
  <c r="E426" i="47"/>
  <c r="G427" i="49" s="1"/>
  <c r="E458" i="47"/>
  <c r="G459" i="49" s="1"/>
  <c r="E474" i="47"/>
  <c r="G475" i="49" s="1"/>
  <c r="E418" i="47"/>
  <c r="G419" i="49" s="1"/>
  <c r="E430" i="47"/>
  <c r="G431" i="49" s="1"/>
  <c r="E407" i="47"/>
  <c r="G408" i="49" s="1"/>
  <c r="E455" i="47"/>
  <c r="G456" i="49" s="1"/>
  <c r="E511" i="47"/>
  <c r="G512" i="49" s="1"/>
  <c r="E514" i="47"/>
  <c r="G515" i="49" s="1"/>
  <c r="E570" i="47"/>
  <c r="G571" i="49" s="1"/>
  <c r="E552" i="47"/>
  <c r="G553" i="49" s="1"/>
  <c r="E449" i="47"/>
  <c r="G450" i="49" s="1"/>
  <c r="E513" i="47"/>
  <c r="G514" i="49" s="1"/>
  <c r="E715" i="47"/>
  <c r="G716" i="49" s="1"/>
  <c r="E717" i="47"/>
  <c r="G718" i="49" s="1"/>
  <c r="E730" i="47"/>
  <c r="G731" i="49" s="1"/>
  <c r="E738" i="47"/>
  <c r="G739" i="49" s="1"/>
  <c r="E459" i="47"/>
  <c r="G460" i="49" s="1"/>
  <c r="E491" i="47"/>
  <c r="G492" i="49" s="1"/>
  <c r="E404" i="47"/>
  <c r="G405" i="49" s="1"/>
  <c r="E436" i="47"/>
  <c r="G437" i="49" s="1"/>
  <c r="E580" i="47"/>
  <c r="G581" i="49" s="1"/>
  <c r="E657" i="47"/>
  <c r="G658" i="49" s="1"/>
  <c r="E661" i="47"/>
  <c r="G662" i="49" s="1"/>
  <c r="E665" i="47"/>
  <c r="G666" i="49" s="1"/>
  <c r="E669" i="47"/>
  <c r="G670" i="49" s="1"/>
  <c r="E673" i="47"/>
  <c r="G674" i="49" s="1"/>
  <c r="E677" i="47"/>
  <c r="G678" i="49" s="1"/>
  <c r="E681" i="47"/>
  <c r="G682" i="49" s="1"/>
  <c r="E685" i="47"/>
  <c r="G686" i="49" s="1"/>
  <c r="E486" i="47"/>
  <c r="G487" i="49" s="1"/>
  <c r="E518" i="47"/>
  <c r="G519" i="49" s="1"/>
  <c r="E560" i="47"/>
  <c r="G561" i="49" s="1"/>
  <c r="E410" i="47"/>
  <c r="G411" i="49" s="1"/>
  <c r="E429" i="47"/>
  <c r="G430" i="49" s="1"/>
  <c r="E594" i="47"/>
  <c r="G595" i="49" s="1"/>
  <c r="E654" i="47"/>
  <c r="G655" i="49" s="1"/>
  <c r="E656" i="47"/>
  <c r="G657" i="49" s="1"/>
  <c r="E761" i="47"/>
  <c r="G762" i="49" s="1"/>
  <c r="E475" i="47"/>
  <c r="G476" i="49" s="1"/>
  <c r="E563" i="47"/>
  <c r="G564" i="49" s="1"/>
  <c r="E420" i="47"/>
  <c r="G421" i="49" s="1"/>
  <c r="E659" i="47"/>
  <c r="G660" i="49" s="1"/>
  <c r="E663" i="47"/>
  <c r="G664" i="49" s="1"/>
  <c r="E667" i="47"/>
  <c r="G668" i="49" s="1"/>
  <c r="E671" i="47"/>
  <c r="G672" i="49" s="1"/>
  <c r="E675" i="47"/>
  <c r="G676" i="49" s="1"/>
  <c r="E679" i="47"/>
  <c r="G680" i="49" s="1"/>
  <c r="E683" i="47"/>
  <c r="G684" i="49" s="1"/>
  <c r="E502" i="47"/>
  <c r="G503" i="49" s="1"/>
  <c r="E576" i="47"/>
  <c r="G577" i="49" s="1"/>
  <c r="E547" i="47"/>
  <c r="G548" i="49" s="1"/>
  <c r="E419" i="47"/>
  <c r="G420" i="49" s="1"/>
  <c r="E413" i="47"/>
  <c r="G414" i="49" s="1"/>
  <c r="E445" i="47"/>
  <c r="G446" i="49" s="1"/>
  <c r="E584" i="47"/>
  <c r="G585" i="49" s="1"/>
  <c r="E592" i="47"/>
  <c r="G593" i="49" s="1"/>
  <c r="E596" i="47"/>
  <c r="G597" i="49" s="1"/>
  <c r="E636" i="47"/>
  <c r="G637" i="49" s="1"/>
  <c r="E644" i="47"/>
  <c r="G645" i="49" s="1"/>
  <c r="E719" i="47"/>
  <c r="G720" i="49" s="1"/>
  <c r="E721" i="47"/>
  <c r="G722" i="49" s="1"/>
  <c r="E723" i="47"/>
  <c r="G724" i="49" s="1"/>
  <c r="E725" i="47"/>
  <c r="G726" i="49" s="1"/>
  <c r="E542" i="47"/>
  <c r="G543" i="49" s="1"/>
  <c r="E399" i="47"/>
  <c r="G400" i="49" s="1"/>
  <c r="E415" i="47"/>
  <c r="G416" i="49" s="1"/>
  <c r="E431" i="47"/>
  <c r="G432" i="49" s="1"/>
  <c r="E447" i="47"/>
  <c r="G448" i="49" s="1"/>
  <c r="E503" i="47"/>
  <c r="G504" i="49" s="1"/>
  <c r="E538" i="47"/>
  <c r="G539" i="49" s="1"/>
  <c r="E461" i="47"/>
  <c r="G462" i="49" s="1"/>
  <c r="E411" i="47"/>
  <c r="G412" i="49" s="1"/>
  <c r="E532" i="47"/>
  <c r="G533" i="49" s="1"/>
  <c r="E548" i="47"/>
  <c r="G549" i="49" s="1"/>
  <c r="E598" i="47"/>
  <c r="G599" i="49" s="1"/>
  <c r="E600" i="47"/>
  <c r="G601" i="49" s="1"/>
  <c r="E602" i="47"/>
  <c r="G603" i="49" s="1"/>
  <c r="E606" i="47"/>
  <c r="G607" i="49" s="1"/>
  <c r="E608" i="47"/>
  <c r="G609" i="49" s="1"/>
  <c r="E610" i="47"/>
  <c r="G611" i="49" s="1"/>
  <c r="E614" i="47"/>
  <c r="G615" i="49" s="1"/>
  <c r="E616" i="47"/>
  <c r="G617" i="49" s="1"/>
  <c r="E618" i="47"/>
  <c r="G619" i="49" s="1"/>
  <c r="E620" i="47"/>
  <c r="G621" i="49" s="1"/>
  <c r="E622" i="47"/>
  <c r="G623" i="49" s="1"/>
  <c r="E624" i="47"/>
  <c r="G625" i="49" s="1"/>
  <c r="E574" i="47"/>
  <c r="G575" i="49" s="1"/>
  <c r="E590" i="47"/>
  <c r="G591" i="49" s="1"/>
  <c r="E544" i="47"/>
  <c r="G545" i="49" s="1"/>
  <c r="E487" i="47"/>
  <c r="G488" i="49" s="1"/>
  <c r="E553" i="47"/>
  <c r="G554" i="49" s="1"/>
  <c r="E578" i="47"/>
  <c r="G579" i="49" s="1"/>
  <c r="E565" i="47"/>
  <c r="G566" i="49" s="1"/>
  <c r="E583" i="47"/>
  <c r="G584" i="49" s="1"/>
  <c r="E585" i="47"/>
  <c r="G586" i="49" s="1"/>
  <c r="E591" i="47"/>
  <c r="G592" i="49" s="1"/>
  <c r="E593" i="47"/>
  <c r="G594" i="49" s="1"/>
  <c r="E595" i="47"/>
  <c r="G596" i="49" s="1"/>
  <c r="E597" i="47"/>
  <c r="G598" i="49" s="1"/>
  <c r="E604" i="47"/>
  <c r="G605" i="49" s="1"/>
  <c r="E612" i="47"/>
  <c r="G613" i="49" s="1"/>
  <c r="E686" i="47"/>
  <c r="G687" i="49" s="1"/>
  <c r="E21" i="40" l="1"/>
  <c r="E20" i="40"/>
  <c r="E19" i="40"/>
  <c r="E16" i="40"/>
  <c r="E22" i="40"/>
  <c r="F308" i="60" l="1"/>
  <c r="F673" i="60"/>
  <c r="H760" i="60" l="1"/>
  <c r="G760" i="60"/>
  <c r="G752" i="60"/>
  <c r="H752" i="60"/>
  <c r="H759" i="60"/>
  <c r="G759" i="60"/>
  <c r="H751" i="60"/>
  <c r="G751" i="60"/>
  <c r="G758" i="60"/>
  <c r="H758" i="60"/>
  <c r="G750" i="60"/>
  <c r="H750" i="60"/>
  <c r="G757" i="60"/>
  <c r="H757" i="60"/>
  <c r="G749" i="60"/>
  <c r="H749" i="60"/>
  <c r="G756" i="60"/>
  <c r="H756" i="60"/>
  <c r="G748" i="60"/>
  <c r="H748" i="60"/>
  <c r="H755" i="60"/>
  <c r="G755" i="60"/>
  <c r="G747" i="60"/>
  <c r="G754" i="60"/>
  <c r="H754" i="60"/>
  <c r="G746" i="60"/>
  <c r="G753" i="60"/>
  <c r="H753" i="60"/>
  <c r="G470" i="60"/>
  <c r="G528" i="60"/>
  <c r="H600" i="60"/>
  <c r="H616" i="60"/>
  <c r="G618" i="60"/>
  <c r="H634" i="60"/>
  <c r="H641" i="60"/>
  <c r="H663" i="60"/>
  <c r="G687" i="60"/>
  <c r="H705" i="60"/>
  <c r="H707" i="60"/>
  <c r="G720" i="60"/>
  <c r="G721" i="60"/>
  <c r="H722" i="60"/>
  <c r="H724" i="60"/>
  <c r="G725" i="60"/>
  <c r="G731" i="60"/>
  <c r="H733" i="60"/>
  <c r="G740" i="60"/>
  <c r="H742" i="60"/>
  <c r="H744" i="60"/>
  <c r="A4" i="60"/>
  <c r="A5" i="60"/>
  <c r="A6" i="60"/>
  <c r="A7" i="60" s="1"/>
  <c r="A8" i="60" s="1"/>
  <c r="A9" i="60" s="1"/>
  <c r="A10" i="60" s="1"/>
  <c r="A11" i="60"/>
  <c r="A12" i="60" s="1"/>
  <c r="A13" i="60" s="1"/>
  <c r="A3" i="60"/>
  <c r="G713" i="60" l="1"/>
  <c r="H713" i="60"/>
  <c r="G673" i="60"/>
  <c r="H673" i="60"/>
  <c r="G717" i="60"/>
  <c r="H717" i="60"/>
  <c r="G701" i="60"/>
  <c r="H701" i="60"/>
  <c r="G685" i="60"/>
  <c r="G677" i="60"/>
  <c r="H677" i="60"/>
  <c r="G669" i="60"/>
  <c r="H669" i="60"/>
  <c r="G661" i="60"/>
  <c r="G653" i="60"/>
  <c r="H653" i="60"/>
  <c r="G629" i="60"/>
  <c r="H629" i="60"/>
  <c r="G605" i="60"/>
  <c r="H605" i="60"/>
  <c r="G581" i="60"/>
  <c r="H581" i="60"/>
  <c r="H700" i="60"/>
  <c r="G692" i="60"/>
  <c r="H692" i="60"/>
  <c r="H684" i="60"/>
  <c r="G684" i="60"/>
  <c r="G676" i="60"/>
  <c r="G668" i="60"/>
  <c r="H668" i="60"/>
  <c r="G660" i="60"/>
  <c r="H660" i="60"/>
  <c r="H652" i="60"/>
  <c r="G644" i="60"/>
  <c r="H644" i="60"/>
  <c r="H636" i="60"/>
  <c r="G628" i="60"/>
  <c r="H628" i="60"/>
  <c r="G620" i="60"/>
  <c r="H620" i="60"/>
  <c r="G612" i="60"/>
  <c r="H612" i="60"/>
  <c r="G604" i="60"/>
  <c r="H604" i="60"/>
  <c r="H596" i="60"/>
  <c r="G596" i="60"/>
  <c r="G588" i="60"/>
  <c r="H588" i="60"/>
  <c r="H580" i="60"/>
  <c r="G580" i="60"/>
  <c r="G572" i="60"/>
  <c r="H572" i="60"/>
  <c r="G564" i="60"/>
  <c r="H564" i="60"/>
  <c r="G556" i="60"/>
  <c r="H556" i="60"/>
  <c r="G548" i="60"/>
  <c r="H548" i="60"/>
  <c r="G540" i="60"/>
  <c r="H540" i="60"/>
  <c r="G532" i="60"/>
  <c r="H532" i="60"/>
  <c r="G524" i="60"/>
  <c r="H524" i="60"/>
  <c r="G516" i="60"/>
  <c r="H516" i="60"/>
  <c r="G508" i="60"/>
  <c r="H508" i="60"/>
  <c r="G500" i="60"/>
  <c r="H500" i="60"/>
  <c r="G492" i="60"/>
  <c r="H492" i="60"/>
  <c r="G484" i="60"/>
  <c r="H484" i="60"/>
  <c r="G476" i="60"/>
  <c r="H476" i="60"/>
  <c r="G468" i="60"/>
  <c r="H468" i="60"/>
  <c r="G460" i="60"/>
  <c r="H460" i="60"/>
  <c r="G452" i="60"/>
  <c r="H452" i="60"/>
  <c r="H444" i="60"/>
  <c r="G444" i="60"/>
  <c r="G436" i="60"/>
  <c r="H436" i="60"/>
  <c r="G428" i="60"/>
  <c r="H428" i="60"/>
  <c r="G420" i="60"/>
  <c r="H420" i="60"/>
  <c r="H412" i="60"/>
  <c r="G412" i="60"/>
  <c r="G404" i="60"/>
  <c r="H404" i="60"/>
  <c r="G396" i="60"/>
  <c r="H396" i="60"/>
  <c r="G388" i="60"/>
  <c r="H388" i="60"/>
  <c r="G380" i="60"/>
  <c r="H380" i="60"/>
  <c r="G372" i="60"/>
  <c r="H372" i="60"/>
  <c r="G364" i="60"/>
  <c r="H364" i="60"/>
  <c r="G356" i="60"/>
  <c r="H356" i="60"/>
  <c r="G348" i="60"/>
  <c r="H348" i="60"/>
  <c r="G340" i="60"/>
  <c r="H340" i="60"/>
  <c r="G332" i="60"/>
  <c r="H332" i="60"/>
  <c r="H324" i="60"/>
  <c r="G324" i="60"/>
  <c r="G316" i="60"/>
  <c r="H316" i="60"/>
  <c r="G308" i="60"/>
  <c r="H308" i="60"/>
  <c r="H300" i="60"/>
  <c r="G300" i="60"/>
  <c r="H292" i="60"/>
  <c r="G292" i="60"/>
  <c r="G284" i="60"/>
  <c r="H284" i="60"/>
  <c r="G276" i="60"/>
  <c r="H276" i="60"/>
  <c r="G268" i="60"/>
  <c r="H268" i="60"/>
  <c r="H260" i="60"/>
  <c r="G260" i="60"/>
  <c r="H252" i="60"/>
  <c r="G252" i="60"/>
  <c r="G244" i="60"/>
  <c r="H244" i="60"/>
  <c r="G236" i="60"/>
  <c r="H236" i="60"/>
  <c r="H228" i="60"/>
  <c r="G228" i="60"/>
  <c r="H220" i="60"/>
  <c r="G220" i="60"/>
  <c r="H212" i="60"/>
  <c r="G212" i="60"/>
  <c r="G204" i="60"/>
  <c r="H204" i="60"/>
  <c r="H196" i="60"/>
  <c r="G196" i="60"/>
  <c r="G188" i="60"/>
  <c r="H188" i="60"/>
  <c r="G180" i="60"/>
  <c r="H180" i="60"/>
  <c r="G172" i="60"/>
  <c r="H172" i="60"/>
  <c r="G164" i="60"/>
  <c r="H164" i="60"/>
  <c r="H156" i="60"/>
  <c r="G156" i="60"/>
  <c r="G148" i="60"/>
  <c r="H148" i="60"/>
  <c r="G140" i="60"/>
  <c r="H140" i="60"/>
  <c r="H132" i="60"/>
  <c r="G132" i="60"/>
  <c r="G124" i="60"/>
  <c r="H124" i="60"/>
  <c r="G116" i="60"/>
  <c r="H116" i="60"/>
  <c r="G108" i="60"/>
  <c r="H108" i="60"/>
  <c r="G100" i="60"/>
  <c r="H100" i="60"/>
  <c r="G92" i="60"/>
  <c r="H92" i="60"/>
  <c r="G84" i="60"/>
  <c r="H84" i="60"/>
  <c r="G76" i="60"/>
  <c r="H76" i="60"/>
  <c r="G68" i="60"/>
  <c r="H68" i="60"/>
  <c r="G60" i="60"/>
  <c r="H60" i="60"/>
  <c r="G52" i="60"/>
  <c r="H52" i="60"/>
  <c r="H44" i="60"/>
  <c r="G44" i="60"/>
  <c r="G36" i="60"/>
  <c r="H36" i="60"/>
  <c r="H28" i="60"/>
  <c r="G28" i="60"/>
  <c r="G20" i="60"/>
  <c r="H20" i="60"/>
  <c r="G12" i="60"/>
  <c r="H12" i="60"/>
  <c r="G4" i="60"/>
  <c r="H4" i="60"/>
  <c r="E757" i="60"/>
  <c r="E755" i="60"/>
  <c r="G745" i="60"/>
  <c r="G742" i="60"/>
  <c r="H718" i="60"/>
  <c r="G637" i="60"/>
  <c r="H637" i="60"/>
  <c r="G613" i="60"/>
  <c r="H613" i="60"/>
  <c r="G597" i="60"/>
  <c r="H597" i="60"/>
  <c r="G732" i="60"/>
  <c r="H716" i="60"/>
  <c r="G716" i="60"/>
  <c r="G708" i="60"/>
  <c r="H708" i="60"/>
  <c r="G739" i="60"/>
  <c r="H739" i="60"/>
  <c r="H715" i="60"/>
  <c r="G715" i="60"/>
  <c r="G707" i="60"/>
  <c r="G699" i="60"/>
  <c r="H699" i="60"/>
  <c r="G691" i="60"/>
  <c r="H691" i="60"/>
  <c r="G683" i="60"/>
  <c r="H683" i="60"/>
  <c r="G675" i="60"/>
  <c r="H675" i="60"/>
  <c r="H667" i="60"/>
  <c r="G659" i="60"/>
  <c r="H659" i="60"/>
  <c r="G651" i="60"/>
  <c r="H651" i="60"/>
  <c r="G643" i="60"/>
  <c r="G635" i="60"/>
  <c r="H635" i="60"/>
  <c r="G627" i="60"/>
  <c r="G619" i="60"/>
  <c r="H619" i="60"/>
  <c r="H611" i="60"/>
  <c r="G603" i="60"/>
  <c r="H603" i="60"/>
  <c r="H595" i="60"/>
  <c r="G587" i="60"/>
  <c r="H587" i="60"/>
  <c r="G579" i="60"/>
  <c r="H579" i="60"/>
  <c r="G571" i="60"/>
  <c r="H563" i="60"/>
  <c r="G563" i="60"/>
  <c r="H555" i="60"/>
  <c r="G555" i="60"/>
  <c r="G547" i="60"/>
  <c r="H547" i="60"/>
  <c r="H539" i="60"/>
  <c r="G539" i="60"/>
  <c r="G531" i="60"/>
  <c r="H531" i="60"/>
  <c r="G523" i="60"/>
  <c r="H523" i="60"/>
  <c r="G515" i="60"/>
  <c r="H515" i="60"/>
  <c r="G507" i="60"/>
  <c r="H507" i="60"/>
  <c r="G499" i="60"/>
  <c r="H499" i="60"/>
  <c r="G491" i="60"/>
  <c r="H491" i="60"/>
  <c r="H483" i="60"/>
  <c r="G483" i="60"/>
  <c r="G475" i="60"/>
  <c r="H475" i="60"/>
  <c r="G467" i="60"/>
  <c r="H467" i="60"/>
  <c r="G459" i="60"/>
  <c r="H459" i="60"/>
  <c r="G451" i="60"/>
  <c r="H451" i="60"/>
  <c r="G443" i="60"/>
  <c r="H443" i="60"/>
  <c r="G435" i="60"/>
  <c r="H435" i="60"/>
  <c r="G427" i="60"/>
  <c r="H427" i="60"/>
  <c r="G419" i="60"/>
  <c r="H419" i="60"/>
  <c r="G411" i="60"/>
  <c r="H411" i="60"/>
  <c r="G403" i="60"/>
  <c r="H403" i="60"/>
  <c r="G395" i="60"/>
  <c r="H395" i="60"/>
  <c r="G387" i="60"/>
  <c r="H387" i="60"/>
  <c r="G379" i="60"/>
  <c r="H379" i="60"/>
  <c r="G371" i="60"/>
  <c r="H371" i="60"/>
  <c r="G363" i="60"/>
  <c r="H363" i="60"/>
  <c r="G355" i="60"/>
  <c r="H355" i="60"/>
  <c r="G347" i="60"/>
  <c r="H347" i="60"/>
  <c r="H339" i="60"/>
  <c r="G339" i="60"/>
  <c r="G331" i="60"/>
  <c r="H331" i="60"/>
  <c r="G323" i="60"/>
  <c r="H323" i="60"/>
  <c r="G315" i="60"/>
  <c r="H315" i="60"/>
  <c r="G307" i="60"/>
  <c r="H307" i="60"/>
  <c r="G299" i="60"/>
  <c r="H299" i="60"/>
  <c r="G291" i="60"/>
  <c r="H291" i="60"/>
  <c r="G283" i="60"/>
  <c r="H283" i="60"/>
  <c r="G275" i="60"/>
  <c r="H275" i="60"/>
  <c r="H267" i="60"/>
  <c r="G267" i="60"/>
  <c r="H259" i="60"/>
  <c r="G259" i="60"/>
  <c r="G251" i="60"/>
  <c r="H251" i="60"/>
  <c r="G243" i="60"/>
  <c r="H243" i="60"/>
  <c r="H235" i="60"/>
  <c r="G235" i="60"/>
  <c r="G227" i="60"/>
  <c r="H227" i="60"/>
  <c r="G219" i="60"/>
  <c r="H219" i="60"/>
  <c r="H211" i="60"/>
  <c r="G211" i="60"/>
  <c r="G203" i="60"/>
  <c r="H203" i="60"/>
  <c r="H195" i="60"/>
  <c r="G195" i="60"/>
  <c r="G187" i="60"/>
  <c r="H187" i="60"/>
  <c r="H179" i="60"/>
  <c r="G179" i="60"/>
  <c r="G171" i="60"/>
  <c r="H171" i="60"/>
  <c r="H163" i="60"/>
  <c r="G163" i="60"/>
  <c r="H155" i="60"/>
  <c r="G155" i="60"/>
  <c r="G147" i="60"/>
  <c r="H147" i="60"/>
  <c r="H139" i="60"/>
  <c r="G139" i="60"/>
  <c r="G131" i="60"/>
  <c r="H131" i="60"/>
  <c r="G123" i="60"/>
  <c r="H123" i="60"/>
  <c r="G115" i="60"/>
  <c r="H115" i="60"/>
  <c r="H107" i="60"/>
  <c r="G107" i="60"/>
  <c r="H99" i="60"/>
  <c r="G99" i="60"/>
  <c r="G91" i="60"/>
  <c r="H91" i="60"/>
  <c r="G83" i="60"/>
  <c r="H83" i="60"/>
  <c r="G75" i="60"/>
  <c r="H75" i="60"/>
  <c r="G67" i="60"/>
  <c r="H67" i="60"/>
  <c r="G59" i="60"/>
  <c r="H59" i="60"/>
  <c r="G51" i="60"/>
  <c r="H51" i="60"/>
  <c r="G43" i="60"/>
  <c r="H43" i="60"/>
  <c r="H35" i="60"/>
  <c r="G35" i="60"/>
  <c r="G27" i="60"/>
  <c r="H27" i="60"/>
  <c r="G19" i="60"/>
  <c r="H19" i="60"/>
  <c r="G11" i="60"/>
  <c r="H11" i="60"/>
  <c r="H736" i="60"/>
  <c r="G733" i="60"/>
  <c r="H727" i="60"/>
  <c r="H676" i="60"/>
  <c r="H661" i="60"/>
  <c r="G697" i="60"/>
  <c r="H697" i="60"/>
  <c r="G741" i="60"/>
  <c r="H709" i="60"/>
  <c r="G693" i="60"/>
  <c r="H693" i="60"/>
  <c r="E693" i="60"/>
  <c r="G645" i="60"/>
  <c r="H645" i="60"/>
  <c r="G621" i="60"/>
  <c r="H621" i="60"/>
  <c r="G589" i="60"/>
  <c r="H589" i="60"/>
  <c r="G730" i="60"/>
  <c r="G714" i="60"/>
  <c r="H714" i="60"/>
  <c r="G706" i="60"/>
  <c r="H706" i="60"/>
  <c r="H698" i="60"/>
  <c r="G690" i="60"/>
  <c r="H690" i="60"/>
  <c r="G682" i="60"/>
  <c r="H682" i="60"/>
  <c r="G674" i="60"/>
  <c r="G666" i="60"/>
  <c r="H666" i="60"/>
  <c r="G658" i="60"/>
  <c r="H658" i="60"/>
  <c r="G650" i="60"/>
  <c r="G642" i="60"/>
  <c r="H642" i="60"/>
  <c r="G634" i="60"/>
  <c r="H626" i="60"/>
  <c r="G626" i="60"/>
  <c r="H618" i="60"/>
  <c r="G610" i="60"/>
  <c r="H610" i="60"/>
  <c r="H602" i="60"/>
  <c r="G594" i="60"/>
  <c r="H594" i="60"/>
  <c r="G586" i="60"/>
  <c r="H586" i="60"/>
  <c r="G578" i="60"/>
  <c r="H578" i="60"/>
  <c r="G570" i="60"/>
  <c r="H570" i="60"/>
  <c r="H562" i="60"/>
  <c r="G562" i="60"/>
  <c r="G554" i="60"/>
  <c r="H554" i="60"/>
  <c r="H546" i="60"/>
  <c r="G546" i="60"/>
  <c r="G538" i="60"/>
  <c r="H538" i="60"/>
  <c r="G530" i="60"/>
  <c r="H530" i="60"/>
  <c r="G522" i="60"/>
  <c r="H522" i="60"/>
  <c r="G514" i="60"/>
  <c r="H514" i="60"/>
  <c r="G506" i="60"/>
  <c r="H506" i="60"/>
  <c r="G498" i="60"/>
  <c r="H498" i="60"/>
  <c r="G490" i="60"/>
  <c r="H490" i="60"/>
  <c r="G482" i="60"/>
  <c r="H482" i="60"/>
  <c r="G474" i="60"/>
  <c r="H474" i="60"/>
  <c r="G466" i="60"/>
  <c r="H466" i="60"/>
  <c r="G458" i="60"/>
  <c r="H458" i="60"/>
  <c r="G450" i="60"/>
  <c r="H450" i="60"/>
  <c r="H442" i="60"/>
  <c r="G442" i="60"/>
  <c r="G434" i="60"/>
  <c r="H434" i="60"/>
  <c r="G426" i="60"/>
  <c r="H426" i="60"/>
  <c r="G418" i="60"/>
  <c r="H418" i="60"/>
  <c r="G410" i="60"/>
  <c r="H410" i="60"/>
  <c r="G402" i="60"/>
  <c r="H402" i="60"/>
  <c r="G394" i="60"/>
  <c r="H394" i="60"/>
  <c r="G386" i="60"/>
  <c r="H386" i="60"/>
  <c r="G378" i="60"/>
  <c r="H378" i="60"/>
  <c r="G370" i="60"/>
  <c r="H370" i="60"/>
  <c r="G362" i="60"/>
  <c r="H362" i="60"/>
  <c r="G354" i="60"/>
  <c r="H354" i="60"/>
  <c r="G346" i="60"/>
  <c r="H346" i="60"/>
  <c r="G338" i="60"/>
  <c r="H338" i="60"/>
  <c r="H330" i="60"/>
  <c r="G330" i="60"/>
  <c r="H322" i="60"/>
  <c r="G322" i="60"/>
  <c r="G314" i="60"/>
  <c r="H314" i="60"/>
  <c r="G306" i="60"/>
  <c r="H306" i="60"/>
  <c r="G298" i="60"/>
  <c r="H298" i="60"/>
  <c r="H290" i="60"/>
  <c r="G290" i="60"/>
  <c r="G282" i="60"/>
  <c r="H282" i="60"/>
  <c r="G274" i="60"/>
  <c r="H274" i="60"/>
  <c r="G266" i="60"/>
  <c r="H266" i="60"/>
  <c r="G258" i="60"/>
  <c r="H258" i="60"/>
  <c r="G250" i="60"/>
  <c r="H250" i="60"/>
  <c r="G242" i="60"/>
  <c r="H242" i="60"/>
  <c r="G234" i="60"/>
  <c r="H234" i="60"/>
  <c r="G226" i="60"/>
  <c r="H226" i="60"/>
  <c r="G218" i="60"/>
  <c r="H218" i="60"/>
  <c r="G210" i="60"/>
  <c r="H210" i="60"/>
  <c r="G202" i="60"/>
  <c r="H202" i="60"/>
  <c r="G194" i="60"/>
  <c r="H194" i="60"/>
  <c r="G186" i="60"/>
  <c r="H186" i="60"/>
  <c r="G178" i="60"/>
  <c r="H178" i="60"/>
  <c r="G170" i="60"/>
  <c r="H170" i="60"/>
  <c r="G162" i="60"/>
  <c r="H162" i="60"/>
  <c r="G154" i="60"/>
  <c r="H154" i="60"/>
  <c r="G146" i="60"/>
  <c r="H146" i="60"/>
  <c r="H138" i="60"/>
  <c r="G138" i="60"/>
  <c r="G130" i="60"/>
  <c r="H130" i="60"/>
  <c r="G122" i="60"/>
  <c r="H122" i="60"/>
  <c r="G114" i="60"/>
  <c r="H114" i="60"/>
  <c r="H106" i="60"/>
  <c r="G106" i="60"/>
  <c r="G98" i="60"/>
  <c r="H98" i="60"/>
  <c r="H90" i="60"/>
  <c r="G90" i="60"/>
  <c r="H82" i="60"/>
  <c r="G82" i="60"/>
  <c r="G74" i="60"/>
  <c r="H74" i="60"/>
  <c r="G66" i="60"/>
  <c r="H66" i="60"/>
  <c r="G58" i="60"/>
  <c r="H58" i="60"/>
  <c r="G50" i="60"/>
  <c r="H50" i="60"/>
  <c r="G42" i="60"/>
  <c r="H42" i="60"/>
  <c r="G34" i="60"/>
  <c r="H34" i="60"/>
  <c r="H26" i="60"/>
  <c r="G26" i="60"/>
  <c r="G18" i="60"/>
  <c r="H18" i="60"/>
  <c r="G10" i="60"/>
  <c r="H10" i="60"/>
  <c r="H3" i="60"/>
  <c r="E745" i="60"/>
  <c r="G736" i="60"/>
  <c r="H730" i="60"/>
  <c r="G727" i="60"/>
  <c r="G724" i="60"/>
  <c r="H721" i="60"/>
  <c r="H674" i="60"/>
  <c r="E660" i="60"/>
  <c r="G602" i="60"/>
  <c r="E587" i="60"/>
  <c r="G513" i="60"/>
  <c r="H513" i="60"/>
  <c r="G505" i="60"/>
  <c r="H505" i="60"/>
  <c r="G497" i="60"/>
  <c r="H497" i="60"/>
  <c r="G489" i="60"/>
  <c r="H489" i="60"/>
  <c r="H481" i="60"/>
  <c r="G481" i="60"/>
  <c r="H473" i="60"/>
  <c r="G473" i="60"/>
  <c r="G465" i="60"/>
  <c r="H465" i="60"/>
  <c r="G457" i="60"/>
  <c r="H457" i="60"/>
  <c r="G449" i="60"/>
  <c r="H449" i="60"/>
  <c r="G441" i="60"/>
  <c r="H441" i="60"/>
  <c r="G433" i="60"/>
  <c r="H433" i="60"/>
  <c r="G425" i="60"/>
  <c r="H425" i="60"/>
  <c r="G417" i="60"/>
  <c r="H417" i="60"/>
  <c r="G409" i="60"/>
  <c r="H409" i="60"/>
  <c r="G401" i="60"/>
  <c r="H401" i="60"/>
  <c r="G393" i="60"/>
  <c r="H393" i="60"/>
  <c r="G385" i="60"/>
  <c r="H385" i="60"/>
  <c r="G377" i="60"/>
  <c r="H377" i="60"/>
  <c r="G369" i="60"/>
  <c r="H369" i="60"/>
  <c r="G361" i="60"/>
  <c r="H361" i="60"/>
  <c r="H353" i="60"/>
  <c r="G353" i="60"/>
  <c r="G345" i="60"/>
  <c r="H345" i="60"/>
  <c r="G337" i="60"/>
  <c r="H337" i="60"/>
  <c r="G329" i="60"/>
  <c r="H329" i="60"/>
  <c r="G321" i="60"/>
  <c r="H321" i="60"/>
  <c r="G313" i="60"/>
  <c r="H313" i="60"/>
  <c r="G305" i="60"/>
  <c r="H305" i="60"/>
  <c r="G297" i="60"/>
  <c r="H297" i="60"/>
  <c r="H289" i="60"/>
  <c r="G289" i="60"/>
  <c r="G281" i="60"/>
  <c r="H281" i="60"/>
  <c r="G273" i="60"/>
  <c r="H273" i="60"/>
  <c r="G265" i="60"/>
  <c r="H265" i="60"/>
  <c r="G257" i="60"/>
  <c r="H257" i="60"/>
  <c r="G249" i="60"/>
  <c r="H249" i="60"/>
  <c r="G241" i="60"/>
  <c r="H241" i="60"/>
  <c r="G233" i="60"/>
  <c r="H233" i="60"/>
  <c r="G225" i="60"/>
  <c r="H225" i="60"/>
  <c r="G217" i="60"/>
  <c r="H217" i="60"/>
  <c r="G209" i="60"/>
  <c r="H209" i="60"/>
  <c r="G201" i="60"/>
  <c r="H201" i="60"/>
  <c r="G193" i="60"/>
  <c r="H193" i="60"/>
  <c r="H185" i="60"/>
  <c r="G185" i="60"/>
  <c r="G177" i="60"/>
  <c r="H177" i="60"/>
  <c r="H169" i="60"/>
  <c r="G169" i="60"/>
  <c r="G161" i="60"/>
  <c r="H161" i="60"/>
  <c r="G153" i="60"/>
  <c r="H153" i="60"/>
  <c r="H145" i="60"/>
  <c r="G145" i="60"/>
  <c r="H137" i="60"/>
  <c r="G137" i="60"/>
  <c r="G129" i="60"/>
  <c r="H129" i="60"/>
  <c r="H121" i="60"/>
  <c r="G121" i="60"/>
  <c r="G113" i="60"/>
  <c r="H113" i="60"/>
  <c r="H105" i="60"/>
  <c r="G105" i="60"/>
  <c r="G97" i="60"/>
  <c r="H97" i="60"/>
  <c r="H89" i="60"/>
  <c r="G89" i="60"/>
  <c r="G81" i="60"/>
  <c r="H81" i="60"/>
  <c r="G73" i="60"/>
  <c r="H73" i="60"/>
  <c r="G65" i="60"/>
  <c r="H65" i="60"/>
  <c r="G57" i="60"/>
  <c r="H57" i="60"/>
  <c r="G49" i="60"/>
  <c r="H49" i="60"/>
  <c r="G41" i="60"/>
  <c r="H41" i="60"/>
  <c r="G33" i="60"/>
  <c r="H33" i="60"/>
  <c r="G25" i="60"/>
  <c r="H25" i="60"/>
  <c r="G17" i="60"/>
  <c r="H17" i="60"/>
  <c r="G9" i="60"/>
  <c r="H9" i="60"/>
  <c r="G3" i="60"/>
  <c r="E756" i="60"/>
  <c r="E754" i="60"/>
  <c r="G744" i="60"/>
  <c r="H738" i="60"/>
  <c r="E736" i="60"/>
  <c r="H729" i="60"/>
  <c r="E727" i="60"/>
  <c r="E673" i="60"/>
  <c r="H643" i="60"/>
  <c r="E728" i="60"/>
  <c r="G728" i="60"/>
  <c r="H728" i="60"/>
  <c r="G712" i="60"/>
  <c r="H712" i="60"/>
  <c r="E704" i="60"/>
  <c r="G704" i="60"/>
  <c r="H704" i="60"/>
  <c r="G696" i="60"/>
  <c r="G688" i="60"/>
  <c r="H688" i="60"/>
  <c r="G680" i="60"/>
  <c r="H680" i="60"/>
  <c r="G672" i="60"/>
  <c r="H672" i="60"/>
  <c r="G664" i="60"/>
  <c r="H664" i="60"/>
  <c r="G656" i="60"/>
  <c r="G648" i="60"/>
  <c r="H648" i="60"/>
  <c r="G640" i="60"/>
  <c r="H640" i="60"/>
  <c r="G632" i="60"/>
  <c r="H632" i="60"/>
  <c r="H624" i="60"/>
  <c r="G624" i="60"/>
  <c r="G616" i="60"/>
  <c r="G608" i="60"/>
  <c r="H608" i="60"/>
  <c r="G600" i="60"/>
  <c r="E592" i="60"/>
  <c r="G592" i="60"/>
  <c r="H592" i="60"/>
  <c r="G584" i="60"/>
  <c r="H584" i="60"/>
  <c r="E584" i="60"/>
  <c r="G576" i="60"/>
  <c r="H576" i="60"/>
  <c r="G568" i="60"/>
  <c r="H568" i="60"/>
  <c r="G560" i="60"/>
  <c r="H560" i="60"/>
  <c r="G552" i="60"/>
  <c r="H552" i="60"/>
  <c r="G544" i="60"/>
  <c r="H544" i="60"/>
  <c r="G536" i="60"/>
  <c r="H536" i="60"/>
  <c r="H528" i="60"/>
  <c r="G520" i="60"/>
  <c r="H520" i="60"/>
  <c r="H512" i="60"/>
  <c r="G512" i="60"/>
  <c r="H504" i="60"/>
  <c r="G504" i="60"/>
  <c r="G496" i="60"/>
  <c r="H496" i="60"/>
  <c r="G488" i="60"/>
  <c r="H488" i="60"/>
  <c r="G480" i="60"/>
  <c r="H480" i="60"/>
  <c r="G472" i="60"/>
  <c r="H472" i="60"/>
  <c r="G464" i="60"/>
  <c r="H464" i="60"/>
  <c r="G456" i="60"/>
  <c r="H456" i="60"/>
  <c r="G448" i="60"/>
  <c r="H448" i="60"/>
  <c r="H440" i="60"/>
  <c r="G440" i="60"/>
  <c r="H432" i="60"/>
  <c r="G432" i="60"/>
  <c r="G424" i="60"/>
  <c r="H424" i="60"/>
  <c r="H416" i="60"/>
  <c r="G416" i="60"/>
  <c r="G408" i="60"/>
  <c r="H408" i="60"/>
  <c r="H400" i="60"/>
  <c r="G400" i="60"/>
  <c r="G392" i="60"/>
  <c r="H392" i="60"/>
  <c r="H384" i="60"/>
  <c r="G384" i="60"/>
  <c r="G376" i="60"/>
  <c r="H376" i="60"/>
  <c r="G368" i="60"/>
  <c r="H368" i="60"/>
  <c r="G360" i="60"/>
  <c r="H360" i="60"/>
  <c r="G352" i="60"/>
  <c r="H352" i="60"/>
  <c r="G344" i="60"/>
  <c r="H344" i="60"/>
  <c r="G336" i="60"/>
  <c r="H336" i="60"/>
  <c r="G328" i="60"/>
  <c r="H328" i="60"/>
  <c r="H320" i="60"/>
  <c r="G320" i="60"/>
  <c r="G312" i="60"/>
  <c r="H312" i="60"/>
  <c r="G304" i="60"/>
  <c r="H304" i="60"/>
  <c r="H296" i="60"/>
  <c r="G296" i="60"/>
  <c r="G288" i="60"/>
  <c r="H288" i="60"/>
  <c r="H280" i="60"/>
  <c r="G280" i="60"/>
  <c r="G272" i="60"/>
  <c r="H272" i="60"/>
  <c r="G264" i="60"/>
  <c r="H264" i="60"/>
  <c r="G256" i="60"/>
  <c r="H256" i="60"/>
  <c r="G248" i="60"/>
  <c r="H248" i="60"/>
  <c r="G240" i="60"/>
  <c r="H240" i="60"/>
  <c r="G232" i="60"/>
  <c r="H232" i="60"/>
  <c r="G224" i="60"/>
  <c r="H224" i="60"/>
  <c r="G216" i="60"/>
  <c r="H216" i="60"/>
  <c r="G208" i="60"/>
  <c r="H208" i="60"/>
  <c r="G200" i="60"/>
  <c r="H200" i="60"/>
  <c r="G192" i="60"/>
  <c r="H192" i="60"/>
  <c r="G184" i="60"/>
  <c r="H184" i="60"/>
  <c r="G176" i="60"/>
  <c r="H176" i="60"/>
  <c r="G168" i="60"/>
  <c r="H168" i="60"/>
  <c r="G160" i="60"/>
  <c r="H160" i="60"/>
  <c r="G152" i="60"/>
  <c r="H152" i="60"/>
  <c r="G144" i="60"/>
  <c r="H144" i="60"/>
  <c r="G136" i="60"/>
  <c r="H136" i="60"/>
  <c r="G128" i="60"/>
  <c r="H128" i="60"/>
  <c r="G120" i="60"/>
  <c r="H120" i="60"/>
  <c r="G112" i="60"/>
  <c r="H112" i="60"/>
  <c r="G104" i="60"/>
  <c r="H104" i="60"/>
  <c r="G96" i="60"/>
  <c r="H96" i="60"/>
  <c r="G88" i="60"/>
  <c r="H88" i="60"/>
  <c r="G80" i="60"/>
  <c r="H80" i="60"/>
  <c r="G72" i="60"/>
  <c r="H72" i="60"/>
  <c r="H64" i="60"/>
  <c r="G64" i="60"/>
  <c r="G56" i="60"/>
  <c r="H56" i="60"/>
  <c r="G48" i="60"/>
  <c r="H48" i="60"/>
  <c r="G40" i="60"/>
  <c r="H40" i="60"/>
  <c r="G32" i="60"/>
  <c r="H32" i="60"/>
  <c r="H24" i="60"/>
  <c r="G24" i="60"/>
  <c r="H16" i="60"/>
  <c r="G16" i="60"/>
  <c r="G8" i="60"/>
  <c r="H8" i="60"/>
  <c r="E3" i="60"/>
  <c r="E752" i="60"/>
  <c r="H741" i="60"/>
  <c r="G738" i="60"/>
  <c r="G729" i="60"/>
  <c r="H720" i="60"/>
  <c r="E715" i="60"/>
  <c r="G700" i="60"/>
  <c r="H685" i="60"/>
  <c r="H656" i="60"/>
  <c r="H627" i="60"/>
  <c r="G681" i="60"/>
  <c r="H681" i="60"/>
  <c r="H657" i="60"/>
  <c r="G657" i="60"/>
  <c r="G641" i="60"/>
  <c r="H625" i="60"/>
  <c r="H609" i="60"/>
  <c r="G585" i="60"/>
  <c r="H585" i="60"/>
  <c r="G569" i="60"/>
  <c r="H569" i="60"/>
  <c r="H553" i="60"/>
  <c r="G553" i="60"/>
  <c r="H537" i="60"/>
  <c r="G537" i="60"/>
  <c r="G521" i="60"/>
  <c r="H521" i="60"/>
  <c r="G735" i="60"/>
  <c r="H735" i="60"/>
  <c r="G719" i="60"/>
  <c r="G711" i="60"/>
  <c r="H711" i="60"/>
  <c r="G703" i="60"/>
  <c r="H703" i="60"/>
  <c r="G695" i="60"/>
  <c r="H695" i="60"/>
  <c r="H687" i="60"/>
  <c r="G679" i="60"/>
  <c r="H679" i="60"/>
  <c r="E671" i="60"/>
  <c r="G671" i="60"/>
  <c r="H671" i="60"/>
  <c r="G663" i="60"/>
  <c r="H655" i="60"/>
  <c r="G655" i="60"/>
  <c r="G647" i="60"/>
  <c r="H647" i="60"/>
  <c r="E647" i="60"/>
  <c r="G639" i="60"/>
  <c r="H639" i="60"/>
  <c r="G631" i="60"/>
  <c r="H631" i="60"/>
  <c r="E631" i="60"/>
  <c r="H623" i="60"/>
  <c r="G623" i="60"/>
  <c r="E615" i="60"/>
  <c r="G615" i="60"/>
  <c r="H615" i="60"/>
  <c r="G607" i="60"/>
  <c r="H607" i="60"/>
  <c r="E599" i="60"/>
  <c r="G599" i="60"/>
  <c r="H599" i="60"/>
  <c r="G591" i="60"/>
  <c r="H591" i="60"/>
  <c r="G583" i="60"/>
  <c r="H583" i="60"/>
  <c r="G575" i="60"/>
  <c r="H575" i="60"/>
  <c r="G567" i="60"/>
  <c r="H567" i="60"/>
  <c r="G559" i="60"/>
  <c r="H559" i="60"/>
  <c r="G551" i="60"/>
  <c r="H551" i="60"/>
  <c r="E543" i="60"/>
  <c r="G543" i="60"/>
  <c r="H543" i="60"/>
  <c r="G535" i="60"/>
  <c r="H535" i="60"/>
  <c r="G527" i="60"/>
  <c r="H527" i="60"/>
  <c r="G519" i="60"/>
  <c r="H519" i="60"/>
  <c r="G511" i="60"/>
  <c r="H511" i="60"/>
  <c r="H503" i="60"/>
  <c r="G503" i="60"/>
  <c r="G495" i="60"/>
  <c r="H495" i="60"/>
  <c r="G487" i="60"/>
  <c r="H487" i="60"/>
  <c r="G479" i="60"/>
  <c r="H479" i="60"/>
  <c r="H471" i="60"/>
  <c r="G471" i="60"/>
  <c r="H463" i="60"/>
  <c r="G463" i="60"/>
  <c r="G455" i="60"/>
  <c r="H455" i="60"/>
  <c r="G447" i="60"/>
  <c r="H447" i="60"/>
  <c r="G439" i="60"/>
  <c r="H439" i="60"/>
  <c r="G431" i="60"/>
  <c r="H431" i="60"/>
  <c r="G423" i="60"/>
  <c r="H423" i="60"/>
  <c r="G415" i="60"/>
  <c r="H415" i="60"/>
  <c r="G407" i="60"/>
  <c r="H407" i="60"/>
  <c r="G399" i="60"/>
  <c r="H399" i="60"/>
  <c r="G391" i="60"/>
  <c r="H391" i="60"/>
  <c r="G383" i="60"/>
  <c r="H383" i="60"/>
  <c r="H375" i="60"/>
  <c r="G375" i="60"/>
  <c r="G367" i="60"/>
  <c r="H367" i="60"/>
  <c r="H359" i="60"/>
  <c r="G359" i="60"/>
  <c r="H351" i="60"/>
  <c r="G351" i="60"/>
  <c r="G343" i="60"/>
  <c r="H343" i="60"/>
  <c r="G335" i="60"/>
  <c r="H335" i="60"/>
  <c r="G327" i="60"/>
  <c r="H327" i="60"/>
  <c r="H319" i="60"/>
  <c r="G319" i="60"/>
  <c r="H311" i="60"/>
  <c r="G311" i="60"/>
  <c r="G303" i="60"/>
  <c r="H303" i="60"/>
  <c r="G295" i="60"/>
  <c r="H295" i="60"/>
  <c r="G287" i="60"/>
  <c r="H287" i="60"/>
  <c r="G279" i="60"/>
  <c r="H279" i="60"/>
  <c r="G271" i="60"/>
  <c r="H271" i="60"/>
  <c r="G263" i="60"/>
  <c r="H263" i="60"/>
  <c r="G255" i="60"/>
  <c r="H255" i="60"/>
  <c r="G247" i="60"/>
  <c r="H247" i="60"/>
  <c r="G239" i="60"/>
  <c r="H239" i="60"/>
  <c r="H231" i="60"/>
  <c r="G231" i="60"/>
  <c r="G223" i="60"/>
  <c r="H223" i="60"/>
  <c r="G215" i="60"/>
  <c r="H215" i="60"/>
  <c r="G207" i="60"/>
  <c r="H207" i="60"/>
  <c r="H199" i="60"/>
  <c r="G199" i="60"/>
  <c r="G191" i="60"/>
  <c r="H191" i="60"/>
  <c r="H183" i="60"/>
  <c r="G183" i="60"/>
  <c r="G175" i="60"/>
  <c r="H175" i="60"/>
  <c r="G167" i="60"/>
  <c r="H167" i="60"/>
  <c r="G159" i="60"/>
  <c r="H159" i="60"/>
  <c r="G151" i="60"/>
  <c r="H151" i="60"/>
  <c r="G143" i="60"/>
  <c r="H143" i="60"/>
  <c r="G135" i="60"/>
  <c r="H135" i="60"/>
  <c r="G127" i="60"/>
  <c r="H127" i="60"/>
  <c r="G119" i="60"/>
  <c r="H119" i="60"/>
  <c r="H111" i="60"/>
  <c r="G111" i="60"/>
  <c r="G103" i="60"/>
  <c r="H103" i="60"/>
  <c r="G95" i="60"/>
  <c r="H95" i="60"/>
  <c r="G87" i="60"/>
  <c r="H87" i="60"/>
  <c r="G79" i="60"/>
  <c r="H79" i="60"/>
  <c r="G71" i="60"/>
  <c r="H71" i="60"/>
  <c r="H63" i="60"/>
  <c r="G63" i="60"/>
  <c r="G55" i="60"/>
  <c r="H55" i="60"/>
  <c r="H47" i="60"/>
  <c r="G47" i="60"/>
  <c r="G39" i="60"/>
  <c r="H39" i="60"/>
  <c r="H31" i="60"/>
  <c r="G31" i="60"/>
  <c r="G23" i="60"/>
  <c r="H23" i="60"/>
  <c r="G15" i="60"/>
  <c r="H15" i="60"/>
  <c r="G7" i="60"/>
  <c r="H7" i="60"/>
  <c r="E759" i="60"/>
  <c r="E750" i="60"/>
  <c r="E738" i="60"/>
  <c r="E735" i="60"/>
  <c r="H732" i="60"/>
  <c r="H723" i="60"/>
  <c r="G698" i="60"/>
  <c r="E684" i="60"/>
  <c r="G625" i="60"/>
  <c r="G611" i="60"/>
  <c r="G737" i="60"/>
  <c r="H737" i="60"/>
  <c r="G705" i="60"/>
  <c r="G689" i="60"/>
  <c r="H689" i="60"/>
  <c r="H665" i="60"/>
  <c r="E649" i="60"/>
  <c r="G649" i="60"/>
  <c r="H649" i="60"/>
  <c r="E633" i="60"/>
  <c r="G633" i="60"/>
  <c r="H633" i="60"/>
  <c r="G617" i="60"/>
  <c r="H617" i="60"/>
  <c r="G601" i="60"/>
  <c r="H601" i="60"/>
  <c r="H593" i="60"/>
  <c r="G577" i="60"/>
  <c r="H577" i="60"/>
  <c r="G561" i="60"/>
  <c r="H561" i="60"/>
  <c r="G545" i="60"/>
  <c r="H545" i="60"/>
  <c r="G529" i="60"/>
  <c r="H529" i="60"/>
  <c r="G726" i="60"/>
  <c r="H726" i="60"/>
  <c r="E718" i="60"/>
  <c r="G718" i="60"/>
  <c r="G710" i="60"/>
  <c r="H710" i="60"/>
  <c r="G702" i="60"/>
  <c r="H702" i="60"/>
  <c r="E702" i="60"/>
  <c r="G694" i="60"/>
  <c r="G686" i="60"/>
  <c r="H686" i="60"/>
  <c r="G678" i="60"/>
  <c r="H678" i="60"/>
  <c r="G670" i="60"/>
  <c r="H670" i="60"/>
  <c r="G662" i="60"/>
  <c r="H662" i="60"/>
  <c r="G654" i="60"/>
  <c r="H654" i="60"/>
  <c r="E654" i="60"/>
  <c r="G646" i="60"/>
  <c r="H646" i="60"/>
  <c r="G638" i="60"/>
  <c r="H638" i="60"/>
  <c r="G630" i="60"/>
  <c r="H630" i="60"/>
  <c r="G622" i="60"/>
  <c r="H622" i="60"/>
  <c r="G614" i="60"/>
  <c r="H614" i="60"/>
  <c r="E606" i="60"/>
  <c r="G606" i="60"/>
  <c r="H606" i="60"/>
  <c r="G598" i="60"/>
  <c r="H598" i="60"/>
  <c r="G590" i="60"/>
  <c r="H590" i="60"/>
  <c r="G582" i="60"/>
  <c r="H582" i="60"/>
  <c r="H574" i="60"/>
  <c r="G574" i="60"/>
  <c r="G566" i="60"/>
  <c r="H566" i="60"/>
  <c r="G558" i="60"/>
  <c r="H558" i="60"/>
  <c r="G550" i="60"/>
  <c r="H550" i="60"/>
  <c r="G542" i="60"/>
  <c r="H542" i="60"/>
  <c r="H534" i="60"/>
  <c r="G534" i="60"/>
  <c r="G526" i="60"/>
  <c r="H526" i="60"/>
  <c r="G518" i="60"/>
  <c r="H518" i="60"/>
  <c r="G510" i="60"/>
  <c r="H510" i="60"/>
  <c r="G502" i="60"/>
  <c r="H502" i="60"/>
  <c r="H494" i="60"/>
  <c r="G494" i="60"/>
  <c r="G486" i="60"/>
  <c r="H486" i="60"/>
  <c r="G478" i="60"/>
  <c r="H478" i="60"/>
  <c r="H470" i="60"/>
  <c r="G462" i="60"/>
  <c r="H462" i="60"/>
  <c r="H454" i="60"/>
  <c r="G454" i="60"/>
  <c r="G446" i="60"/>
  <c r="H446" i="60"/>
  <c r="G438" i="60"/>
  <c r="H438" i="60"/>
  <c r="G430" i="60"/>
  <c r="H430" i="60"/>
  <c r="G422" i="60"/>
  <c r="H422" i="60"/>
  <c r="G414" i="60"/>
  <c r="H414" i="60"/>
  <c r="G406" i="60"/>
  <c r="H406" i="60"/>
  <c r="G398" i="60"/>
  <c r="H398" i="60"/>
  <c r="G390" i="60"/>
  <c r="H390" i="60"/>
  <c r="G382" i="60"/>
  <c r="H382" i="60"/>
  <c r="G374" i="60"/>
  <c r="H374" i="60"/>
  <c r="H366" i="60"/>
  <c r="G366" i="60"/>
  <c r="G358" i="60"/>
  <c r="H358" i="60"/>
  <c r="H350" i="60"/>
  <c r="G350" i="60"/>
  <c r="G342" i="60"/>
  <c r="H342" i="60"/>
  <c r="G334" i="60"/>
  <c r="H334" i="60"/>
  <c r="G326" i="60"/>
  <c r="H326" i="60"/>
  <c r="G318" i="60"/>
  <c r="H318" i="60"/>
  <c r="G310" i="60"/>
  <c r="H310" i="60"/>
  <c r="G302" i="60"/>
  <c r="H302" i="60"/>
  <c r="G294" i="60"/>
  <c r="H294" i="60"/>
  <c r="G286" i="60"/>
  <c r="H286" i="60"/>
  <c r="H278" i="60"/>
  <c r="G278" i="60"/>
  <c r="G270" i="60"/>
  <c r="H270" i="60"/>
  <c r="G262" i="60"/>
  <c r="H262" i="60"/>
  <c r="G254" i="60"/>
  <c r="H254" i="60"/>
  <c r="G246" i="60"/>
  <c r="H246" i="60"/>
  <c r="G238" i="60"/>
  <c r="H238" i="60"/>
  <c r="H230" i="60"/>
  <c r="G230" i="60"/>
  <c r="G222" i="60"/>
  <c r="H222" i="60"/>
  <c r="G214" i="60"/>
  <c r="H214" i="60"/>
  <c r="G206" i="60"/>
  <c r="H206" i="60"/>
  <c r="G198" i="60"/>
  <c r="H198" i="60"/>
  <c r="G190" i="60"/>
  <c r="H190" i="60"/>
  <c r="G182" i="60"/>
  <c r="H182" i="60"/>
  <c r="G174" i="60"/>
  <c r="H174" i="60"/>
  <c r="H166" i="60"/>
  <c r="G166" i="60"/>
  <c r="G158" i="60"/>
  <c r="H158" i="60"/>
  <c r="H150" i="60"/>
  <c r="G150" i="60"/>
  <c r="G142" i="60"/>
  <c r="H142" i="60"/>
  <c r="G134" i="60"/>
  <c r="H134" i="60"/>
  <c r="G126" i="60"/>
  <c r="H126" i="60"/>
  <c r="G118" i="60"/>
  <c r="H118" i="60"/>
  <c r="H110" i="60"/>
  <c r="G110" i="60"/>
  <c r="G102" i="60"/>
  <c r="H102" i="60"/>
  <c r="G94" i="60"/>
  <c r="H94" i="60"/>
  <c r="G86" i="60"/>
  <c r="H86" i="60"/>
  <c r="H78" i="60"/>
  <c r="G78" i="60"/>
  <c r="H70" i="60"/>
  <c r="G70" i="60"/>
  <c r="G62" i="60"/>
  <c r="H62" i="60"/>
  <c r="H54" i="60"/>
  <c r="G54" i="60"/>
  <c r="H46" i="60"/>
  <c r="G46" i="60"/>
  <c r="G38" i="60"/>
  <c r="H38" i="60"/>
  <c r="G30" i="60"/>
  <c r="H30" i="60"/>
  <c r="H22" i="60"/>
  <c r="G22" i="60"/>
  <c r="G14" i="60"/>
  <c r="H14" i="60"/>
  <c r="G6" i="60"/>
  <c r="H6" i="60"/>
  <c r="E748" i="60"/>
  <c r="H743" i="60"/>
  <c r="H740" i="60"/>
  <c r="H734" i="60"/>
  <c r="H731" i="60"/>
  <c r="E729" i="60"/>
  <c r="E726" i="60"/>
  <c r="G723" i="60"/>
  <c r="H696" i="60"/>
  <c r="G667" i="60"/>
  <c r="G652" i="60"/>
  <c r="G609" i="60"/>
  <c r="G595" i="60"/>
  <c r="H571" i="60"/>
  <c r="G573" i="60"/>
  <c r="H573" i="60"/>
  <c r="H565" i="60"/>
  <c r="G565" i="60"/>
  <c r="G557" i="60"/>
  <c r="H557" i="60"/>
  <c r="G549" i="60"/>
  <c r="H549" i="60"/>
  <c r="G541" i="60"/>
  <c r="H541" i="60"/>
  <c r="G533" i="60"/>
  <c r="H533" i="60"/>
  <c r="G525" i="60"/>
  <c r="H525" i="60"/>
  <c r="G517" i="60"/>
  <c r="H517" i="60"/>
  <c r="G509" i="60"/>
  <c r="H509" i="60"/>
  <c r="H501" i="60"/>
  <c r="G501" i="60"/>
  <c r="G493" i="60"/>
  <c r="H493" i="60"/>
  <c r="G485" i="60"/>
  <c r="H485" i="60"/>
  <c r="G477" i="60"/>
  <c r="H477" i="60"/>
  <c r="G469" i="60"/>
  <c r="H469" i="60"/>
  <c r="H461" i="60"/>
  <c r="G461" i="60"/>
  <c r="G453" i="60"/>
  <c r="H453" i="60"/>
  <c r="G445" i="60"/>
  <c r="H445" i="60"/>
  <c r="G437" i="60"/>
  <c r="H437" i="60"/>
  <c r="G429" i="60"/>
  <c r="H429" i="60"/>
  <c r="G421" i="60"/>
  <c r="H421" i="60"/>
  <c r="G413" i="60"/>
  <c r="H413" i="60"/>
  <c r="G405" i="60"/>
  <c r="H405" i="60"/>
  <c r="G397" i="60"/>
  <c r="H397" i="60"/>
  <c r="G389" i="60"/>
  <c r="H389" i="60"/>
  <c r="H381" i="60"/>
  <c r="G381" i="60"/>
  <c r="H373" i="60"/>
  <c r="G373" i="60"/>
  <c r="G365" i="60"/>
  <c r="H365" i="60"/>
  <c r="H357" i="60"/>
  <c r="G357" i="60"/>
  <c r="G349" i="60"/>
  <c r="H349" i="60"/>
  <c r="G341" i="60"/>
  <c r="H341" i="60"/>
  <c r="G333" i="60"/>
  <c r="H333" i="60"/>
  <c r="G325" i="60"/>
  <c r="H325" i="60"/>
  <c r="H317" i="60"/>
  <c r="G317" i="60"/>
  <c r="H309" i="60"/>
  <c r="G309" i="60"/>
  <c r="G301" i="60"/>
  <c r="H301" i="60"/>
  <c r="G293" i="60"/>
  <c r="H293" i="60"/>
  <c r="G285" i="60"/>
  <c r="H285" i="60"/>
  <c r="G277" i="60"/>
  <c r="H277" i="60"/>
  <c r="G269" i="60"/>
  <c r="H269" i="60"/>
  <c r="H261" i="60"/>
  <c r="G261" i="60"/>
  <c r="G253" i="60"/>
  <c r="H253" i="60"/>
  <c r="G245" i="60"/>
  <c r="H245" i="60"/>
  <c r="G237" i="60"/>
  <c r="H237" i="60"/>
  <c r="G229" i="60"/>
  <c r="H229" i="60"/>
  <c r="G221" i="60"/>
  <c r="H221" i="60"/>
  <c r="G213" i="60"/>
  <c r="H213" i="60"/>
  <c r="G205" i="60"/>
  <c r="H205" i="60"/>
  <c r="H197" i="60"/>
  <c r="G197" i="60"/>
  <c r="G189" i="60"/>
  <c r="H189" i="60"/>
  <c r="G181" i="60"/>
  <c r="H181" i="60"/>
  <c r="G173" i="60"/>
  <c r="H173" i="60"/>
  <c r="G165" i="60"/>
  <c r="H165" i="60"/>
  <c r="G157" i="60"/>
  <c r="H157" i="60"/>
  <c r="G149" i="60"/>
  <c r="H149" i="60"/>
  <c r="G141" i="60"/>
  <c r="H141" i="60"/>
  <c r="G133" i="60"/>
  <c r="H133" i="60"/>
  <c r="G125" i="60"/>
  <c r="H125" i="60"/>
  <c r="G117" i="60"/>
  <c r="H117" i="60"/>
  <c r="G109" i="60"/>
  <c r="H109" i="60"/>
  <c r="G101" i="60"/>
  <c r="H101" i="60"/>
  <c r="G93" i="60"/>
  <c r="H93" i="60"/>
  <c r="G85" i="60"/>
  <c r="H85" i="60"/>
  <c r="H77" i="60"/>
  <c r="G77" i="60"/>
  <c r="G69" i="60"/>
  <c r="H69" i="60"/>
  <c r="H61" i="60"/>
  <c r="G61" i="60"/>
  <c r="G53" i="60"/>
  <c r="H53" i="60"/>
  <c r="H45" i="60"/>
  <c r="G45" i="60"/>
  <c r="G37" i="60"/>
  <c r="H37" i="60"/>
  <c r="G29" i="60"/>
  <c r="H29" i="60"/>
  <c r="G21" i="60"/>
  <c r="H21" i="60"/>
  <c r="G13" i="60"/>
  <c r="H13" i="60"/>
  <c r="G5" i="60"/>
  <c r="H5" i="60"/>
  <c r="H745" i="60"/>
  <c r="G743" i="60"/>
  <c r="E737" i="60"/>
  <c r="G734" i="60"/>
  <c r="H725" i="60"/>
  <c r="G722" i="60"/>
  <c r="H719" i="60"/>
  <c r="G709" i="60"/>
  <c r="H694" i="60"/>
  <c r="G665" i="60"/>
  <c r="H650" i="60"/>
  <c r="G636" i="60"/>
  <c r="E608" i="60"/>
  <c r="G593" i="60"/>
  <c r="E434" i="60"/>
  <c r="E554" i="60"/>
  <c r="A14" i="60"/>
  <c r="E747" i="60" l="1"/>
  <c r="H747" i="60"/>
  <c r="E624" i="60"/>
  <c r="E622" i="60"/>
  <c r="E746" i="60"/>
  <c r="H746" i="60"/>
  <c r="E394" i="60"/>
  <c r="E346" i="60"/>
  <c r="E362" i="60"/>
  <c r="E378" i="60"/>
  <c r="E410" i="60"/>
  <c r="E530" i="60"/>
  <c r="E426" i="60"/>
  <c r="E733" i="60"/>
  <c r="E578" i="60"/>
  <c r="E514" i="60"/>
  <c r="E546" i="60"/>
  <c r="E562" i="60"/>
  <c r="E610" i="60"/>
  <c r="E138" i="60"/>
  <c r="E234" i="60"/>
  <c r="E250" i="60"/>
  <c r="E298" i="60"/>
  <c r="E314" i="60"/>
  <c r="E594" i="60"/>
  <c r="E646" i="60"/>
  <c r="E466" i="60"/>
  <c r="E618" i="60"/>
  <c r="E482" i="60"/>
  <c r="E751" i="60"/>
  <c r="E322" i="60"/>
  <c r="E338" i="60"/>
  <c r="E602" i="60"/>
  <c r="E324" i="60"/>
  <c r="E741" i="60"/>
  <c r="E388" i="60"/>
  <c r="E242" i="60"/>
  <c r="E354" i="60"/>
  <c r="E474" i="60"/>
  <c r="E332" i="60"/>
  <c r="E290" i="60"/>
  <c r="E370" i="60"/>
  <c r="E192" i="60"/>
  <c r="E208" i="60"/>
  <c r="E240" i="60"/>
  <c r="E148" i="60"/>
  <c r="E272" i="60"/>
  <c r="E288" i="60"/>
  <c r="E146" i="60"/>
  <c r="E162" i="60"/>
  <c r="E494" i="60"/>
  <c r="E542" i="60"/>
  <c r="E558" i="60"/>
  <c r="E590" i="60"/>
  <c r="E662" i="60"/>
  <c r="E593" i="60"/>
  <c r="E47" i="60"/>
  <c r="E63" i="60"/>
  <c r="E207" i="60"/>
  <c r="E223" i="60"/>
  <c r="E255" i="60"/>
  <c r="E287" i="60"/>
  <c r="E303" i="60"/>
  <c r="E319" i="60"/>
  <c r="E335" i="60"/>
  <c r="E351" i="60"/>
  <c r="E367" i="60"/>
  <c r="E383" i="60"/>
  <c r="E399" i="60"/>
  <c r="E415" i="60"/>
  <c r="E431" i="60"/>
  <c r="E479" i="60"/>
  <c r="E495" i="60"/>
  <c r="E404" i="60"/>
  <c r="E299" i="60"/>
  <c r="E331" i="60"/>
  <c r="E451" i="60"/>
  <c r="E467" i="60"/>
  <c r="E683" i="60"/>
  <c r="E692" i="60"/>
  <c r="E538" i="60"/>
  <c r="E570" i="60"/>
  <c r="E586" i="60"/>
  <c r="E163" i="60"/>
  <c r="E323" i="60"/>
  <c r="E355" i="60"/>
  <c r="E371" i="60"/>
  <c r="E387" i="60"/>
  <c r="E675" i="60"/>
  <c r="E732" i="60"/>
  <c r="E625" i="60"/>
  <c r="E233" i="60"/>
  <c r="E249" i="60"/>
  <c r="E265" i="60"/>
  <c r="E281" i="60"/>
  <c r="E329" i="60"/>
  <c r="E457" i="60"/>
  <c r="E473" i="60"/>
  <c r="E553" i="60"/>
  <c r="E25" i="60"/>
  <c r="E41" i="60"/>
  <c r="E57" i="60"/>
  <c r="E89" i="60"/>
  <c r="E137" i="60"/>
  <c r="E153" i="60"/>
  <c r="E11" i="60"/>
  <c r="E132" i="60"/>
  <c r="E196" i="60"/>
  <c r="E276" i="60"/>
  <c r="E292" i="60"/>
  <c r="E308" i="60"/>
  <c r="E340" i="60"/>
  <c r="E356" i="60"/>
  <c r="E740" i="60"/>
  <c r="E5" i="60"/>
  <c r="E85" i="60"/>
  <c r="E149" i="60"/>
  <c r="E293" i="60"/>
  <c r="E341" i="60"/>
  <c r="E565" i="60"/>
  <c r="E30" i="60"/>
  <c r="E199" i="60"/>
  <c r="E32" i="60"/>
  <c r="E128" i="60"/>
  <c r="E176" i="60"/>
  <c r="E224" i="60"/>
  <c r="E256" i="60"/>
  <c r="E304" i="60"/>
  <c r="E490" i="60"/>
  <c r="E384" i="60"/>
  <c r="E400" i="60"/>
  <c r="E416" i="60"/>
  <c r="E432" i="60"/>
  <c r="E419" i="60"/>
  <c r="E435" i="60"/>
  <c r="E499" i="60"/>
  <c r="E515" i="60"/>
  <c r="E531" i="60"/>
  <c r="E547" i="60"/>
  <c r="E563" i="60"/>
  <c r="E156" i="60"/>
  <c r="E220" i="60"/>
  <c r="E252" i="60"/>
  <c r="E268" i="60"/>
  <c r="E316" i="60"/>
  <c r="E348" i="60"/>
  <c r="E364" i="60"/>
  <c r="E380" i="60"/>
  <c r="E396" i="60"/>
  <c r="E412" i="60"/>
  <c r="E428" i="60"/>
  <c r="E444" i="60"/>
  <c r="E460" i="60"/>
  <c r="E492" i="60"/>
  <c r="E403" i="60"/>
  <c r="E603" i="60"/>
  <c r="E420" i="60"/>
  <c r="E125" i="60"/>
  <c r="E664" i="60"/>
  <c r="E73" i="60"/>
  <c r="E210" i="60"/>
  <c r="E674" i="60"/>
  <c r="E372" i="60"/>
  <c r="E658" i="60"/>
  <c r="E698" i="60"/>
  <c r="E669" i="60"/>
  <c r="E638" i="60"/>
  <c r="E262" i="60"/>
  <c r="E92" i="60"/>
  <c r="E749" i="60"/>
  <c r="E28" i="60"/>
  <c r="E10" i="60"/>
  <c r="E122" i="60"/>
  <c r="E666" i="60"/>
  <c r="E730" i="60"/>
  <c r="E307" i="60"/>
  <c r="E12" i="60"/>
  <c r="E108" i="60"/>
  <c r="E739" i="60"/>
  <c r="E731" i="60"/>
  <c r="E442" i="60"/>
  <c r="E226" i="60"/>
  <c r="E258" i="60"/>
  <c r="E450" i="60"/>
  <c r="E634" i="60"/>
  <c r="E650" i="60"/>
  <c r="E709" i="60"/>
  <c r="E171" i="60"/>
  <c r="E133" i="60"/>
  <c r="E209" i="60"/>
  <c r="E600" i="60"/>
  <c r="E696" i="60"/>
  <c r="E476" i="60"/>
  <c r="E685" i="60"/>
  <c r="E317" i="60"/>
  <c r="E461" i="60"/>
  <c r="E127" i="60"/>
  <c r="E619" i="60"/>
  <c r="E140" i="60"/>
  <c r="E605" i="60"/>
  <c r="E653" i="60"/>
  <c r="E551" i="60"/>
  <c r="E567" i="60"/>
  <c r="E583" i="60"/>
  <c r="E655" i="60"/>
  <c r="E40" i="60"/>
  <c r="E264" i="60"/>
  <c r="E18" i="60"/>
  <c r="E66" i="60"/>
  <c r="E82" i="60"/>
  <c r="E98" i="60"/>
  <c r="E130" i="60"/>
  <c r="E411" i="60"/>
  <c r="E596" i="60"/>
  <c r="E612" i="60"/>
  <c r="E628" i="60"/>
  <c r="E629" i="60"/>
  <c r="E151" i="60"/>
  <c r="E8" i="60"/>
  <c r="E677" i="60"/>
  <c r="E6" i="60"/>
  <c r="E694" i="60"/>
  <c r="E143" i="60"/>
  <c r="E511" i="60"/>
  <c r="E527" i="60"/>
  <c r="E703" i="60"/>
  <c r="E569" i="60"/>
  <c r="E48" i="60"/>
  <c r="E64" i="60"/>
  <c r="E80" i="60"/>
  <c r="E144" i="60"/>
  <c r="E336" i="60"/>
  <c r="E448" i="60"/>
  <c r="E464" i="60"/>
  <c r="E568" i="60"/>
  <c r="E9" i="60"/>
  <c r="E169" i="60"/>
  <c r="E297" i="60"/>
  <c r="E489" i="60"/>
  <c r="E26" i="60"/>
  <c r="E90" i="60"/>
  <c r="E106" i="60"/>
  <c r="E154" i="60"/>
  <c r="E170" i="60"/>
  <c r="E186" i="60"/>
  <c r="E498" i="60"/>
  <c r="E626" i="60"/>
  <c r="E753" i="60"/>
  <c r="E27" i="60"/>
  <c r="E59" i="60"/>
  <c r="E91" i="60"/>
  <c r="E139" i="60"/>
  <c r="E155" i="60"/>
  <c r="E203" i="60"/>
  <c r="E219" i="60"/>
  <c r="E251" i="60"/>
  <c r="E283" i="60"/>
  <c r="E94" i="60"/>
  <c r="E126" i="60"/>
  <c r="E334" i="60"/>
  <c r="E574" i="60"/>
  <c r="E101" i="60"/>
  <c r="E213" i="60"/>
  <c r="E485" i="60"/>
  <c r="E720" i="60"/>
  <c r="E174" i="60"/>
  <c r="E222" i="60"/>
  <c r="E254" i="60"/>
  <c r="E302" i="60"/>
  <c r="E744" i="60"/>
  <c r="E56" i="60"/>
  <c r="E72" i="60"/>
  <c r="E104" i="60"/>
  <c r="E216" i="60"/>
  <c r="E280" i="60"/>
  <c r="E296" i="60"/>
  <c r="E456" i="60"/>
  <c r="E472" i="60"/>
  <c r="E178" i="60"/>
  <c r="E386" i="60"/>
  <c r="E402" i="60"/>
  <c r="E418" i="60"/>
  <c r="E700" i="60"/>
  <c r="E614" i="60"/>
  <c r="E103" i="60"/>
  <c r="E167" i="60"/>
  <c r="E359" i="60"/>
  <c r="E375" i="60"/>
  <c r="E559" i="60"/>
  <c r="E88" i="60"/>
  <c r="E120" i="60"/>
  <c r="E152" i="60"/>
  <c r="E168" i="60"/>
  <c r="E360" i="60"/>
  <c r="E376" i="60"/>
  <c r="E392" i="60"/>
  <c r="E408" i="60"/>
  <c r="E424" i="60"/>
  <c r="E440" i="60"/>
  <c r="E632" i="60"/>
  <c r="E688" i="60"/>
  <c r="E758" i="60"/>
  <c r="E760" i="60"/>
  <c r="E458" i="60"/>
  <c r="E589" i="60"/>
  <c r="E645" i="60"/>
  <c r="E697" i="60"/>
  <c r="E19" i="60"/>
  <c r="E35" i="60"/>
  <c r="E115" i="60"/>
  <c r="E131" i="60"/>
  <c r="E179" i="60"/>
  <c r="E195" i="60"/>
  <c r="E227" i="60"/>
  <c r="E259" i="60"/>
  <c r="E347" i="60"/>
  <c r="E363" i="60"/>
  <c r="E379" i="60"/>
  <c r="E427" i="60"/>
  <c r="E443" i="60"/>
  <c r="E507" i="60"/>
  <c r="E523" i="60"/>
  <c r="E436" i="60"/>
  <c r="E516" i="60"/>
  <c r="E532" i="60"/>
  <c r="E548" i="60"/>
  <c r="E564" i="60"/>
  <c r="E644" i="60"/>
  <c r="E470" i="60"/>
  <c r="E534" i="60"/>
  <c r="E670" i="60"/>
  <c r="E686" i="60"/>
  <c r="E734" i="60"/>
  <c r="E577" i="60"/>
  <c r="E575" i="60"/>
  <c r="E623" i="60"/>
  <c r="E679" i="60"/>
  <c r="E496" i="60"/>
  <c r="E528" i="60"/>
  <c r="E616" i="60"/>
  <c r="E742" i="60"/>
  <c r="E49" i="60"/>
  <c r="E65" i="60"/>
  <c r="E81" i="60"/>
  <c r="E241" i="60"/>
  <c r="E273" i="60"/>
  <c r="E449" i="60"/>
  <c r="E465" i="60"/>
  <c r="E395" i="60"/>
  <c r="E661" i="60"/>
  <c r="E13" i="60"/>
  <c r="E237" i="60"/>
  <c r="E269" i="60"/>
  <c r="E445" i="60"/>
  <c r="E541" i="60"/>
  <c r="E38" i="60"/>
  <c r="E134" i="60"/>
  <c r="E198" i="60"/>
  <c r="E326" i="60"/>
  <c r="E39" i="60"/>
  <c r="E447" i="60"/>
  <c r="E724" i="60"/>
  <c r="E712" i="60"/>
  <c r="E97" i="60"/>
  <c r="E113" i="60"/>
  <c r="E129" i="60"/>
  <c r="E145" i="60"/>
  <c r="E225" i="60"/>
  <c r="E289" i="60"/>
  <c r="E202" i="60"/>
  <c r="E714" i="60"/>
  <c r="E123" i="60"/>
  <c r="E187" i="60"/>
  <c r="E459" i="60"/>
  <c r="E475" i="60"/>
  <c r="E491" i="60"/>
  <c r="E595" i="60"/>
  <c r="E667" i="60"/>
  <c r="E699" i="60"/>
  <c r="E36" i="60"/>
  <c r="E221" i="60"/>
  <c r="E253" i="60"/>
  <c r="E54" i="60"/>
  <c r="E70" i="60"/>
  <c r="E109" i="60"/>
  <c r="E173" i="60"/>
  <c r="E381" i="60"/>
  <c r="E477" i="60"/>
  <c r="E493" i="60"/>
  <c r="E22" i="60"/>
  <c r="E45" i="60"/>
  <c r="E93" i="60"/>
  <c r="E157" i="60"/>
  <c r="E29" i="60"/>
  <c r="E165" i="60"/>
  <c r="E245" i="60"/>
  <c r="E77" i="60"/>
  <c r="E110" i="60"/>
  <c r="E158" i="60"/>
  <c r="E117" i="60"/>
  <c r="E181" i="60"/>
  <c r="E229" i="60"/>
  <c r="E261" i="60"/>
  <c r="E309" i="60"/>
  <c r="E357" i="60"/>
  <c r="E389" i="60"/>
  <c r="E421" i="60"/>
  <c r="E437" i="60"/>
  <c r="E469" i="60"/>
  <c r="E517" i="60"/>
  <c r="E549" i="60"/>
  <c r="E197" i="60"/>
  <c r="E277" i="60"/>
  <c r="E373" i="60"/>
  <c r="E405" i="60"/>
  <c r="E453" i="60"/>
  <c r="E501" i="60"/>
  <c r="E533" i="60"/>
  <c r="E21" i="60"/>
  <c r="E37" i="60"/>
  <c r="E53" i="60"/>
  <c r="E61" i="60"/>
  <c r="E69" i="60"/>
  <c r="E141" i="60"/>
  <c r="E189" i="60"/>
  <c r="E205" i="60"/>
  <c r="E325" i="60"/>
  <c r="E397" i="60"/>
  <c r="E413" i="60"/>
  <c r="E429" i="60"/>
  <c r="E509" i="60"/>
  <c r="E525" i="60"/>
  <c r="E557" i="60"/>
  <c r="E573" i="60"/>
  <c r="E14" i="60"/>
  <c r="E46" i="60"/>
  <c r="E62" i="60"/>
  <c r="E78" i="60"/>
  <c r="E142" i="60"/>
  <c r="E190" i="60"/>
  <c r="E206" i="60"/>
  <c r="E238" i="60"/>
  <c r="E270" i="60"/>
  <c r="E286" i="60"/>
  <c r="E318" i="60"/>
  <c r="E382" i="60"/>
  <c r="E398" i="60"/>
  <c r="E414" i="60"/>
  <c r="E430" i="60"/>
  <c r="E446" i="60"/>
  <c r="E462" i="60"/>
  <c r="E566" i="60"/>
  <c r="E582" i="60"/>
  <c r="E630" i="60"/>
  <c r="E529" i="60"/>
  <c r="E561" i="60"/>
  <c r="E7" i="60"/>
  <c r="E87" i="60"/>
  <c r="E215" i="60"/>
  <c r="E343" i="60"/>
  <c r="E487" i="60"/>
  <c r="E521" i="60"/>
  <c r="E200" i="60"/>
  <c r="E17" i="60"/>
  <c r="E33" i="60"/>
  <c r="E161" i="60"/>
  <c r="E177" i="60"/>
  <c r="E193" i="60"/>
  <c r="E257" i="60"/>
  <c r="E305" i="60"/>
  <c r="E321" i="60"/>
  <c r="E337" i="60"/>
  <c r="E353" i="60"/>
  <c r="E369" i="60"/>
  <c r="E385" i="60"/>
  <c r="E401" i="60"/>
  <c r="E417" i="60"/>
  <c r="E433" i="60"/>
  <c r="E497" i="60"/>
  <c r="E513" i="60"/>
  <c r="E218" i="60"/>
  <c r="E282" i="60"/>
  <c r="E330" i="60"/>
  <c r="E506" i="60"/>
  <c r="E642" i="60"/>
  <c r="E107" i="60"/>
  <c r="E235" i="60"/>
  <c r="E267" i="60"/>
  <c r="E315" i="60"/>
  <c r="E539" i="60"/>
  <c r="E555" i="60"/>
  <c r="E571" i="60"/>
  <c r="E611" i="60"/>
  <c r="E627" i="60"/>
  <c r="E723" i="60"/>
  <c r="E637" i="60"/>
  <c r="E20" i="60"/>
  <c r="E68" i="60"/>
  <c r="E116" i="60"/>
  <c r="E180" i="60"/>
  <c r="E228" i="60"/>
  <c r="E260" i="60"/>
  <c r="E701" i="60"/>
  <c r="E682" i="60"/>
  <c r="E43" i="60"/>
  <c r="E75" i="60"/>
  <c r="E500" i="60"/>
  <c r="E652" i="60"/>
  <c r="E668" i="60"/>
  <c r="E717" i="60"/>
  <c r="E598" i="60"/>
  <c r="E689" i="60"/>
  <c r="E183" i="60"/>
  <c r="E231" i="60"/>
  <c r="E247" i="60"/>
  <c r="E263" i="60"/>
  <c r="E279" i="60"/>
  <c r="E327" i="60"/>
  <c r="E391" i="60"/>
  <c r="E407" i="60"/>
  <c r="E423" i="60"/>
  <c r="E439" i="60"/>
  <c r="E455" i="60"/>
  <c r="E471" i="60"/>
  <c r="E503" i="60"/>
  <c r="E519" i="60"/>
  <c r="E535" i="60"/>
  <c r="E639" i="60"/>
  <c r="E695" i="60"/>
  <c r="E585" i="60"/>
  <c r="E641" i="60"/>
  <c r="E681" i="60"/>
  <c r="E24" i="60"/>
  <c r="E136" i="60"/>
  <c r="E184" i="60"/>
  <c r="E232" i="60"/>
  <c r="E248" i="60"/>
  <c r="E312" i="60"/>
  <c r="E328" i="60"/>
  <c r="E344" i="60"/>
  <c r="E488" i="60"/>
  <c r="E504" i="60"/>
  <c r="E520" i="60"/>
  <c r="E648" i="60"/>
  <c r="E217" i="60"/>
  <c r="E313" i="60"/>
  <c r="E345" i="60"/>
  <c r="E361" i="60"/>
  <c r="E377" i="60"/>
  <c r="E393" i="60"/>
  <c r="E409" i="60"/>
  <c r="E425" i="60"/>
  <c r="E441" i="60"/>
  <c r="E505" i="60"/>
  <c r="E266" i="60"/>
  <c r="E51" i="60"/>
  <c r="E67" i="60"/>
  <c r="E275" i="60"/>
  <c r="E613" i="60"/>
  <c r="E722" i="60"/>
  <c r="E452" i="60"/>
  <c r="E468" i="60"/>
  <c r="E484" i="60"/>
  <c r="E604" i="60"/>
  <c r="E620" i="60"/>
  <c r="E636" i="60"/>
  <c r="E581" i="60"/>
  <c r="E150" i="60"/>
  <c r="E214" i="60"/>
  <c r="E278" i="60"/>
  <c r="E454" i="60"/>
  <c r="E486" i="60"/>
  <c r="E502" i="60"/>
  <c r="E518" i="60"/>
  <c r="E601" i="60"/>
  <c r="E23" i="60"/>
  <c r="E55" i="60"/>
  <c r="E71" i="60"/>
  <c r="E119" i="60"/>
  <c r="E135" i="60"/>
  <c r="E480" i="60"/>
  <c r="E656" i="60"/>
  <c r="E121" i="60"/>
  <c r="E185" i="60"/>
  <c r="E42" i="60"/>
  <c r="E58" i="60"/>
  <c r="E74" i="60"/>
  <c r="E194" i="60"/>
  <c r="E306" i="60"/>
  <c r="E706" i="60"/>
  <c r="E621" i="60"/>
  <c r="E83" i="60"/>
  <c r="E99" i="60"/>
  <c r="E147" i="60"/>
  <c r="E243" i="60"/>
  <c r="E291" i="60"/>
  <c r="E651" i="60"/>
  <c r="E691" i="60"/>
  <c r="E716" i="60"/>
  <c r="E4" i="60"/>
  <c r="E52" i="60"/>
  <c r="E84" i="60"/>
  <c r="E100" i="60"/>
  <c r="E164" i="60"/>
  <c r="E212" i="60"/>
  <c r="E244" i="60"/>
  <c r="E284" i="60"/>
  <c r="E300" i="60"/>
  <c r="E285" i="60"/>
  <c r="E301" i="60"/>
  <c r="E333" i="60"/>
  <c r="E349" i="60"/>
  <c r="E365" i="60"/>
  <c r="E86" i="60"/>
  <c r="E102" i="60"/>
  <c r="E118" i="60"/>
  <c r="E166" i="60"/>
  <c r="E182" i="60"/>
  <c r="E230" i="60"/>
  <c r="E246" i="60"/>
  <c r="E294" i="60"/>
  <c r="E310" i="60"/>
  <c r="E342" i="60"/>
  <c r="E358" i="60"/>
  <c r="E374" i="60"/>
  <c r="E390" i="60"/>
  <c r="E406" i="60"/>
  <c r="E422" i="60"/>
  <c r="E438" i="60"/>
  <c r="E478" i="60"/>
  <c r="E678" i="60"/>
  <c r="E710" i="60"/>
  <c r="E743" i="60"/>
  <c r="E545" i="60"/>
  <c r="E79" i="60"/>
  <c r="E239" i="60"/>
  <c r="E271" i="60"/>
  <c r="E607" i="60"/>
  <c r="E663" i="60"/>
  <c r="E719" i="60"/>
  <c r="E609" i="60"/>
  <c r="E721" i="60"/>
  <c r="E16" i="60"/>
  <c r="E160" i="60"/>
  <c r="E640" i="60"/>
  <c r="E105" i="60"/>
  <c r="E201" i="60"/>
  <c r="E34" i="60"/>
  <c r="E50" i="60"/>
  <c r="E114" i="60"/>
  <c r="E690" i="60"/>
  <c r="E211" i="60"/>
  <c r="E339" i="60"/>
  <c r="E483" i="60"/>
  <c r="E579" i="60"/>
  <c r="E635" i="60"/>
  <c r="E707" i="60"/>
  <c r="E204" i="60"/>
  <c r="E572" i="60"/>
  <c r="E588" i="60"/>
  <c r="E676" i="60"/>
  <c r="E463" i="60"/>
  <c r="E591" i="60"/>
  <c r="E687" i="60"/>
  <c r="E537" i="60"/>
  <c r="E657" i="60"/>
  <c r="E112" i="60"/>
  <c r="E320" i="60"/>
  <c r="E352" i="60"/>
  <c r="E368" i="60"/>
  <c r="E512" i="60"/>
  <c r="E544" i="60"/>
  <c r="E560" i="60"/>
  <c r="E576" i="60"/>
  <c r="E672" i="60"/>
  <c r="E508" i="60"/>
  <c r="E524" i="60"/>
  <c r="E540" i="60"/>
  <c r="E556" i="60"/>
  <c r="E96" i="60"/>
  <c r="E536" i="60"/>
  <c r="E552" i="60"/>
  <c r="E680" i="60"/>
  <c r="E274" i="60"/>
  <c r="E580" i="60"/>
  <c r="E350" i="60"/>
  <c r="E366" i="60"/>
  <c r="E510" i="60"/>
  <c r="E526" i="60"/>
  <c r="E550" i="60"/>
  <c r="E617" i="60"/>
  <c r="E665" i="60"/>
  <c r="E705" i="60"/>
  <c r="E15" i="60"/>
  <c r="E31" i="60"/>
  <c r="E95" i="60"/>
  <c r="E111" i="60"/>
  <c r="E159" i="60"/>
  <c r="E175" i="60"/>
  <c r="E191" i="60"/>
  <c r="E295" i="60"/>
  <c r="E311" i="60"/>
  <c r="E711" i="60"/>
  <c r="E481" i="60"/>
  <c r="E522" i="60"/>
  <c r="E725" i="60"/>
  <c r="E643" i="60"/>
  <c r="E659" i="60"/>
  <c r="E708" i="60"/>
  <c r="E597" i="60"/>
  <c r="E44" i="60"/>
  <c r="E60" i="60"/>
  <c r="E76" i="60"/>
  <c r="E124" i="60"/>
  <c r="E172" i="60"/>
  <c r="E188" i="60"/>
  <c r="E236" i="60"/>
  <c r="E713" i="60"/>
  <c r="A15" i="60"/>
  <c r="A16" i="60" l="1"/>
  <c r="A17" i="60" l="1"/>
  <c r="A18" i="60" l="1"/>
  <c r="A19" i="60" l="1"/>
  <c r="A20" i="60" l="1"/>
  <c r="A21" i="60" l="1"/>
  <c r="A22" i="60" l="1"/>
  <c r="A23" i="60" l="1"/>
  <c r="A24" i="60" l="1"/>
  <c r="A25" i="60" l="1"/>
  <c r="A26" i="60" l="1"/>
  <c r="A27" i="60" l="1"/>
  <c r="A28" i="60" l="1"/>
  <c r="A29" i="60" l="1"/>
  <c r="A30" i="60" l="1"/>
  <c r="A31" i="60" l="1"/>
  <c r="A32" i="60" l="1"/>
  <c r="A33" i="60" l="1"/>
  <c r="A34" i="60" l="1"/>
  <c r="A35" i="60" l="1"/>
  <c r="A36" i="60" l="1"/>
  <c r="A37" i="60" l="1"/>
  <c r="A38" i="60" l="1"/>
  <c r="A39" i="60" l="1"/>
  <c r="A40" i="60" l="1"/>
  <c r="A41" i="60" l="1"/>
  <c r="A42" i="60" l="1"/>
  <c r="A43" i="60" l="1"/>
  <c r="A44" i="60" l="1"/>
  <c r="A45" i="60" l="1"/>
  <c r="A46" i="60" l="1"/>
  <c r="A47" i="60" l="1"/>
  <c r="A48" i="60" l="1"/>
  <c r="A49" i="60" l="1"/>
  <c r="A50" i="60" l="1"/>
  <c r="A51" i="60" l="1"/>
  <c r="A52" i="60" l="1"/>
  <c r="A53" i="60" l="1"/>
  <c r="A54" i="60" l="1"/>
  <c r="A55" i="60" l="1"/>
  <c r="A56" i="60" l="1"/>
  <c r="A57" i="60" l="1"/>
  <c r="A58" i="60" l="1"/>
  <c r="A59" i="60" l="1"/>
  <c r="A60" i="60" l="1"/>
  <c r="A61" i="60" l="1"/>
  <c r="A62" i="60" l="1"/>
  <c r="A63" i="60" l="1"/>
  <c r="A64" i="60" l="1"/>
  <c r="A65" i="60" l="1"/>
  <c r="A66" i="60" l="1"/>
  <c r="A67" i="60" l="1"/>
  <c r="A68" i="60" l="1"/>
  <c r="A69" i="60" l="1"/>
  <c r="A70" i="60" l="1"/>
  <c r="A71" i="60" l="1"/>
  <c r="A72" i="60" l="1"/>
  <c r="A73" i="60" l="1"/>
  <c r="A74" i="60" l="1"/>
  <c r="A75" i="60" l="1"/>
  <c r="A76" i="60" l="1"/>
  <c r="A77" i="60" l="1"/>
  <c r="A78" i="60" l="1"/>
  <c r="A79" i="60" l="1"/>
  <c r="A80" i="60" l="1"/>
  <c r="A81" i="60" l="1"/>
  <c r="A82" i="60" l="1"/>
  <c r="A83" i="60" l="1"/>
  <c r="A84" i="60" l="1"/>
  <c r="A85" i="60" l="1"/>
  <c r="A86" i="60" l="1"/>
  <c r="A87" i="60" l="1"/>
  <c r="A88" i="60" l="1"/>
  <c r="A89" i="60" l="1"/>
  <c r="A90" i="60" l="1"/>
  <c r="A91" i="60" l="1"/>
  <c r="A92" i="60" l="1"/>
  <c r="A678" i="59"/>
  <c r="A679" i="59"/>
  <c r="A604" i="59"/>
  <c r="A605" i="59"/>
  <c r="A535" i="59"/>
  <c r="A536" i="59"/>
  <c r="A534" i="59"/>
  <c r="A398" i="59"/>
  <c r="A399" i="59" s="1"/>
  <c r="A4" i="59"/>
  <c r="A5" i="59" s="1"/>
  <c r="A3" i="59"/>
  <c r="F7" i="62"/>
  <c r="G4" i="59" l="1"/>
  <c r="H4" i="59"/>
  <c r="G3" i="59"/>
  <c r="H3" i="59"/>
  <c r="G389" i="59"/>
  <c r="H389" i="59"/>
  <c r="G388" i="59"/>
  <c r="H388" i="59"/>
  <c r="G387" i="59"/>
  <c r="H387" i="59"/>
  <c r="G386" i="59"/>
  <c r="H386" i="59"/>
  <c r="G385" i="59"/>
  <c r="H385" i="59"/>
  <c r="G384" i="59"/>
  <c r="H384" i="59"/>
  <c r="G383" i="59"/>
  <c r="H383" i="59"/>
  <c r="G382" i="59"/>
  <c r="H382" i="59"/>
  <c r="G534" i="59"/>
  <c r="G398" i="59"/>
  <c r="H398" i="59"/>
  <c r="H397" i="59"/>
  <c r="G397" i="59"/>
  <c r="G396" i="59"/>
  <c r="H396" i="59"/>
  <c r="G395" i="59"/>
  <c r="H395" i="59"/>
  <c r="G394" i="59"/>
  <c r="H394" i="59"/>
  <c r="G393" i="59"/>
  <c r="H393" i="59"/>
  <c r="G392" i="59"/>
  <c r="H392" i="59"/>
  <c r="G391" i="59"/>
  <c r="H391" i="59"/>
  <c r="G390" i="59"/>
  <c r="H390" i="59"/>
  <c r="G536" i="59"/>
  <c r="H536" i="59"/>
  <c r="G535" i="59"/>
  <c r="H535" i="59"/>
  <c r="G605" i="59"/>
  <c r="H605" i="59"/>
  <c r="G604" i="59"/>
  <c r="H604" i="59"/>
  <c r="G678" i="59"/>
  <c r="H678" i="59"/>
  <c r="A93" i="60"/>
  <c r="A680" i="59"/>
  <c r="A606" i="59"/>
  <c r="A537" i="59"/>
  <c r="A400" i="59"/>
  <c r="E534" i="59"/>
  <c r="E382" i="59"/>
  <c r="A6" i="59"/>
  <c r="G157" i="48"/>
  <c r="G158" i="48"/>
  <c r="G159" i="48"/>
  <c r="G160" i="48"/>
  <c r="G162" i="48"/>
  <c r="G163" i="48"/>
  <c r="G164" i="48"/>
  <c r="G165" i="48"/>
  <c r="G167" i="48"/>
  <c r="G168" i="48"/>
  <c r="G169" i="48"/>
  <c r="G170" i="48"/>
  <c r="G171" i="48"/>
  <c r="G172" i="48"/>
  <c r="G173" i="48"/>
  <c r="G174" i="48"/>
  <c r="G176" i="48"/>
  <c r="G177" i="48"/>
  <c r="G178" i="48"/>
  <c r="G179" i="48"/>
  <c r="G180" i="48"/>
  <c r="G181" i="48"/>
  <c r="G182" i="48"/>
  <c r="G183" i="48"/>
  <c r="G185" i="48"/>
  <c r="G156" i="48"/>
  <c r="F157" i="48"/>
  <c r="F158" i="48"/>
  <c r="F159" i="48"/>
  <c r="F160" i="48"/>
  <c r="F161" i="48"/>
  <c r="F163" i="48"/>
  <c r="F164" i="48"/>
  <c r="F165" i="48"/>
  <c r="F166" i="48"/>
  <c r="F167" i="48"/>
  <c r="F168" i="48"/>
  <c r="F169" i="48"/>
  <c r="F170" i="48"/>
  <c r="F171" i="48"/>
  <c r="F172" i="48"/>
  <c r="F173" i="48"/>
  <c r="F174" i="48"/>
  <c r="F175" i="48"/>
  <c r="F176" i="48"/>
  <c r="F177" i="48"/>
  <c r="F178" i="48"/>
  <c r="F179" i="48"/>
  <c r="F180" i="48"/>
  <c r="F181" i="48"/>
  <c r="F182" i="48"/>
  <c r="F183" i="48"/>
  <c r="F184" i="48"/>
  <c r="F185" i="48"/>
  <c r="F186" i="48"/>
  <c r="F156" i="48"/>
  <c r="G161" i="48"/>
  <c r="F162" i="48"/>
  <c r="G166" i="48"/>
  <c r="G175" i="48"/>
  <c r="G184" i="48"/>
  <c r="G186" i="48"/>
  <c r="H2" i="60"/>
  <c r="E393" i="59" l="1"/>
  <c r="E385" i="59"/>
  <c r="H534" i="59"/>
  <c r="E396" i="59"/>
  <c r="E386" i="59"/>
  <c r="E389" i="59"/>
  <c r="E397" i="59"/>
  <c r="E390" i="59"/>
  <c r="E678" i="59"/>
  <c r="E398" i="59"/>
  <c r="E388" i="59"/>
  <c r="E535" i="59"/>
  <c r="G5" i="59"/>
  <c r="H5" i="59"/>
  <c r="G399" i="59"/>
  <c r="H399" i="59"/>
  <c r="G679" i="59"/>
  <c r="H679" i="59"/>
  <c r="E394" i="59"/>
  <c r="E395" i="59"/>
  <c r="E392" i="59"/>
  <c r="E383" i="59"/>
  <c r="A94" i="60"/>
  <c r="E387" i="59"/>
  <c r="E391" i="59"/>
  <c r="E604" i="59"/>
  <c r="E384" i="59"/>
  <c r="E536" i="59"/>
  <c r="E605" i="59"/>
  <c r="A681" i="59"/>
  <c r="A607" i="59"/>
  <c r="A538" i="59"/>
  <c r="A401" i="59"/>
  <c r="A7" i="59"/>
  <c r="F189" i="48"/>
  <c r="G189" i="48" s="1"/>
  <c r="F2" i="60"/>
  <c r="G6" i="59" l="1"/>
  <c r="H6" i="59"/>
  <c r="G400" i="59"/>
  <c r="H400" i="59"/>
  <c r="G537" i="59"/>
  <c r="H537" i="59"/>
  <c r="G606" i="59"/>
  <c r="H606" i="59"/>
  <c r="G680" i="59"/>
  <c r="H680" i="59"/>
  <c r="E2" i="60"/>
  <c r="A95" i="60"/>
  <c r="E679" i="59"/>
  <c r="A682" i="59"/>
  <c r="A608" i="59"/>
  <c r="A539" i="59"/>
  <c r="E399" i="59"/>
  <c r="A402" i="59"/>
  <c r="A8" i="59"/>
  <c r="G7" i="59" l="1"/>
  <c r="H7" i="59"/>
  <c r="H401" i="59"/>
  <c r="G401" i="59"/>
  <c r="G538" i="59"/>
  <c r="H538" i="59"/>
  <c r="G607" i="59"/>
  <c r="H607" i="59"/>
  <c r="H681" i="59"/>
  <c r="G681" i="59"/>
  <c r="A96" i="60"/>
  <c r="E400" i="59"/>
  <c r="E680" i="59"/>
  <c r="A683" i="59"/>
  <c r="E606" i="59"/>
  <c r="A609" i="59"/>
  <c r="E537" i="59"/>
  <c r="A540" i="59"/>
  <c r="A403" i="59"/>
  <c r="A9" i="59"/>
  <c r="G8" i="59" l="1"/>
  <c r="H8" i="59"/>
  <c r="G402" i="59"/>
  <c r="H402" i="59"/>
  <c r="G539" i="59"/>
  <c r="H539" i="59"/>
  <c r="G608" i="59"/>
  <c r="H608" i="59"/>
  <c r="G682" i="59"/>
  <c r="H682" i="59"/>
  <c r="A97" i="60"/>
  <c r="E401" i="59"/>
  <c r="E681" i="59"/>
  <c r="E607" i="59"/>
  <c r="A684" i="59"/>
  <c r="A610" i="59"/>
  <c r="A541" i="59"/>
  <c r="E538" i="59"/>
  <c r="A404" i="59"/>
  <c r="A10" i="59"/>
  <c r="G9" i="59" l="1"/>
  <c r="H9" i="59"/>
  <c r="G403" i="59"/>
  <c r="H403" i="59"/>
  <c r="G540" i="59"/>
  <c r="H540" i="59"/>
  <c r="G609" i="59"/>
  <c r="H609" i="59"/>
  <c r="G683" i="59"/>
  <c r="H683" i="59"/>
  <c r="A98" i="60"/>
  <c r="E402" i="59"/>
  <c r="E539" i="59"/>
  <c r="E682" i="59"/>
  <c r="A685" i="59"/>
  <c r="E608" i="59"/>
  <c r="A611" i="59"/>
  <c r="A542" i="59"/>
  <c r="A405" i="59"/>
  <c r="A11" i="59"/>
  <c r="G10" i="59" l="1"/>
  <c r="H10" i="59"/>
  <c r="G404" i="59"/>
  <c r="H404" i="59"/>
  <c r="H541" i="59"/>
  <c r="G541" i="59"/>
  <c r="G610" i="59"/>
  <c r="H610" i="59"/>
  <c r="G684" i="59"/>
  <c r="A99" i="60"/>
  <c r="E403" i="59"/>
  <c r="E540" i="59"/>
  <c r="E609" i="59"/>
  <c r="E683" i="59"/>
  <c r="H684" i="59"/>
  <c r="A686" i="59"/>
  <c r="A612" i="59"/>
  <c r="A543" i="59"/>
  <c r="A406" i="59"/>
  <c r="A12" i="59"/>
  <c r="G11" i="59" l="1"/>
  <c r="H11" i="59"/>
  <c r="G405" i="59"/>
  <c r="H405" i="59"/>
  <c r="G542" i="59"/>
  <c r="H542" i="59"/>
  <c r="G611" i="59"/>
  <c r="H611" i="59"/>
  <c r="G685" i="59"/>
  <c r="A100" i="60"/>
  <c r="E404" i="59"/>
  <c r="E541" i="59"/>
  <c r="E610" i="59"/>
  <c r="E684" i="59"/>
  <c r="H685" i="59"/>
  <c r="A687" i="59"/>
  <c r="A613" i="59"/>
  <c r="A544" i="59"/>
  <c r="A407" i="59"/>
  <c r="A13" i="59"/>
  <c r="E397" i="49"/>
  <c r="E398" i="49"/>
  <c r="F399" i="49"/>
  <c r="G12" i="59" l="1"/>
  <c r="H12" i="59"/>
  <c r="G406" i="59"/>
  <c r="H406" i="59"/>
  <c r="G543" i="59"/>
  <c r="H543" i="59"/>
  <c r="G612" i="59"/>
  <c r="H612" i="59"/>
  <c r="G686" i="59"/>
  <c r="H686" i="59"/>
  <c r="A101" i="60"/>
  <c r="E405" i="59"/>
  <c r="E611" i="59"/>
  <c r="E542" i="59"/>
  <c r="E685" i="59"/>
  <c r="A688" i="59"/>
  <c r="A614" i="59"/>
  <c r="A545" i="59"/>
  <c r="A408" i="59"/>
  <c r="A14" i="59"/>
  <c r="C398" i="49"/>
  <c r="C397" i="49"/>
  <c r="E399" i="49"/>
  <c r="G13" i="59" l="1"/>
  <c r="H13" i="59"/>
  <c r="G407" i="59"/>
  <c r="H407" i="59"/>
  <c r="G544" i="59"/>
  <c r="H544" i="59"/>
  <c r="H613" i="59"/>
  <c r="G613" i="59"/>
  <c r="G687" i="59"/>
  <c r="A102" i="60"/>
  <c r="E406" i="59"/>
  <c r="E686" i="59"/>
  <c r="H687" i="59"/>
  <c r="A689" i="59"/>
  <c r="E612" i="59"/>
  <c r="A615" i="59"/>
  <c r="E543" i="59"/>
  <c r="A546" i="59"/>
  <c r="A409" i="59"/>
  <c r="A15" i="59"/>
  <c r="E398" i="47"/>
  <c r="G399" i="49" s="1"/>
  <c r="E397" i="47"/>
  <c r="G398" i="49" s="1"/>
  <c r="F398" i="49"/>
  <c r="E396" i="47"/>
  <c r="G397" i="49" s="1"/>
  <c r="F397" i="49"/>
  <c r="G14" i="59" l="1"/>
  <c r="H14" i="59"/>
  <c r="G408" i="59"/>
  <c r="H408" i="59"/>
  <c r="G545" i="59"/>
  <c r="H545" i="59"/>
  <c r="G614" i="59"/>
  <c r="H614" i="59"/>
  <c r="G688" i="59"/>
  <c r="H688" i="59"/>
  <c r="A103" i="60"/>
  <c r="E687" i="59"/>
  <c r="A690" i="59"/>
  <c r="E613" i="59"/>
  <c r="A616" i="59"/>
  <c r="A547" i="59"/>
  <c r="E544" i="59"/>
  <c r="E407" i="59"/>
  <c r="A410" i="59"/>
  <c r="A16" i="59"/>
  <c r="G15" i="59" l="1"/>
  <c r="H15" i="59"/>
  <c r="G409" i="59"/>
  <c r="G546" i="59"/>
  <c r="H546" i="59"/>
  <c r="G615" i="59"/>
  <c r="H615" i="59"/>
  <c r="H689" i="59"/>
  <c r="G689" i="59"/>
  <c r="A104" i="60"/>
  <c r="E408" i="59"/>
  <c r="A691" i="59"/>
  <c r="E688" i="59"/>
  <c r="E614" i="59"/>
  <c r="A617" i="59"/>
  <c r="E545" i="59"/>
  <c r="A548" i="59"/>
  <c r="A411" i="59"/>
  <c r="H409" i="59"/>
  <c r="A17" i="59"/>
  <c r="G16" i="59" l="1"/>
  <c r="G410" i="59"/>
  <c r="H410" i="59"/>
  <c r="G547" i="59"/>
  <c r="H547" i="59"/>
  <c r="G616" i="59"/>
  <c r="H616" i="59"/>
  <c r="G690" i="59"/>
  <c r="H690" i="59"/>
  <c r="A105" i="60"/>
  <c r="E546" i="59"/>
  <c r="E689" i="59"/>
  <c r="E615" i="59"/>
  <c r="A692" i="59"/>
  <c r="A618" i="59"/>
  <c r="A549" i="59"/>
  <c r="E409" i="59"/>
  <c r="A412" i="59"/>
  <c r="A18" i="59"/>
  <c r="G17" i="59" l="1"/>
  <c r="H17" i="59"/>
  <c r="G411" i="59"/>
  <c r="G548" i="59"/>
  <c r="H548" i="59"/>
  <c r="G617" i="59"/>
  <c r="H617" i="59"/>
  <c r="G691" i="59"/>
  <c r="H691" i="59"/>
  <c r="A106" i="60"/>
  <c r="E410" i="59"/>
  <c r="E690" i="59"/>
  <c r="E547" i="59"/>
  <c r="A693" i="59"/>
  <c r="E616" i="59"/>
  <c r="A619" i="59"/>
  <c r="A550" i="59"/>
  <c r="H411" i="59"/>
  <c r="A413" i="59"/>
  <c r="A19" i="59"/>
  <c r="I52" i="43"/>
  <c r="I51" i="43"/>
  <c r="I50" i="43"/>
  <c r="I49" i="43"/>
  <c r="I48" i="43"/>
  <c r="O64" i="65" s="1"/>
  <c r="I47" i="43"/>
  <c r="I46" i="43"/>
  <c r="I45" i="43"/>
  <c r="I44" i="43"/>
  <c r="I43" i="43"/>
  <c r="I42" i="43"/>
  <c r="I41" i="43"/>
  <c r="I40" i="43"/>
  <c r="I39" i="43"/>
  <c r="I38" i="43"/>
  <c r="I37" i="43"/>
  <c r="I36" i="43"/>
  <c r="I35" i="43"/>
  <c r="I34" i="43"/>
  <c r="I33" i="43"/>
  <c r="I32" i="43"/>
  <c r="I31" i="43"/>
  <c r="I30" i="43"/>
  <c r="I29" i="43"/>
  <c r="I28" i="43"/>
  <c r="I27" i="43"/>
  <c r="I26" i="43"/>
  <c r="I25" i="43"/>
  <c r="I24" i="43"/>
  <c r="I23" i="43"/>
  <c r="I22" i="43"/>
  <c r="I21" i="43"/>
  <c r="I20" i="43"/>
  <c r="I19" i="43"/>
  <c r="I18" i="43"/>
  <c r="I17" i="43"/>
  <c r="I16" i="43"/>
  <c r="I15" i="43"/>
  <c r="I14" i="43"/>
  <c r="I13" i="43"/>
  <c r="I12" i="43"/>
  <c r="I11" i="43"/>
  <c r="I10" i="43"/>
  <c r="I9" i="43"/>
  <c r="I8" i="43"/>
  <c r="I7" i="43"/>
  <c r="I6" i="43"/>
  <c r="I5" i="43"/>
  <c r="G18" i="59" l="1"/>
  <c r="H18" i="59"/>
  <c r="G412" i="59"/>
  <c r="G549" i="59"/>
  <c r="H549" i="59"/>
  <c r="G618" i="59"/>
  <c r="H618" i="59"/>
  <c r="G692" i="59"/>
  <c r="H692" i="59"/>
  <c r="E691" i="59"/>
  <c r="A107" i="60"/>
  <c r="E548" i="59"/>
  <c r="E617" i="59"/>
  <c r="A694" i="59"/>
  <c r="A620" i="59"/>
  <c r="A551" i="59"/>
  <c r="E411" i="59"/>
  <c r="H412" i="59"/>
  <c r="A414" i="59"/>
  <c r="A20" i="59"/>
  <c r="G19" i="59" l="1"/>
  <c r="H19" i="59"/>
  <c r="G413" i="59"/>
  <c r="H413" i="59"/>
  <c r="G550" i="59"/>
  <c r="H550" i="59"/>
  <c r="G619" i="59"/>
  <c r="H619" i="59"/>
  <c r="G693" i="59"/>
  <c r="H693" i="59"/>
  <c r="A108" i="60"/>
  <c r="E412" i="59"/>
  <c r="E692" i="59"/>
  <c r="A695" i="59"/>
  <c r="E618" i="59"/>
  <c r="A621" i="59"/>
  <c r="E549" i="59"/>
  <c r="A552" i="59"/>
  <c r="A415" i="59"/>
  <c r="A21" i="59"/>
  <c r="G20" i="59" l="1"/>
  <c r="H20" i="59"/>
  <c r="G414" i="59"/>
  <c r="H414" i="59"/>
  <c r="G551" i="59"/>
  <c r="H551" i="59"/>
  <c r="G620" i="59"/>
  <c r="H620" i="59"/>
  <c r="G694" i="59"/>
  <c r="H694" i="59"/>
  <c r="A109" i="60"/>
  <c r="E413" i="59"/>
  <c r="E693" i="59"/>
  <c r="E619" i="59"/>
  <c r="A696" i="59"/>
  <c r="A622" i="59"/>
  <c r="A553" i="59"/>
  <c r="E550" i="59"/>
  <c r="A416" i="59"/>
  <c r="A22" i="59"/>
  <c r="F398" i="47"/>
  <c r="G21" i="59" l="1"/>
  <c r="H21" i="59"/>
  <c r="G415" i="59"/>
  <c r="H415" i="59"/>
  <c r="G552" i="59"/>
  <c r="H552" i="59"/>
  <c r="H621" i="59"/>
  <c r="G621" i="59"/>
  <c r="G695" i="59"/>
  <c r="H695" i="59"/>
  <c r="A110" i="60"/>
  <c r="E551" i="59"/>
  <c r="E414" i="59"/>
  <c r="E694" i="59"/>
  <c r="E620" i="59"/>
  <c r="A697" i="59"/>
  <c r="A623" i="59"/>
  <c r="A554" i="59"/>
  <c r="A417" i="59"/>
  <c r="A23" i="59"/>
  <c r="E186" i="48"/>
  <c r="D186" i="48"/>
  <c r="G22" i="59" l="1"/>
  <c r="H22" i="59"/>
  <c r="G416" i="59"/>
  <c r="H416" i="59"/>
  <c r="G553" i="59"/>
  <c r="H553" i="59"/>
  <c r="G622" i="59"/>
  <c r="H622" i="59"/>
  <c r="G696" i="59"/>
  <c r="H696" i="59"/>
  <c r="A111" i="60"/>
  <c r="E552" i="59"/>
  <c r="E415" i="59"/>
  <c r="E695" i="59"/>
  <c r="A698" i="59"/>
  <c r="E621" i="59"/>
  <c r="A624" i="59"/>
  <c r="A555" i="59"/>
  <c r="A418" i="59"/>
  <c r="A24" i="59"/>
  <c r="G12" i="6"/>
  <c r="G23" i="59" l="1"/>
  <c r="H23" i="59"/>
  <c r="H417" i="59"/>
  <c r="G417" i="59"/>
  <c r="G554" i="59"/>
  <c r="H554" i="59"/>
  <c r="G623" i="59"/>
  <c r="G697" i="59"/>
  <c r="H697" i="59"/>
  <c r="A112" i="60"/>
  <c r="E416" i="59"/>
  <c r="E553" i="59"/>
  <c r="A699" i="59"/>
  <c r="E696" i="59"/>
  <c r="H623" i="59"/>
  <c r="A625" i="59"/>
  <c r="E622" i="59"/>
  <c r="A556" i="59"/>
  <c r="A419" i="59"/>
  <c r="A25" i="59"/>
  <c r="I5" i="49"/>
  <c r="I6" i="49"/>
  <c r="I7" i="49"/>
  <c r="I8" i="49"/>
  <c r="I9" i="49"/>
  <c r="I10" i="49"/>
  <c r="I11" i="49"/>
  <c r="I12" i="49"/>
  <c r="I13" i="49"/>
  <c r="I14" i="49"/>
  <c r="I15" i="49"/>
  <c r="I16" i="49"/>
  <c r="I17" i="49"/>
  <c r="I19" i="49"/>
  <c r="I20" i="49"/>
  <c r="I21" i="49"/>
  <c r="I22" i="49"/>
  <c r="I23" i="49"/>
  <c r="I24" i="49"/>
  <c r="I25" i="49"/>
  <c r="I26" i="49"/>
  <c r="I27" i="49"/>
  <c r="I28" i="49"/>
  <c r="I29" i="49"/>
  <c r="I30" i="49"/>
  <c r="I31" i="49"/>
  <c r="I32" i="49"/>
  <c r="I33" i="49"/>
  <c r="I34" i="49"/>
  <c r="I35" i="49"/>
  <c r="I36" i="49"/>
  <c r="I37" i="49"/>
  <c r="I38" i="49"/>
  <c r="I39" i="49"/>
  <c r="I40" i="49"/>
  <c r="I41" i="49"/>
  <c r="I42" i="49"/>
  <c r="I43" i="49"/>
  <c r="I44" i="49"/>
  <c r="I45" i="49"/>
  <c r="I50" i="49"/>
  <c r="I51" i="49"/>
  <c r="I52" i="49"/>
  <c r="I53" i="49"/>
  <c r="I54" i="49"/>
  <c r="I55" i="49"/>
  <c r="I56" i="49"/>
  <c r="I57" i="49"/>
  <c r="I58" i="49"/>
  <c r="I59" i="49"/>
  <c r="I60" i="49"/>
  <c r="I61" i="49"/>
  <c r="I62" i="49"/>
  <c r="I63" i="49"/>
  <c r="I64" i="49"/>
  <c r="I65" i="49"/>
  <c r="I66" i="49"/>
  <c r="I67" i="49"/>
  <c r="I68" i="49"/>
  <c r="I69" i="49"/>
  <c r="I70" i="49"/>
  <c r="I71" i="49"/>
  <c r="I72" i="49"/>
  <c r="I73" i="49"/>
  <c r="I74" i="49"/>
  <c r="I75" i="49"/>
  <c r="I76" i="49"/>
  <c r="I78" i="49"/>
  <c r="I81" i="49"/>
  <c r="I82" i="49"/>
  <c r="I83" i="49"/>
  <c r="I84" i="49"/>
  <c r="I85" i="49"/>
  <c r="I86" i="49"/>
  <c r="I87" i="49"/>
  <c r="I88" i="49"/>
  <c r="I89" i="49"/>
  <c r="I90" i="49"/>
  <c r="I91" i="49"/>
  <c r="I92" i="49"/>
  <c r="I93" i="49"/>
  <c r="I94" i="49"/>
  <c r="I95" i="49"/>
  <c r="I96" i="49"/>
  <c r="I97" i="49"/>
  <c r="I98" i="49"/>
  <c r="I99" i="49"/>
  <c r="I100" i="49"/>
  <c r="I101" i="49"/>
  <c r="I102" i="49"/>
  <c r="I103" i="49"/>
  <c r="I104" i="49"/>
  <c r="I105" i="49"/>
  <c r="I106" i="49"/>
  <c r="I111" i="49"/>
  <c r="I112" i="49"/>
  <c r="I113" i="49"/>
  <c r="I114" i="49"/>
  <c r="I115" i="49"/>
  <c r="I116" i="49"/>
  <c r="I117" i="49"/>
  <c r="I118" i="49"/>
  <c r="I119" i="49"/>
  <c r="I120" i="49"/>
  <c r="I121" i="49"/>
  <c r="I122" i="49"/>
  <c r="I123" i="49"/>
  <c r="I124" i="49"/>
  <c r="I125" i="49"/>
  <c r="I126" i="49"/>
  <c r="I127" i="49"/>
  <c r="I128" i="49"/>
  <c r="I129" i="49"/>
  <c r="I130" i="49"/>
  <c r="I131" i="49"/>
  <c r="I132" i="49"/>
  <c r="I133" i="49"/>
  <c r="I134" i="49"/>
  <c r="I135" i="49"/>
  <c r="I136" i="49"/>
  <c r="I137" i="49"/>
  <c r="I142" i="49"/>
  <c r="I143" i="49"/>
  <c r="I144" i="49"/>
  <c r="I145" i="49"/>
  <c r="I146" i="49"/>
  <c r="I147" i="49"/>
  <c r="I148" i="49"/>
  <c r="I149" i="49"/>
  <c r="I150" i="49"/>
  <c r="I151" i="49"/>
  <c r="I152" i="49"/>
  <c r="I153" i="49"/>
  <c r="I154" i="49"/>
  <c r="I155" i="49"/>
  <c r="I156" i="49"/>
  <c r="I157" i="49"/>
  <c r="I158" i="49"/>
  <c r="I159" i="49"/>
  <c r="I160" i="49"/>
  <c r="I161" i="49"/>
  <c r="I162" i="49"/>
  <c r="I163" i="49"/>
  <c r="I164" i="49"/>
  <c r="I165" i="49"/>
  <c r="I166" i="49"/>
  <c r="I167" i="49"/>
  <c r="I170" i="49"/>
  <c r="I172" i="49"/>
  <c r="I173" i="49"/>
  <c r="I174" i="49"/>
  <c r="I175" i="49"/>
  <c r="I176" i="49"/>
  <c r="I177" i="49"/>
  <c r="I178" i="49"/>
  <c r="I179" i="49"/>
  <c r="I180" i="49"/>
  <c r="I181" i="49"/>
  <c r="I182" i="49"/>
  <c r="I183" i="49"/>
  <c r="I184" i="49"/>
  <c r="I185" i="49"/>
  <c r="I186" i="49"/>
  <c r="I187" i="49"/>
  <c r="I188" i="49"/>
  <c r="I189" i="49"/>
  <c r="I190" i="49"/>
  <c r="I191" i="49"/>
  <c r="I192" i="49"/>
  <c r="I193" i="49"/>
  <c r="I194" i="49"/>
  <c r="I195" i="49"/>
  <c r="I196" i="49"/>
  <c r="I197" i="49"/>
  <c r="I198" i="49"/>
  <c r="I203" i="49"/>
  <c r="I204" i="49"/>
  <c r="I205" i="49"/>
  <c r="I206" i="49"/>
  <c r="I207" i="49"/>
  <c r="I208" i="49"/>
  <c r="I209" i="49"/>
  <c r="I210" i="49"/>
  <c r="I211" i="49"/>
  <c r="I212" i="49"/>
  <c r="I213" i="49"/>
  <c r="I214" i="49"/>
  <c r="I215" i="49"/>
  <c r="I216" i="49"/>
  <c r="I217" i="49"/>
  <c r="I218" i="49"/>
  <c r="I219" i="49"/>
  <c r="I220" i="49"/>
  <c r="I221" i="49"/>
  <c r="I222" i="49"/>
  <c r="I223" i="49"/>
  <c r="I224" i="49"/>
  <c r="I225" i="49"/>
  <c r="I226" i="49"/>
  <c r="I227" i="49"/>
  <c r="I228" i="49"/>
  <c r="I229" i="49"/>
  <c r="I231" i="49"/>
  <c r="I234" i="49"/>
  <c r="I235" i="49"/>
  <c r="I236" i="49"/>
  <c r="I237" i="49"/>
  <c r="I238" i="49"/>
  <c r="I239" i="49"/>
  <c r="I240" i="49"/>
  <c r="I241" i="49"/>
  <c r="I242" i="49"/>
  <c r="I243" i="49"/>
  <c r="I244" i="49"/>
  <c r="I245" i="49"/>
  <c r="I246" i="49"/>
  <c r="I247" i="49"/>
  <c r="I248" i="49"/>
  <c r="I249" i="49"/>
  <c r="I250" i="49"/>
  <c r="I251" i="49"/>
  <c r="I252" i="49"/>
  <c r="I253" i="49"/>
  <c r="I254" i="49"/>
  <c r="I255" i="49"/>
  <c r="I256" i="49"/>
  <c r="I257" i="49"/>
  <c r="I258" i="49"/>
  <c r="I259" i="49"/>
  <c r="I264" i="49"/>
  <c r="I265" i="49"/>
  <c r="I266" i="49"/>
  <c r="I267" i="49"/>
  <c r="I268" i="49"/>
  <c r="I269" i="49"/>
  <c r="I270" i="49"/>
  <c r="I271" i="49"/>
  <c r="I272" i="49"/>
  <c r="I273" i="49"/>
  <c r="I274" i="49"/>
  <c r="I275" i="49"/>
  <c r="I276" i="49"/>
  <c r="I277" i="49"/>
  <c r="I278" i="49"/>
  <c r="I279" i="49"/>
  <c r="I280" i="49"/>
  <c r="I281" i="49"/>
  <c r="I282" i="49"/>
  <c r="I283" i="49"/>
  <c r="I284" i="49"/>
  <c r="I285" i="49"/>
  <c r="I286" i="49"/>
  <c r="I287" i="49"/>
  <c r="I288" i="49"/>
  <c r="I289" i="49"/>
  <c r="I290" i="49"/>
  <c r="I295" i="49"/>
  <c r="I296" i="49"/>
  <c r="I297" i="49"/>
  <c r="I298" i="49"/>
  <c r="I299" i="49"/>
  <c r="I300" i="49"/>
  <c r="I301" i="49"/>
  <c r="I302" i="49"/>
  <c r="I303" i="49"/>
  <c r="I304" i="49"/>
  <c r="I305" i="49"/>
  <c r="I306" i="49"/>
  <c r="I307" i="49"/>
  <c r="I308" i="49"/>
  <c r="I309" i="49"/>
  <c r="I310" i="49"/>
  <c r="I311" i="49"/>
  <c r="I312" i="49"/>
  <c r="I313" i="49"/>
  <c r="I314" i="49"/>
  <c r="I315" i="49"/>
  <c r="I316" i="49"/>
  <c r="I317" i="49"/>
  <c r="I318" i="49"/>
  <c r="I319" i="49"/>
  <c r="I320" i="49"/>
  <c r="I323" i="49"/>
  <c r="I325" i="49"/>
  <c r="I326" i="49"/>
  <c r="I327" i="49"/>
  <c r="I328" i="49"/>
  <c r="I329" i="49"/>
  <c r="I330" i="49"/>
  <c r="I331" i="49"/>
  <c r="I332" i="49"/>
  <c r="I333" i="49"/>
  <c r="I334" i="49"/>
  <c r="I335" i="49"/>
  <c r="I336" i="49"/>
  <c r="I337" i="49"/>
  <c r="I338" i="49"/>
  <c r="I339" i="49"/>
  <c r="I340" i="49"/>
  <c r="I341" i="49"/>
  <c r="I342" i="49"/>
  <c r="I343" i="49"/>
  <c r="I344" i="49"/>
  <c r="I345" i="49"/>
  <c r="I346" i="49"/>
  <c r="I347" i="49"/>
  <c r="I348" i="49"/>
  <c r="I349" i="49"/>
  <c r="I350" i="49"/>
  <c r="I351" i="49"/>
  <c r="I354" i="49"/>
  <c r="I356" i="49"/>
  <c r="I357" i="49"/>
  <c r="I358" i="49"/>
  <c r="I359" i="49"/>
  <c r="I360" i="49"/>
  <c r="I361" i="49"/>
  <c r="I362" i="49"/>
  <c r="I363" i="49"/>
  <c r="I364" i="49"/>
  <c r="I365" i="49"/>
  <c r="I366" i="49"/>
  <c r="I367" i="49"/>
  <c r="I368" i="49"/>
  <c r="I369" i="49"/>
  <c r="I370" i="49"/>
  <c r="I371" i="49"/>
  <c r="I372" i="49"/>
  <c r="I373" i="49"/>
  <c r="I374" i="49"/>
  <c r="I375" i="49"/>
  <c r="I376" i="49"/>
  <c r="I377" i="49"/>
  <c r="I378" i="49"/>
  <c r="I379" i="49"/>
  <c r="I380" i="49"/>
  <c r="I381" i="49"/>
  <c r="I382" i="49"/>
  <c r="I384" i="49"/>
  <c r="I385" i="49"/>
  <c r="I386" i="49"/>
  <c r="I387" i="49"/>
  <c r="I388" i="49"/>
  <c r="I389" i="49"/>
  <c r="I390" i="49"/>
  <c r="I391" i="49"/>
  <c r="I392" i="49"/>
  <c r="I393" i="49"/>
  <c r="I394" i="49"/>
  <c r="I395" i="49"/>
  <c r="I396" i="49"/>
  <c r="I397" i="49"/>
  <c r="I398" i="49"/>
  <c r="G24" i="59" l="1"/>
  <c r="H24" i="59"/>
  <c r="G418" i="59"/>
  <c r="H418" i="59"/>
  <c r="G555" i="59"/>
  <c r="H555" i="59"/>
  <c r="G624" i="59"/>
  <c r="G698" i="59"/>
  <c r="H698" i="59"/>
  <c r="A113" i="60"/>
  <c r="E417" i="59"/>
  <c r="E697" i="59"/>
  <c r="A700" i="59"/>
  <c r="H624" i="59"/>
  <c r="A626" i="59"/>
  <c r="E623" i="59"/>
  <c r="A557" i="59"/>
  <c r="E554" i="59"/>
  <c r="A420" i="59"/>
  <c r="A26" i="59"/>
  <c r="G25" i="59" l="1"/>
  <c r="H25" i="59"/>
  <c r="G419" i="59"/>
  <c r="H419" i="59"/>
  <c r="G556" i="59"/>
  <c r="H556" i="59"/>
  <c r="G625" i="59"/>
  <c r="H625" i="59"/>
  <c r="G699" i="59"/>
  <c r="H699" i="59"/>
  <c r="A114" i="60"/>
  <c r="E555" i="59"/>
  <c r="E418" i="59"/>
  <c r="E624" i="59"/>
  <c r="A701" i="59"/>
  <c r="E698" i="59"/>
  <c r="A627" i="59"/>
  <c r="A558" i="59"/>
  <c r="A421" i="59"/>
  <c r="A27" i="59"/>
  <c r="G26" i="59" l="1"/>
  <c r="H26" i="59"/>
  <c r="G420" i="59"/>
  <c r="H420" i="59"/>
  <c r="G557" i="59"/>
  <c r="H557" i="59"/>
  <c r="G626" i="59"/>
  <c r="G700" i="59"/>
  <c r="H700" i="59"/>
  <c r="A115" i="60"/>
  <c r="E419" i="59"/>
  <c r="E625" i="59"/>
  <c r="E699" i="59"/>
  <c r="A702" i="59"/>
  <c r="A628" i="59"/>
  <c r="H626" i="59"/>
  <c r="A559" i="59"/>
  <c r="E556" i="59"/>
  <c r="A422" i="59"/>
  <c r="A28" i="59"/>
  <c r="I76" i="43"/>
  <c r="G27" i="59" l="1"/>
  <c r="H27" i="59"/>
  <c r="G421" i="59"/>
  <c r="H421" i="59"/>
  <c r="G558" i="59"/>
  <c r="H558" i="59"/>
  <c r="G627" i="59"/>
  <c r="H627" i="59"/>
  <c r="G701" i="59"/>
  <c r="H701" i="59"/>
  <c r="A116" i="60"/>
  <c r="E626" i="59"/>
  <c r="E700" i="59"/>
  <c r="A703" i="59"/>
  <c r="A629" i="59"/>
  <c r="E557" i="59"/>
  <c r="A560" i="59"/>
  <c r="A423" i="59"/>
  <c r="E420" i="59"/>
  <c r="A29" i="59"/>
  <c r="G28" i="59" l="1"/>
  <c r="H28" i="59"/>
  <c r="G422" i="59"/>
  <c r="H422" i="59"/>
  <c r="G559" i="59"/>
  <c r="H559" i="59"/>
  <c r="G628" i="59"/>
  <c r="H628" i="59"/>
  <c r="G702" i="59"/>
  <c r="H702" i="59"/>
  <c r="A117" i="60"/>
  <c r="E627" i="59"/>
  <c r="E421" i="59"/>
  <c r="E701" i="59"/>
  <c r="A704" i="59"/>
  <c r="A630" i="59"/>
  <c r="E558" i="59"/>
  <c r="A561" i="59"/>
  <c r="A424" i="59"/>
  <c r="A30" i="59"/>
  <c r="G25" i="6"/>
  <c r="I25" i="6"/>
  <c r="K25" i="6"/>
  <c r="G29" i="59" l="1"/>
  <c r="H29" i="59"/>
  <c r="G423" i="59"/>
  <c r="H423" i="59"/>
  <c r="G560" i="59"/>
  <c r="H560" i="59"/>
  <c r="G629" i="59"/>
  <c r="H629" i="59"/>
  <c r="G703" i="59"/>
  <c r="H703" i="59"/>
  <c r="A118" i="60"/>
  <c r="E702" i="59"/>
  <c r="A705" i="59"/>
  <c r="E628" i="59"/>
  <c r="A631" i="59"/>
  <c r="E559" i="59"/>
  <c r="A562" i="59"/>
  <c r="E422" i="59"/>
  <c r="A425" i="59"/>
  <c r="A31" i="59"/>
  <c r="G76" i="43"/>
  <c r="G30" i="59" l="1"/>
  <c r="H30" i="59"/>
  <c r="G424" i="59"/>
  <c r="H424" i="59"/>
  <c r="H561" i="59"/>
  <c r="G561" i="59"/>
  <c r="G630" i="59"/>
  <c r="H630" i="59"/>
  <c r="G704" i="59"/>
  <c r="H704" i="59"/>
  <c r="A119" i="60"/>
  <c r="E703" i="59"/>
  <c r="E423" i="59"/>
  <c r="A706" i="59"/>
  <c r="E629" i="59"/>
  <c r="A632" i="59"/>
  <c r="E560" i="59"/>
  <c r="A563" i="59"/>
  <c r="A426" i="59"/>
  <c r="A32" i="59"/>
  <c r="G31" i="59" l="1"/>
  <c r="H31" i="59"/>
  <c r="G425" i="59"/>
  <c r="H425" i="59"/>
  <c r="G562" i="59"/>
  <c r="G631" i="59"/>
  <c r="H631" i="59"/>
  <c r="H705" i="59"/>
  <c r="G705" i="59"/>
  <c r="A120" i="60"/>
  <c r="E424" i="59"/>
  <c r="E704" i="59"/>
  <c r="A707" i="59"/>
  <c r="E630" i="59"/>
  <c r="A633" i="59"/>
  <c r="E561" i="59"/>
  <c r="H562" i="59"/>
  <c r="A564" i="59"/>
  <c r="A427" i="59"/>
  <c r="A33" i="59"/>
  <c r="G32" i="59" l="1"/>
  <c r="H32" i="59"/>
  <c r="G426" i="59"/>
  <c r="H426" i="59"/>
  <c r="G563" i="59"/>
  <c r="G632" i="59"/>
  <c r="H632" i="59"/>
  <c r="G706" i="59"/>
  <c r="H706" i="59"/>
  <c r="A121" i="60"/>
  <c r="E425" i="59"/>
  <c r="E631" i="59"/>
  <c r="E562" i="59"/>
  <c r="E705" i="59"/>
  <c r="A708" i="59"/>
  <c r="A634" i="59"/>
  <c r="H563" i="59"/>
  <c r="A565" i="59"/>
  <c r="A428" i="59"/>
  <c r="A34" i="59"/>
  <c r="G33" i="59" l="1"/>
  <c r="H33" i="59"/>
  <c r="G427" i="59"/>
  <c r="H427" i="59"/>
  <c r="G564" i="59"/>
  <c r="H564" i="59"/>
  <c r="H633" i="59"/>
  <c r="G633" i="59"/>
  <c r="G707" i="59"/>
  <c r="H707" i="59"/>
  <c r="A122" i="60"/>
  <c r="E563" i="59"/>
  <c r="E706" i="59"/>
  <c r="A709" i="59"/>
  <c r="E632" i="59"/>
  <c r="A635" i="59"/>
  <c r="A566" i="59"/>
  <c r="A429" i="59"/>
  <c r="E426" i="59"/>
  <c r="A35" i="59"/>
  <c r="B41" i="44"/>
  <c r="B34" i="44"/>
  <c r="B35" i="44"/>
  <c r="B36" i="44"/>
  <c r="B37" i="44"/>
  <c r="B38" i="44"/>
  <c r="B39" i="44"/>
  <c r="B40" i="44"/>
  <c r="B42" i="44"/>
  <c r="B43" i="44"/>
  <c r="B44" i="44"/>
  <c r="B45" i="44"/>
  <c r="B33" i="44"/>
  <c r="G34" i="59" l="1"/>
  <c r="H34" i="59"/>
  <c r="G428" i="59"/>
  <c r="H428" i="59"/>
  <c r="G565" i="59"/>
  <c r="G634" i="59"/>
  <c r="H634" i="59"/>
  <c r="G708" i="59"/>
  <c r="H708" i="59"/>
  <c r="A123" i="60"/>
  <c r="E633" i="59"/>
  <c r="E707" i="59"/>
  <c r="E427" i="59"/>
  <c r="A710" i="59"/>
  <c r="A636" i="59"/>
  <c r="E564" i="59"/>
  <c r="A567" i="59"/>
  <c r="H565" i="59"/>
  <c r="A430" i="59"/>
  <c r="A36" i="59"/>
  <c r="B46" i="44"/>
  <c r="C33" i="44" s="1"/>
  <c r="G35" i="59" l="1"/>
  <c r="H35" i="59"/>
  <c r="H429" i="59"/>
  <c r="G429" i="59"/>
  <c r="G566" i="59"/>
  <c r="H566" i="59"/>
  <c r="G635" i="59"/>
  <c r="H635" i="59"/>
  <c r="G709" i="59"/>
  <c r="H709" i="59"/>
  <c r="A124" i="60"/>
  <c r="E428" i="59"/>
  <c r="E708" i="59"/>
  <c r="A711" i="59"/>
  <c r="E634" i="59"/>
  <c r="A637" i="59"/>
  <c r="A568" i="59"/>
  <c r="E565" i="59"/>
  <c r="A431" i="59"/>
  <c r="A37" i="59"/>
  <c r="C18" i="48"/>
  <c r="G36" i="59" l="1"/>
  <c r="H36" i="59"/>
  <c r="G430" i="59"/>
  <c r="H430" i="59"/>
  <c r="G567" i="59"/>
  <c r="H567" i="59"/>
  <c r="G636" i="59"/>
  <c r="H636" i="59"/>
  <c r="G710" i="59"/>
  <c r="H710" i="59"/>
  <c r="A125" i="60"/>
  <c r="E709" i="59"/>
  <c r="E429" i="59"/>
  <c r="A712" i="59"/>
  <c r="E635" i="59"/>
  <c r="A638" i="59"/>
  <c r="E566" i="59"/>
  <c r="A569" i="59"/>
  <c r="A432" i="59"/>
  <c r="A38" i="59"/>
  <c r="F72" i="43"/>
  <c r="G37" i="59" l="1"/>
  <c r="H37" i="59"/>
  <c r="G431" i="59"/>
  <c r="H431" i="59"/>
  <c r="G568" i="59"/>
  <c r="H568" i="59"/>
  <c r="G637" i="59"/>
  <c r="H637" i="59"/>
  <c r="G711" i="59"/>
  <c r="H711" i="59"/>
  <c r="A126" i="60"/>
  <c r="E710" i="59"/>
  <c r="E430" i="59"/>
  <c r="A713" i="59"/>
  <c r="E636" i="59"/>
  <c r="A639" i="59"/>
  <c r="E567" i="59"/>
  <c r="A570" i="59"/>
  <c r="A433" i="59"/>
  <c r="A39" i="59"/>
  <c r="H96" i="44"/>
  <c r="B96" i="44"/>
  <c r="G38" i="59" l="1"/>
  <c r="H38" i="59"/>
  <c r="G432" i="59"/>
  <c r="H432" i="59"/>
  <c r="H569" i="59"/>
  <c r="G569" i="59"/>
  <c r="G638" i="59"/>
  <c r="H638" i="59"/>
  <c r="G712" i="59"/>
  <c r="H712" i="59"/>
  <c r="A127" i="60"/>
  <c r="E568" i="59"/>
  <c r="E711" i="59"/>
  <c r="A714" i="59"/>
  <c r="E637" i="59"/>
  <c r="A640" i="59"/>
  <c r="A571" i="59"/>
  <c r="E431" i="59"/>
  <c r="A434" i="59"/>
  <c r="A40" i="59"/>
  <c r="K70" i="43"/>
  <c r="J70" i="43" s="1"/>
  <c r="K71" i="43"/>
  <c r="K72" i="43"/>
  <c r="K73" i="43"/>
  <c r="K74" i="43"/>
  <c r="K75" i="43"/>
  <c r="G39" i="59" l="1"/>
  <c r="H39" i="59"/>
  <c r="H433" i="59"/>
  <c r="G433" i="59"/>
  <c r="G570" i="59"/>
  <c r="H570" i="59"/>
  <c r="G639" i="59"/>
  <c r="H639" i="59"/>
  <c r="H713" i="59"/>
  <c r="G713" i="59"/>
  <c r="A128" i="60"/>
  <c r="E569" i="59"/>
  <c r="E432" i="59"/>
  <c r="A715" i="59"/>
  <c r="E712" i="59"/>
  <c r="A641" i="59"/>
  <c r="E638" i="59"/>
  <c r="A572" i="59"/>
  <c r="A435" i="59"/>
  <c r="A41" i="59"/>
  <c r="B67" i="43"/>
  <c r="B80" i="43"/>
  <c r="B79" i="43"/>
  <c r="G40" i="59" l="1"/>
  <c r="H40" i="59"/>
  <c r="G434" i="59"/>
  <c r="H434" i="59"/>
  <c r="G571" i="59"/>
  <c r="H571" i="59"/>
  <c r="G640" i="59"/>
  <c r="H640" i="59"/>
  <c r="G714" i="59"/>
  <c r="H714" i="59"/>
  <c r="A129" i="60"/>
  <c r="E433" i="59"/>
  <c r="E639" i="59"/>
  <c r="A716" i="59"/>
  <c r="E713" i="59"/>
  <c r="A642" i="59"/>
  <c r="A573" i="59"/>
  <c r="E570" i="59"/>
  <c r="A436" i="59"/>
  <c r="A42" i="59"/>
  <c r="B105" i="44"/>
  <c r="B104" i="44"/>
  <c r="B103" i="44"/>
  <c r="B102" i="44"/>
  <c r="B101" i="44"/>
  <c r="B100" i="44"/>
  <c r="B99" i="44"/>
  <c r="B98" i="44"/>
  <c r="B97" i="44"/>
  <c r="C39" i="48"/>
  <c r="B95" i="44"/>
  <c r="B94" i="44"/>
  <c r="G41" i="59" l="1"/>
  <c r="H41" i="59"/>
  <c r="G435" i="59"/>
  <c r="H435" i="59"/>
  <c r="G572" i="59"/>
  <c r="H572" i="59"/>
  <c r="H641" i="59"/>
  <c r="G641" i="59"/>
  <c r="G715" i="59"/>
  <c r="A130" i="60"/>
  <c r="E571" i="59"/>
  <c r="E714" i="59"/>
  <c r="E640" i="59"/>
  <c r="E434" i="59"/>
  <c r="A717" i="59"/>
  <c r="H715" i="59"/>
  <c r="A643" i="59"/>
  <c r="A574" i="59"/>
  <c r="A437" i="59"/>
  <c r="A43" i="59"/>
  <c r="B106" i="44"/>
  <c r="G42" i="59" l="1"/>
  <c r="H42" i="59"/>
  <c r="G436" i="59"/>
  <c r="H436" i="59"/>
  <c r="G573" i="59"/>
  <c r="H573" i="59"/>
  <c r="G642" i="59"/>
  <c r="H642" i="59"/>
  <c r="G716" i="59"/>
  <c r="A131" i="60"/>
  <c r="E641" i="59"/>
  <c r="H716" i="59"/>
  <c r="E715" i="59"/>
  <c r="A718" i="59"/>
  <c r="A644" i="59"/>
  <c r="E572" i="59"/>
  <c r="A575" i="59"/>
  <c r="A438" i="59"/>
  <c r="E435" i="59"/>
  <c r="A44" i="59"/>
  <c r="G43" i="59" l="1"/>
  <c r="H43" i="59"/>
  <c r="G437" i="59"/>
  <c r="H437" i="59"/>
  <c r="G574" i="59"/>
  <c r="H574" i="59"/>
  <c r="G643" i="59"/>
  <c r="H643" i="59"/>
  <c r="G717" i="59"/>
  <c r="H717" i="59"/>
  <c r="A132" i="60"/>
  <c r="E573" i="59"/>
  <c r="E716" i="59"/>
  <c r="A719" i="59"/>
  <c r="A645" i="59"/>
  <c r="E642" i="59"/>
  <c r="A576" i="59"/>
  <c r="A439" i="59"/>
  <c r="E436" i="59"/>
  <c r="A45" i="59"/>
  <c r="G44" i="59" l="1"/>
  <c r="G438" i="59"/>
  <c r="H438" i="59"/>
  <c r="G575" i="59"/>
  <c r="H575" i="59"/>
  <c r="G644" i="59"/>
  <c r="H644" i="59"/>
  <c r="G718" i="59"/>
  <c r="A133" i="60"/>
  <c r="E437" i="59"/>
  <c r="E643" i="59"/>
  <c r="E717" i="59"/>
  <c r="H718" i="59"/>
  <c r="A720" i="59"/>
  <c r="A646" i="59"/>
  <c r="E574" i="59"/>
  <c r="A577" i="59"/>
  <c r="A440" i="59"/>
  <c r="A46" i="59"/>
  <c r="H94" i="44"/>
  <c r="H97" i="44"/>
  <c r="H98" i="44"/>
  <c r="H99" i="44"/>
  <c r="H100" i="44"/>
  <c r="H101" i="44"/>
  <c r="H102" i="44"/>
  <c r="H103" i="44"/>
  <c r="H104" i="44"/>
  <c r="H105" i="44"/>
  <c r="H95" i="44"/>
  <c r="G45" i="59" l="1"/>
  <c r="H45" i="59"/>
  <c r="G439" i="59"/>
  <c r="H439" i="59"/>
  <c r="G576" i="59"/>
  <c r="H576" i="59"/>
  <c r="H645" i="59"/>
  <c r="G645" i="59"/>
  <c r="G719" i="59"/>
  <c r="H719" i="59"/>
  <c r="A134" i="60"/>
  <c r="E438" i="59"/>
  <c r="E644" i="59"/>
  <c r="E575" i="59"/>
  <c r="E718" i="59"/>
  <c r="A721" i="59"/>
  <c r="A647" i="59"/>
  <c r="A578" i="59"/>
  <c r="A441" i="59"/>
  <c r="A47" i="59"/>
  <c r="E18" i="40"/>
  <c r="G46" i="59" l="1"/>
  <c r="G440" i="59"/>
  <c r="G577" i="59"/>
  <c r="H577" i="59"/>
  <c r="G646" i="59"/>
  <c r="H646" i="59"/>
  <c r="G720" i="59"/>
  <c r="H720" i="59"/>
  <c r="A135" i="60"/>
  <c r="E439" i="59"/>
  <c r="E645" i="59"/>
  <c r="E576" i="59"/>
  <c r="A722" i="59"/>
  <c r="E719" i="59"/>
  <c r="A648" i="59"/>
  <c r="A579" i="59"/>
  <c r="A442" i="59"/>
  <c r="H440" i="59"/>
  <c r="A48" i="59"/>
  <c r="N64" i="65"/>
  <c r="G47" i="59" l="1"/>
  <c r="H441" i="59"/>
  <c r="G441" i="59"/>
  <c r="G578" i="59"/>
  <c r="H578" i="59"/>
  <c r="G647" i="59"/>
  <c r="H647" i="59"/>
  <c r="G721" i="59"/>
  <c r="H721" i="59"/>
  <c r="A136" i="60"/>
  <c r="E720" i="59"/>
  <c r="E646" i="59"/>
  <c r="E577" i="59"/>
  <c r="E440" i="59"/>
  <c r="A723" i="59"/>
  <c r="A649" i="59"/>
  <c r="A580" i="59"/>
  <c r="A443" i="59"/>
  <c r="A49" i="59"/>
  <c r="B50" i="44"/>
  <c r="G48" i="59" l="1"/>
  <c r="H48" i="59"/>
  <c r="G442" i="59"/>
  <c r="G579" i="59"/>
  <c r="H579" i="59"/>
  <c r="G648" i="59"/>
  <c r="H648" i="59"/>
  <c r="G722" i="59"/>
  <c r="H722" i="59"/>
  <c r="A137" i="60"/>
  <c r="E441" i="59"/>
  <c r="E647" i="59"/>
  <c r="E578" i="59"/>
  <c r="E721" i="59"/>
  <c r="A724" i="59"/>
  <c r="A650" i="59"/>
  <c r="A581" i="59"/>
  <c r="A444" i="59"/>
  <c r="H442" i="59"/>
  <c r="A50" i="59"/>
  <c r="G49" i="59" l="1"/>
  <c r="H49" i="59"/>
  <c r="G443" i="59"/>
  <c r="G580" i="59"/>
  <c r="H580" i="59"/>
  <c r="G649" i="59"/>
  <c r="H649" i="59"/>
  <c r="G723" i="59"/>
  <c r="H723" i="59"/>
  <c r="A138" i="60"/>
  <c r="E648" i="59"/>
  <c r="E442" i="59"/>
  <c r="E722" i="59"/>
  <c r="E579" i="59"/>
  <c r="A725" i="59"/>
  <c r="A651" i="59"/>
  <c r="A582" i="59"/>
  <c r="H443" i="59"/>
  <c r="A445" i="59"/>
  <c r="A51" i="59"/>
  <c r="F2" i="59"/>
  <c r="C4" i="49"/>
  <c r="G50" i="59" l="1"/>
  <c r="H50" i="59"/>
  <c r="G444" i="59"/>
  <c r="H444" i="59"/>
  <c r="G581" i="59"/>
  <c r="H581" i="59"/>
  <c r="G650" i="59"/>
  <c r="H650" i="59"/>
  <c r="G724" i="59"/>
  <c r="H724" i="59"/>
  <c r="A139" i="60"/>
  <c r="E649" i="59"/>
  <c r="A726" i="59"/>
  <c r="E723" i="59"/>
  <c r="A652" i="59"/>
  <c r="A583" i="59"/>
  <c r="E580" i="59"/>
  <c r="E443" i="59"/>
  <c r="A446" i="59"/>
  <c r="A52" i="59"/>
  <c r="H46" i="59"/>
  <c r="H2" i="59"/>
  <c r="H44" i="59"/>
  <c r="H16" i="59"/>
  <c r="H47" i="59"/>
  <c r="G2" i="59"/>
  <c r="G51" i="59" l="1"/>
  <c r="H51" i="59"/>
  <c r="G445" i="59"/>
  <c r="H445" i="59"/>
  <c r="G582" i="59"/>
  <c r="H582" i="59"/>
  <c r="G651" i="59"/>
  <c r="H651" i="59"/>
  <c r="G725" i="59"/>
  <c r="H725" i="59"/>
  <c r="A140" i="60"/>
  <c r="A727" i="59"/>
  <c r="E724" i="59"/>
  <c r="E650" i="59"/>
  <c r="A653" i="59"/>
  <c r="A584" i="59"/>
  <c r="E581" i="59"/>
  <c r="E444" i="59"/>
  <c r="A447" i="59"/>
  <c r="A53" i="59"/>
  <c r="E14" i="59"/>
  <c r="E18" i="59"/>
  <c r="E8" i="59"/>
  <c r="E44" i="59"/>
  <c r="E9" i="59"/>
  <c r="E13" i="59"/>
  <c r="E21" i="59"/>
  <c r="E5" i="59"/>
  <c r="E10" i="59"/>
  <c r="E17" i="59"/>
  <c r="E20" i="59"/>
  <c r="E24" i="59"/>
  <c r="E40" i="59"/>
  <c r="E25" i="59"/>
  <c r="E33" i="59"/>
  <c r="E16" i="59"/>
  <c r="E49" i="59"/>
  <c r="E12" i="59"/>
  <c r="E28" i="59"/>
  <c r="E32" i="59"/>
  <c r="E6" i="59"/>
  <c r="E22" i="59"/>
  <c r="E26" i="59"/>
  <c r="E30" i="59"/>
  <c r="E34" i="59"/>
  <c r="E38" i="59"/>
  <c r="E42" i="59"/>
  <c r="E46" i="59"/>
  <c r="E50" i="59"/>
  <c r="E31" i="59"/>
  <c r="E35" i="59"/>
  <c r="E29" i="59"/>
  <c r="E4" i="59"/>
  <c r="E36" i="59"/>
  <c r="E48" i="59"/>
  <c r="E41" i="59"/>
  <c r="E23" i="59"/>
  <c r="E39" i="59"/>
  <c r="E43" i="59"/>
  <c r="E19" i="59"/>
  <c r="E7" i="59"/>
  <c r="E27" i="59"/>
  <c r="E47" i="59"/>
  <c r="E11" i="59"/>
  <c r="E3" i="59"/>
  <c r="E15" i="59"/>
  <c r="E37" i="59"/>
  <c r="E45" i="59"/>
  <c r="E2" i="59"/>
  <c r="G52" i="59" l="1"/>
  <c r="H52" i="59"/>
  <c r="G446" i="59"/>
  <c r="H446" i="59"/>
  <c r="G583" i="59"/>
  <c r="H583" i="59"/>
  <c r="G652" i="59"/>
  <c r="H652" i="59"/>
  <c r="G726" i="59"/>
  <c r="H726" i="59"/>
  <c r="E51" i="59"/>
  <c r="A141" i="60"/>
  <c r="E582" i="59"/>
  <c r="E725" i="59"/>
  <c r="A728" i="59"/>
  <c r="A654" i="59"/>
  <c r="E651" i="59"/>
  <c r="A585" i="59"/>
  <c r="E445" i="59"/>
  <c r="A448" i="59"/>
  <c r="A54" i="59"/>
  <c r="N141" i="44"/>
  <c r="G53" i="59" l="1"/>
  <c r="H53" i="59"/>
  <c r="G447" i="59"/>
  <c r="H447" i="59"/>
  <c r="G584" i="59"/>
  <c r="H584" i="59"/>
  <c r="G653" i="59"/>
  <c r="H653" i="59"/>
  <c r="G727" i="59"/>
  <c r="H727" i="59"/>
  <c r="E52" i="59"/>
  <c r="A142" i="60"/>
  <c r="E583" i="59"/>
  <c r="E726" i="59"/>
  <c r="A729" i="59"/>
  <c r="A655" i="59"/>
  <c r="E652" i="59"/>
  <c r="A586" i="59"/>
  <c r="A449" i="59"/>
  <c r="E446" i="59"/>
  <c r="A55" i="59"/>
  <c r="E76" i="43"/>
  <c r="G54" i="59" l="1"/>
  <c r="H54" i="59"/>
  <c r="G448" i="59"/>
  <c r="H448" i="59"/>
  <c r="H585" i="59"/>
  <c r="G585" i="59"/>
  <c r="G654" i="59"/>
  <c r="G728" i="59"/>
  <c r="H728" i="59"/>
  <c r="A143" i="60"/>
  <c r="E53" i="59"/>
  <c r="E727" i="59"/>
  <c r="E447" i="59"/>
  <c r="E584" i="59"/>
  <c r="A730" i="59"/>
  <c r="E653" i="59"/>
  <c r="H654" i="59"/>
  <c r="A656" i="59"/>
  <c r="A587" i="59"/>
  <c r="A450" i="59"/>
  <c r="A56" i="59"/>
  <c r="G55" i="59" l="1"/>
  <c r="H55" i="59"/>
  <c r="H449" i="59"/>
  <c r="G449" i="59"/>
  <c r="G586" i="59"/>
  <c r="H586" i="59"/>
  <c r="G655" i="59"/>
  <c r="G729" i="59"/>
  <c r="H729" i="59"/>
  <c r="A144" i="60"/>
  <c r="E54" i="59"/>
  <c r="E448" i="59"/>
  <c r="E728" i="59"/>
  <c r="A731" i="59"/>
  <c r="E654" i="59"/>
  <c r="H655" i="59"/>
  <c r="A657" i="59"/>
  <c r="E585" i="59"/>
  <c r="A588" i="59"/>
  <c r="A451" i="59"/>
  <c r="A57" i="59"/>
  <c r="G56" i="59" l="1"/>
  <c r="H56" i="59"/>
  <c r="G450" i="59"/>
  <c r="H450" i="59"/>
  <c r="G587" i="59"/>
  <c r="H587" i="59"/>
  <c r="G656" i="59"/>
  <c r="G730" i="59"/>
  <c r="H730" i="59"/>
  <c r="E586" i="59"/>
  <c r="A145" i="60"/>
  <c r="E655" i="59"/>
  <c r="A732" i="59"/>
  <c r="E729" i="59"/>
  <c r="H656" i="59"/>
  <c r="A658" i="59"/>
  <c r="A589" i="59"/>
  <c r="E449" i="59"/>
  <c r="A452" i="59"/>
  <c r="A58" i="59"/>
  <c r="E55" i="59"/>
  <c r="G57" i="59" l="1"/>
  <c r="H57" i="59"/>
  <c r="G451" i="59"/>
  <c r="H451" i="59"/>
  <c r="G588" i="59"/>
  <c r="H588" i="59"/>
  <c r="H657" i="59"/>
  <c r="G657" i="59"/>
  <c r="G731" i="59"/>
  <c r="H731" i="59"/>
  <c r="A146" i="60"/>
  <c r="E656" i="59"/>
  <c r="E730" i="59"/>
  <c r="A733" i="59"/>
  <c r="A659" i="59"/>
  <c r="A590" i="59"/>
  <c r="E587" i="59"/>
  <c r="E450" i="59"/>
  <c r="A453" i="59"/>
  <c r="A59" i="59"/>
  <c r="E56" i="59"/>
  <c r="G58" i="59" l="1"/>
  <c r="H58" i="59"/>
  <c r="G452" i="59"/>
  <c r="H452" i="59"/>
  <c r="H589" i="59"/>
  <c r="G589" i="59"/>
  <c r="G658" i="59"/>
  <c r="H658" i="59"/>
  <c r="G732" i="59"/>
  <c r="H732" i="59"/>
  <c r="E657" i="59"/>
  <c r="A147" i="60"/>
  <c r="E731" i="59"/>
  <c r="E451" i="59"/>
  <c r="A734" i="59"/>
  <c r="A660" i="59"/>
  <c r="E588" i="59"/>
  <c r="A591" i="59"/>
  <c r="A454" i="59"/>
  <c r="E57" i="59"/>
  <c r="A60" i="59"/>
  <c r="B91" i="44"/>
  <c r="G59" i="59" l="1"/>
  <c r="H59" i="59"/>
  <c r="G453" i="59"/>
  <c r="H453" i="59"/>
  <c r="G590" i="59"/>
  <c r="H590" i="59"/>
  <c r="G659" i="59"/>
  <c r="H659" i="59"/>
  <c r="H733" i="59"/>
  <c r="G733" i="59"/>
  <c r="A148" i="60"/>
  <c r="E452" i="59"/>
  <c r="E58" i="59"/>
  <c r="A735" i="59"/>
  <c r="E732" i="59"/>
  <c r="E658" i="59"/>
  <c r="A661" i="59"/>
  <c r="E589" i="59"/>
  <c r="A592" i="59"/>
  <c r="A455" i="59"/>
  <c r="A61" i="59"/>
  <c r="G15" i="6"/>
  <c r="G60" i="59" l="1"/>
  <c r="H60" i="59"/>
  <c r="G454" i="59"/>
  <c r="H454" i="59"/>
  <c r="G591" i="59"/>
  <c r="H591" i="59"/>
  <c r="G660" i="59"/>
  <c r="H660" i="59"/>
  <c r="G734" i="59"/>
  <c r="H734" i="59"/>
  <c r="A149" i="60"/>
  <c r="E733" i="59"/>
  <c r="E590" i="59"/>
  <c r="E59" i="59"/>
  <c r="A736" i="59"/>
  <c r="E659" i="59"/>
  <c r="A662" i="59"/>
  <c r="A593" i="59"/>
  <c r="E453" i="59"/>
  <c r="A456" i="59"/>
  <c r="A62" i="59"/>
  <c r="G61" i="59" l="1"/>
  <c r="H61" i="59"/>
  <c r="G455" i="59"/>
  <c r="H455" i="59"/>
  <c r="G592" i="59"/>
  <c r="H592" i="59"/>
  <c r="H661" i="59"/>
  <c r="G661" i="59"/>
  <c r="G735" i="59"/>
  <c r="H735" i="59"/>
  <c r="E60" i="59"/>
  <c r="A150" i="60"/>
  <c r="E591" i="59"/>
  <c r="E734" i="59"/>
  <c r="E454" i="59"/>
  <c r="A737" i="59"/>
  <c r="E660" i="59"/>
  <c r="A663" i="59"/>
  <c r="A594" i="59"/>
  <c r="A457" i="59"/>
  <c r="A63" i="59"/>
  <c r="E3" i="47"/>
  <c r="G62" i="59" l="1"/>
  <c r="H62" i="59"/>
  <c r="G456" i="59"/>
  <c r="H456" i="59"/>
  <c r="G593" i="59"/>
  <c r="G662" i="59"/>
  <c r="H662" i="59"/>
  <c r="G736" i="59"/>
  <c r="H736" i="59"/>
  <c r="A151" i="60"/>
  <c r="E661" i="59"/>
  <c r="E735" i="59"/>
  <c r="A738" i="59"/>
  <c r="A664" i="59"/>
  <c r="H593" i="59"/>
  <c r="E592" i="59"/>
  <c r="A595" i="59"/>
  <c r="A458" i="59"/>
  <c r="E455" i="59"/>
  <c r="A64" i="59"/>
  <c r="E61" i="59"/>
  <c r="C20" i="49"/>
  <c r="C23" i="49"/>
  <c r="C24" i="49"/>
  <c r="C25" i="49"/>
  <c r="C26" i="49"/>
  <c r="C27" i="49"/>
  <c r="C28" i="49"/>
  <c r="C31" i="49"/>
  <c r="C32" i="49"/>
  <c r="C33" i="49"/>
  <c r="C34" i="49"/>
  <c r="C36" i="49"/>
  <c r="C39" i="49"/>
  <c r="C40" i="49"/>
  <c r="C41" i="49"/>
  <c r="C42" i="49"/>
  <c r="C43" i="49"/>
  <c r="C44" i="49"/>
  <c r="C50" i="49"/>
  <c r="C51" i="49"/>
  <c r="C52" i="49"/>
  <c r="C55" i="49"/>
  <c r="C56" i="49"/>
  <c r="C57" i="49"/>
  <c r="C58" i="49"/>
  <c r="C59" i="49"/>
  <c r="C60" i="49"/>
  <c r="C63" i="49"/>
  <c r="C64" i="49"/>
  <c r="C65" i="49"/>
  <c r="C66" i="49"/>
  <c r="C67" i="49"/>
  <c r="C68" i="49"/>
  <c r="C71" i="49"/>
  <c r="C72" i="49"/>
  <c r="C73" i="49"/>
  <c r="C74" i="49"/>
  <c r="C75" i="49"/>
  <c r="C76" i="49"/>
  <c r="C81" i="49"/>
  <c r="C82" i="49"/>
  <c r="C83" i="49"/>
  <c r="C84" i="49"/>
  <c r="C87" i="49"/>
  <c r="C88" i="49"/>
  <c r="C89" i="49"/>
  <c r="C90" i="49"/>
  <c r="C91" i="49"/>
  <c r="C92" i="49"/>
  <c r="C95" i="49"/>
  <c r="C96" i="49"/>
  <c r="C97" i="49"/>
  <c r="C98" i="49"/>
  <c r="C99" i="49"/>
  <c r="C100" i="49"/>
  <c r="C103" i="49"/>
  <c r="C104" i="49"/>
  <c r="C105" i="49"/>
  <c r="C106" i="49"/>
  <c r="C111" i="49"/>
  <c r="C112" i="49"/>
  <c r="C113" i="49"/>
  <c r="C114" i="49"/>
  <c r="C115" i="49"/>
  <c r="C116" i="49"/>
  <c r="C119" i="49"/>
  <c r="C120" i="49"/>
  <c r="C121" i="49"/>
  <c r="C122" i="49"/>
  <c r="C123" i="49"/>
  <c r="C124" i="49"/>
  <c r="C127" i="49"/>
  <c r="C128" i="49"/>
  <c r="C129" i="49"/>
  <c r="C130" i="49"/>
  <c r="C131" i="49"/>
  <c r="C132" i="49"/>
  <c r="C135" i="49"/>
  <c r="C136" i="49"/>
  <c r="C137" i="49"/>
  <c r="I139" i="49"/>
  <c r="C143" i="49"/>
  <c r="C144" i="49"/>
  <c r="C145" i="49"/>
  <c r="C146" i="49"/>
  <c r="C147" i="49"/>
  <c r="C148" i="49"/>
  <c r="C151" i="49"/>
  <c r="C152" i="49"/>
  <c r="C153" i="49"/>
  <c r="C154" i="49"/>
  <c r="C155" i="49"/>
  <c r="C156" i="49"/>
  <c r="C159" i="49"/>
  <c r="C160" i="49"/>
  <c r="C161" i="49"/>
  <c r="C162" i="49"/>
  <c r="C163" i="49"/>
  <c r="C164" i="49"/>
  <c r="C167" i="49"/>
  <c r="C170" i="49"/>
  <c r="C172" i="49"/>
  <c r="C175" i="49"/>
  <c r="C176" i="49"/>
  <c r="C177" i="49"/>
  <c r="C179" i="49"/>
  <c r="C180" i="49"/>
  <c r="C181" i="49"/>
  <c r="C183" i="49"/>
  <c r="C184" i="49"/>
  <c r="C185" i="49"/>
  <c r="C187" i="49"/>
  <c r="C188" i="49"/>
  <c r="C189" i="49"/>
  <c r="C191" i="49"/>
  <c r="C192" i="49"/>
  <c r="C193" i="49"/>
  <c r="C195" i="49"/>
  <c r="C196" i="49"/>
  <c r="C197" i="49"/>
  <c r="C203" i="49"/>
  <c r="C204" i="49"/>
  <c r="C205" i="49"/>
  <c r="C207" i="49"/>
  <c r="C208" i="49"/>
  <c r="C209" i="49"/>
  <c r="C211" i="49"/>
  <c r="C212" i="49"/>
  <c r="C213" i="49"/>
  <c r="C215" i="49"/>
  <c r="C216" i="49"/>
  <c r="C217" i="49"/>
  <c r="C219" i="49"/>
  <c r="C220" i="49"/>
  <c r="C221" i="49"/>
  <c r="C223" i="49"/>
  <c r="C224" i="49"/>
  <c r="C225" i="49"/>
  <c r="C227" i="49"/>
  <c r="C228" i="49"/>
  <c r="C229" i="49"/>
  <c r="C235" i="49"/>
  <c r="C238" i="49"/>
  <c r="C241" i="49"/>
  <c r="C243" i="49"/>
  <c r="C246" i="49"/>
  <c r="C249" i="49"/>
  <c r="C251" i="49"/>
  <c r="C254" i="49"/>
  <c r="C257" i="49"/>
  <c r="C259" i="49"/>
  <c r="C323" i="49"/>
  <c r="C329" i="49"/>
  <c r="C330" i="49"/>
  <c r="C331" i="49"/>
  <c r="C332" i="49"/>
  <c r="C333" i="49"/>
  <c r="C334" i="49"/>
  <c r="C335" i="49"/>
  <c r="C336" i="49"/>
  <c r="C337" i="49"/>
  <c r="C338" i="49"/>
  <c r="C339" i="49"/>
  <c r="C340" i="49"/>
  <c r="C341" i="49"/>
  <c r="C342" i="49"/>
  <c r="C343" i="49"/>
  <c r="C344" i="49"/>
  <c r="C345" i="49"/>
  <c r="C346" i="49"/>
  <c r="C347" i="49"/>
  <c r="C348" i="49"/>
  <c r="C349" i="49"/>
  <c r="C350" i="49"/>
  <c r="C351" i="49"/>
  <c r="C354" i="49"/>
  <c r="C356" i="49"/>
  <c r="C357" i="49"/>
  <c r="C358" i="49"/>
  <c r="C359" i="49"/>
  <c r="C360" i="49"/>
  <c r="C361" i="49"/>
  <c r="C362" i="49"/>
  <c r="C363" i="49"/>
  <c r="C364" i="49"/>
  <c r="C365" i="49"/>
  <c r="C366" i="49"/>
  <c r="C374" i="49"/>
  <c r="C390" i="49"/>
  <c r="C7" i="49"/>
  <c r="C8" i="49"/>
  <c r="C9" i="49"/>
  <c r="C10" i="49"/>
  <c r="C11" i="49"/>
  <c r="C12" i="49"/>
  <c r="C15" i="49"/>
  <c r="C16" i="49"/>
  <c r="C17" i="49"/>
  <c r="C18" i="49"/>
  <c r="C19" i="49"/>
  <c r="G63" i="59" l="1"/>
  <c r="H63" i="59"/>
  <c r="H457" i="59"/>
  <c r="G457" i="59"/>
  <c r="G594" i="59"/>
  <c r="H594" i="59"/>
  <c r="G663" i="59"/>
  <c r="H663" i="59"/>
  <c r="H737" i="59"/>
  <c r="G737" i="59"/>
  <c r="A152" i="60"/>
  <c r="E62" i="59"/>
  <c r="E662" i="59"/>
  <c r="A739" i="59"/>
  <c r="E736" i="59"/>
  <c r="A665" i="59"/>
  <c r="E593" i="59"/>
  <c r="A596" i="59"/>
  <c r="E456" i="59"/>
  <c r="A459" i="59"/>
  <c r="A65" i="59"/>
  <c r="F290" i="47"/>
  <c r="F200" i="47"/>
  <c r="F351" i="47"/>
  <c r="F352" i="47"/>
  <c r="F321" i="47"/>
  <c r="F293" i="47"/>
  <c r="F140" i="47"/>
  <c r="F261" i="47"/>
  <c r="F108" i="47"/>
  <c r="C110" i="49"/>
  <c r="C79" i="49"/>
  <c r="C107" i="49"/>
  <c r="C168" i="49"/>
  <c r="C46" i="49"/>
  <c r="C77" i="49"/>
  <c r="C49" i="49"/>
  <c r="C108" i="49"/>
  <c r="C138" i="49"/>
  <c r="C321" i="49"/>
  <c r="C199" i="49"/>
  <c r="C260" i="49"/>
  <c r="C230" i="49"/>
  <c r="C233" i="49"/>
  <c r="F232" i="47"/>
  <c r="C80" i="49"/>
  <c r="F79" i="47"/>
  <c r="C294" i="49"/>
  <c r="C141" i="49"/>
  <c r="C384" i="49"/>
  <c r="C383" i="49"/>
  <c r="C355" i="49"/>
  <c r="C353" i="49"/>
  <c r="C324" i="49"/>
  <c r="C322" i="49"/>
  <c r="C293" i="49"/>
  <c r="C292" i="49"/>
  <c r="C263" i="49"/>
  <c r="C261" i="49"/>
  <c r="C232" i="49"/>
  <c r="C231" i="49"/>
  <c r="C202" i="49"/>
  <c r="C200" i="49"/>
  <c r="C171" i="49"/>
  <c r="C169" i="49"/>
  <c r="C140" i="49"/>
  <c r="C139" i="49"/>
  <c r="C78" i="49"/>
  <c r="C47" i="49"/>
  <c r="C262" i="49"/>
  <c r="C201" i="49"/>
  <c r="C109" i="49"/>
  <c r="C352" i="49"/>
  <c r="C48" i="49"/>
  <c r="C6" i="49"/>
  <c r="C317" i="49"/>
  <c r="C277" i="49"/>
  <c r="C395" i="49"/>
  <c r="C387" i="49"/>
  <c r="C379" i="49"/>
  <c r="C371" i="49"/>
  <c r="C315" i="49"/>
  <c r="C307" i="49"/>
  <c r="C299" i="49"/>
  <c r="C291" i="49"/>
  <c r="C283" i="49"/>
  <c r="C275" i="49"/>
  <c r="C267" i="49"/>
  <c r="C35" i="49"/>
  <c r="C373" i="49"/>
  <c r="C325" i="49"/>
  <c r="C285" i="49"/>
  <c r="C394" i="49"/>
  <c r="C386" i="49"/>
  <c r="C378" i="49"/>
  <c r="C370" i="49"/>
  <c r="C314" i="49"/>
  <c r="C306" i="49"/>
  <c r="C298" i="49"/>
  <c r="C290" i="49"/>
  <c r="C282" i="49"/>
  <c r="C274" i="49"/>
  <c r="C266" i="49"/>
  <c r="C258" i="49"/>
  <c r="C250" i="49"/>
  <c r="C242" i="49"/>
  <c r="C234" i="49"/>
  <c r="C226" i="49"/>
  <c r="C218" i="49"/>
  <c r="C210" i="49"/>
  <c r="C194" i="49"/>
  <c r="C186" i="49"/>
  <c r="C178" i="49"/>
  <c r="C14" i="49"/>
  <c r="C389" i="49"/>
  <c r="C301" i="49"/>
  <c r="C245" i="49"/>
  <c r="C393" i="49"/>
  <c r="C385" i="49"/>
  <c r="C377" i="49"/>
  <c r="C369" i="49"/>
  <c r="C313" i="49"/>
  <c r="C305" i="49"/>
  <c r="C297" i="49"/>
  <c r="C289" i="49"/>
  <c r="C281" i="49"/>
  <c r="C273" i="49"/>
  <c r="C265" i="49"/>
  <c r="C391" i="49"/>
  <c r="C382" i="49"/>
  <c r="C381" i="49"/>
  <c r="C253" i="49"/>
  <c r="C392" i="49"/>
  <c r="C376" i="49"/>
  <c r="C368" i="49"/>
  <c r="C328" i="49"/>
  <c r="C320" i="49"/>
  <c r="C312" i="49"/>
  <c r="C304" i="49"/>
  <c r="C296" i="49"/>
  <c r="C288" i="49"/>
  <c r="C280" i="49"/>
  <c r="C272" i="49"/>
  <c r="C264" i="49"/>
  <c r="C256" i="49"/>
  <c r="C248" i="49"/>
  <c r="C240" i="49"/>
  <c r="C375" i="49"/>
  <c r="C367" i="49"/>
  <c r="C327" i="49"/>
  <c r="C319" i="49"/>
  <c r="C311" i="49"/>
  <c r="C303" i="49"/>
  <c r="C295" i="49"/>
  <c r="C287" i="49"/>
  <c r="C279" i="49"/>
  <c r="C271" i="49"/>
  <c r="C255" i="49"/>
  <c r="C247" i="49"/>
  <c r="C239" i="49"/>
  <c r="C5" i="49"/>
  <c r="C326" i="49"/>
  <c r="C318" i="49"/>
  <c r="C310" i="49"/>
  <c r="C302" i="49"/>
  <c r="C286" i="49"/>
  <c r="C278" i="49"/>
  <c r="C270" i="49"/>
  <c r="C222" i="49"/>
  <c r="C214" i="49"/>
  <c r="C206" i="49"/>
  <c r="C198" i="49"/>
  <c r="C190" i="49"/>
  <c r="C182" i="49"/>
  <c r="C174" i="49"/>
  <c r="C166" i="49"/>
  <c r="C158" i="49"/>
  <c r="C150" i="49"/>
  <c r="C142" i="49"/>
  <c r="C134" i="49"/>
  <c r="C126" i="49"/>
  <c r="C118" i="49"/>
  <c r="C102" i="49"/>
  <c r="C94" i="49"/>
  <c r="C86" i="49"/>
  <c r="C70" i="49"/>
  <c r="C62" i="49"/>
  <c r="C54" i="49"/>
  <c r="C38" i="49"/>
  <c r="C30" i="49"/>
  <c r="C22" i="49"/>
  <c r="C237" i="49"/>
  <c r="C173" i="49"/>
  <c r="C165" i="49"/>
  <c r="C157" i="49"/>
  <c r="C149" i="49"/>
  <c r="C133" i="49"/>
  <c r="C125" i="49"/>
  <c r="C117" i="49"/>
  <c r="C101" i="49"/>
  <c r="C93" i="49"/>
  <c r="C85" i="49"/>
  <c r="C69" i="49"/>
  <c r="C61" i="49"/>
  <c r="C53" i="49"/>
  <c r="C45" i="49"/>
  <c r="C37" i="49"/>
  <c r="C29" i="49"/>
  <c r="C21" i="49"/>
  <c r="C13" i="49"/>
  <c r="C309" i="49"/>
  <c r="C269" i="49"/>
  <c r="C396" i="49"/>
  <c r="C388" i="49"/>
  <c r="C380" i="49"/>
  <c r="C372" i="49"/>
  <c r="C316" i="49"/>
  <c r="C308" i="49"/>
  <c r="C300" i="49"/>
  <c r="C284" i="49"/>
  <c r="C276" i="49"/>
  <c r="C268" i="49"/>
  <c r="C252" i="49"/>
  <c r="C244" i="49"/>
  <c r="C236" i="49"/>
  <c r="F230" i="47"/>
  <c r="F291" i="47"/>
  <c r="G262" i="47"/>
  <c r="G109" i="47"/>
  <c r="F362" i="47"/>
  <c r="F358" i="47"/>
  <c r="F350" i="47"/>
  <c r="F346" i="47"/>
  <c r="F342" i="47"/>
  <c r="F338" i="47"/>
  <c r="F334" i="47"/>
  <c r="F330" i="47"/>
  <c r="F365" i="47"/>
  <c r="F341" i="47"/>
  <c r="F361" i="47"/>
  <c r="F349" i="47"/>
  <c r="F364" i="47"/>
  <c r="F360" i="47"/>
  <c r="F356" i="47"/>
  <c r="F348" i="47"/>
  <c r="F344" i="47"/>
  <c r="F340" i="47"/>
  <c r="F336" i="47"/>
  <c r="F332" i="47"/>
  <c r="F328" i="47"/>
  <c r="F357" i="47"/>
  <c r="F353" i="47"/>
  <c r="F345" i="47"/>
  <c r="F337" i="47"/>
  <c r="F333" i="47"/>
  <c r="F329" i="47"/>
  <c r="F363" i="47"/>
  <c r="F359" i="47"/>
  <c r="F355" i="47"/>
  <c r="F347" i="47"/>
  <c r="F343" i="47"/>
  <c r="F339" i="47"/>
  <c r="F335" i="47"/>
  <c r="F331" i="47"/>
  <c r="G78" i="47"/>
  <c r="I294" i="49"/>
  <c r="I262" i="49"/>
  <c r="I233" i="49"/>
  <c r="G48" i="47"/>
  <c r="G201" i="47"/>
  <c r="G17" i="47"/>
  <c r="I18" i="49" s="1"/>
  <c r="G139" i="47"/>
  <c r="I80" i="49"/>
  <c r="I292" i="49"/>
  <c r="G231" i="47" l="1"/>
  <c r="I232" i="49" s="1"/>
  <c r="G170" i="47"/>
  <c r="I171" i="49" s="1"/>
  <c r="G382" i="47"/>
  <c r="I383" i="49" s="1"/>
  <c r="G323" i="47"/>
  <c r="I324" i="49" s="1"/>
  <c r="G354" i="47"/>
  <c r="I355" i="49" s="1"/>
  <c r="G292" i="47"/>
  <c r="I293" i="49" s="1"/>
  <c r="I107" i="49"/>
  <c r="I168" i="49"/>
  <c r="I46" i="49"/>
  <c r="I108" i="49"/>
  <c r="I77" i="49"/>
  <c r="G64" i="59"/>
  <c r="H64" i="59"/>
  <c r="G458" i="59"/>
  <c r="H458" i="59"/>
  <c r="G595" i="59"/>
  <c r="G664" i="59"/>
  <c r="H664" i="59"/>
  <c r="G738" i="59"/>
  <c r="H738" i="59"/>
  <c r="I48" i="49"/>
  <c r="I200" i="49"/>
  <c r="I169" i="49"/>
  <c r="I109" i="49"/>
  <c r="I321" i="49"/>
  <c r="I201" i="49"/>
  <c r="I140" i="49"/>
  <c r="I141" i="49"/>
  <c r="I263" i="49"/>
  <c r="I353" i="49"/>
  <c r="I322" i="49"/>
  <c r="I202" i="49"/>
  <c r="E457" i="59"/>
  <c r="E594" i="59"/>
  <c r="A153" i="60"/>
  <c r="E737" i="59"/>
  <c r="E663" i="59"/>
  <c r="A740" i="59"/>
  <c r="A666" i="59"/>
  <c r="H595" i="59"/>
  <c r="A597" i="59"/>
  <c r="A460" i="59"/>
  <c r="A66" i="59"/>
  <c r="E63" i="59"/>
  <c r="I110" i="49"/>
  <c r="I79" i="49"/>
  <c r="I260" i="49"/>
  <c r="I199" i="49"/>
  <c r="I352" i="49"/>
  <c r="I138" i="49"/>
  <c r="I291" i="49"/>
  <c r="I261" i="49"/>
  <c r="I49" i="49"/>
  <c r="I230" i="49"/>
  <c r="F397" i="47"/>
  <c r="F396" i="47"/>
  <c r="F395" i="47"/>
  <c r="E395" i="47"/>
  <c r="F394" i="47"/>
  <c r="E394" i="47"/>
  <c r="F393" i="47"/>
  <c r="E393" i="47"/>
  <c r="F392" i="47"/>
  <c r="E392" i="47"/>
  <c r="F391" i="47"/>
  <c r="E391" i="47"/>
  <c r="F390" i="47"/>
  <c r="E390" i="47"/>
  <c r="F389" i="47"/>
  <c r="E389" i="47"/>
  <c r="F388" i="47"/>
  <c r="E388" i="47"/>
  <c r="F387" i="47"/>
  <c r="E387" i="47"/>
  <c r="F386" i="47"/>
  <c r="E386" i="47"/>
  <c r="F385" i="47"/>
  <c r="E385" i="47"/>
  <c r="F384" i="47"/>
  <c r="E384" i="47"/>
  <c r="F383" i="47"/>
  <c r="E383" i="47"/>
  <c r="E382" i="47"/>
  <c r="F381" i="47"/>
  <c r="E381" i="47"/>
  <c r="F380" i="47"/>
  <c r="E380" i="47"/>
  <c r="F379" i="47"/>
  <c r="E379" i="47"/>
  <c r="F378" i="47"/>
  <c r="E378" i="47"/>
  <c r="F377" i="47"/>
  <c r="E377" i="47"/>
  <c r="F376" i="47"/>
  <c r="E376" i="47"/>
  <c r="F375" i="47"/>
  <c r="E375" i="47"/>
  <c r="F374" i="47"/>
  <c r="E374" i="47"/>
  <c r="F373" i="47"/>
  <c r="E373" i="47"/>
  <c r="F372" i="47"/>
  <c r="E372" i="47"/>
  <c r="F371" i="47"/>
  <c r="E371" i="47"/>
  <c r="F370" i="47"/>
  <c r="E370" i="47"/>
  <c r="F369" i="47"/>
  <c r="E369" i="47"/>
  <c r="F368" i="47"/>
  <c r="E368" i="47"/>
  <c r="F367" i="47"/>
  <c r="E367" i="47"/>
  <c r="F366" i="47"/>
  <c r="E366" i="47"/>
  <c r="E365" i="47"/>
  <c r="E364" i="47"/>
  <c r="E363" i="47"/>
  <c r="E362" i="47"/>
  <c r="E361" i="47"/>
  <c r="E360" i="47"/>
  <c r="E359" i="47"/>
  <c r="E358" i="47"/>
  <c r="E357" i="47"/>
  <c r="E356" i="47"/>
  <c r="E355" i="47"/>
  <c r="E354" i="47"/>
  <c r="E353" i="47"/>
  <c r="E352" i="47"/>
  <c r="E351" i="47"/>
  <c r="E350" i="47"/>
  <c r="E349" i="47"/>
  <c r="E348" i="47"/>
  <c r="E347" i="47"/>
  <c r="E346" i="47"/>
  <c r="E345" i="47"/>
  <c r="E344" i="47"/>
  <c r="E343" i="47"/>
  <c r="E342" i="47"/>
  <c r="E341" i="47"/>
  <c r="E340" i="47"/>
  <c r="E339" i="47"/>
  <c r="E338" i="47"/>
  <c r="E337" i="47"/>
  <c r="E336" i="47"/>
  <c r="E335" i="47"/>
  <c r="E334" i="47"/>
  <c r="E333" i="47"/>
  <c r="E332" i="47"/>
  <c r="E331" i="47"/>
  <c r="E330" i="47"/>
  <c r="E329" i="47"/>
  <c r="E328" i="47"/>
  <c r="F327" i="47"/>
  <c r="E327" i="47"/>
  <c r="F326" i="47"/>
  <c r="E326" i="47"/>
  <c r="F325" i="47"/>
  <c r="E325" i="47"/>
  <c r="F324" i="47"/>
  <c r="E324" i="47"/>
  <c r="E323" i="47"/>
  <c r="F322" i="47"/>
  <c r="E322" i="47"/>
  <c r="E321" i="47"/>
  <c r="F320" i="47"/>
  <c r="E320" i="47"/>
  <c r="F319" i="47"/>
  <c r="E319" i="47"/>
  <c r="F318" i="47"/>
  <c r="E318" i="47"/>
  <c r="F317" i="47"/>
  <c r="E317" i="47"/>
  <c r="F316" i="47"/>
  <c r="E316" i="47"/>
  <c r="F315" i="47"/>
  <c r="E315" i="47"/>
  <c r="F314" i="47"/>
  <c r="E314" i="47"/>
  <c r="F313" i="47"/>
  <c r="E313" i="47"/>
  <c r="F312" i="47"/>
  <c r="E312" i="47"/>
  <c r="F311" i="47"/>
  <c r="E311" i="47"/>
  <c r="F310" i="47"/>
  <c r="E310" i="47"/>
  <c r="F309" i="47"/>
  <c r="E309" i="47"/>
  <c r="F308" i="47"/>
  <c r="E308" i="47"/>
  <c r="F307" i="47"/>
  <c r="E307" i="47"/>
  <c r="F306" i="47"/>
  <c r="E306" i="47"/>
  <c r="F305" i="47"/>
  <c r="E305" i="47"/>
  <c r="F304" i="47"/>
  <c r="E304" i="47"/>
  <c r="F303" i="47"/>
  <c r="E303" i="47"/>
  <c r="F302" i="47"/>
  <c r="E302" i="47"/>
  <c r="F301" i="47"/>
  <c r="E301" i="47"/>
  <c r="F300" i="47"/>
  <c r="E300" i="47"/>
  <c r="F299" i="47"/>
  <c r="E299" i="47"/>
  <c r="F298" i="47"/>
  <c r="E298" i="47"/>
  <c r="F297" i="47"/>
  <c r="E297" i="47"/>
  <c r="F296" i="47"/>
  <c r="E296" i="47"/>
  <c r="F295" i="47"/>
  <c r="E295" i="47"/>
  <c r="F294" i="47"/>
  <c r="E294" i="47"/>
  <c r="E293" i="47"/>
  <c r="E292" i="47"/>
  <c r="E291" i="47"/>
  <c r="E290" i="47"/>
  <c r="F289" i="47"/>
  <c r="E289" i="47"/>
  <c r="F288" i="47"/>
  <c r="E288" i="47"/>
  <c r="F287" i="47"/>
  <c r="E287" i="47"/>
  <c r="F286" i="47"/>
  <c r="E286" i="47"/>
  <c r="F285" i="47"/>
  <c r="E285" i="47"/>
  <c r="F284" i="47"/>
  <c r="E284" i="47"/>
  <c r="F283" i="47"/>
  <c r="E283" i="47"/>
  <c r="F282" i="47"/>
  <c r="E282" i="47"/>
  <c r="F281" i="47"/>
  <c r="E281" i="47"/>
  <c r="F280" i="47"/>
  <c r="E280" i="47"/>
  <c r="F279" i="47"/>
  <c r="E279" i="47"/>
  <c r="F278" i="47"/>
  <c r="E278" i="47"/>
  <c r="F277" i="47"/>
  <c r="E277" i="47"/>
  <c r="F276" i="47"/>
  <c r="E276" i="47"/>
  <c r="F275" i="47"/>
  <c r="E275" i="47"/>
  <c r="F274" i="47"/>
  <c r="E274" i="47"/>
  <c r="F273" i="47"/>
  <c r="E273" i="47"/>
  <c r="F272" i="47"/>
  <c r="E272" i="47"/>
  <c r="F271" i="47"/>
  <c r="E271" i="47"/>
  <c r="F270" i="47"/>
  <c r="E270" i="47"/>
  <c r="F269" i="47"/>
  <c r="E269" i="47"/>
  <c r="F268" i="47"/>
  <c r="E268" i="47"/>
  <c r="F267" i="47"/>
  <c r="E267" i="47"/>
  <c r="F266" i="47"/>
  <c r="E266" i="47"/>
  <c r="F265" i="47"/>
  <c r="E265" i="47"/>
  <c r="F264" i="47"/>
  <c r="E264" i="47"/>
  <c r="F263" i="47"/>
  <c r="E263" i="47"/>
  <c r="E262" i="47"/>
  <c r="E261" i="47"/>
  <c r="F260" i="47"/>
  <c r="E260" i="47"/>
  <c r="F259" i="47"/>
  <c r="E259" i="47"/>
  <c r="F258" i="47"/>
  <c r="E258" i="47"/>
  <c r="F257" i="47"/>
  <c r="E257" i="47"/>
  <c r="F256" i="47"/>
  <c r="E256" i="47"/>
  <c r="F255" i="47"/>
  <c r="E255" i="47"/>
  <c r="F254" i="47"/>
  <c r="E254" i="47"/>
  <c r="F253" i="47"/>
  <c r="E253" i="47"/>
  <c r="F252" i="47"/>
  <c r="E252" i="47"/>
  <c r="F251" i="47"/>
  <c r="E251" i="47"/>
  <c r="F250" i="47"/>
  <c r="E250" i="47"/>
  <c r="F249" i="47"/>
  <c r="E249" i="47"/>
  <c r="F248" i="47"/>
  <c r="E248" i="47"/>
  <c r="F247" i="47"/>
  <c r="E247" i="47"/>
  <c r="F246" i="47"/>
  <c r="E246" i="47"/>
  <c r="F245" i="47"/>
  <c r="E245" i="47"/>
  <c r="F244" i="47"/>
  <c r="E244" i="47"/>
  <c r="F243" i="47"/>
  <c r="E243" i="47"/>
  <c r="F242" i="47"/>
  <c r="E242" i="47"/>
  <c r="F241" i="47"/>
  <c r="E241" i="47"/>
  <c r="F240" i="47"/>
  <c r="E240" i="47"/>
  <c r="F239" i="47"/>
  <c r="E239" i="47"/>
  <c r="F238" i="47"/>
  <c r="E238" i="47"/>
  <c r="F237" i="47"/>
  <c r="E237" i="47"/>
  <c r="F236" i="47"/>
  <c r="E236" i="47"/>
  <c r="F235" i="47"/>
  <c r="E235" i="47"/>
  <c r="F234" i="47"/>
  <c r="E234" i="47"/>
  <c r="F233" i="47"/>
  <c r="E233" i="47"/>
  <c r="E232" i="47"/>
  <c r="E231" i="47"/>
  <c r="E230" i="47"/>
  <c r="F229" i="47"/>
  <c r="E229" i="47"/>
  <c r="F228" i="47"/>
  <c r="E228" i="47"/>
  <c r="F227" i="47"/>
  <c r="E227" i="47"/>
  <c r="F226" i="47"/>
  <c r="E226" i="47"/>
  <c r="F225" i="47"/>
  <c r="E225" i="47"/>
  <c r="F224" i="47"/>
  <c r="E224" i="47"/>
  <c r="F223" i="47"/>
  <c r="E223" i="47"/>
  <c r="F222" i="47"/>
  <c r="E222" i="47"/>
  <c r="F221" i="47"/>
  <c r="E221" i="47"/>
  <c r="F220" i="47"/>
  <c r="E220" i="47"/>
  <c r="F219" i="47"/>
  <c r="E219" i="47"/>
  <c r="F218" i="47"/>
  <c r="E218" i="47"/>
  <c r="F217" i="47"/>
  <c r="E217" i="47"/>
  <c r="F216" i="47"/>
  <c r="E216" i="47"/>
  <c r="F215" i="47"/>
  <c r="E215" i="47"/>
  <c r="F214" i="47"/>
  <c r="E214" i="47"/>
  <c r="F213" i="47"/>
  <c r="E213" i="47"/>
  <c r="F212" i="47"/>
  <c r="E212" i="47"/>
  <c r="F211" i="47"/>
  <c r="E211" i="47"/>
  <c r="F210" i="47"/>
  <c r="E210" i="47"/>
  <c r="F209" i="47"/>
  <c r="E209" i="47"/>
  <c r="F208" i="47"/>
  <c r="E208" i="47"/>
  <c r="F207" i="47"/>
  <c r="E207" i="47"/>
  <c r="F206" i="47"/>
  <c r="E206" i="47"/>
  <c r="F205" i="47"/>
  <c r="E205" i="47"/>
  <c r="F204" i="47"/>
  <c r="E204" i="47"/>
  <c r="F203" i="47"/>
  <c r="E203" i="47"/>
  <c r="F202" i="47"/>
  <c r="E202" i="47"/>
  <c r="E201" i="47"/>
  <c r="E200" i="47"/>
  <c r="F199" i="47"/>
  <c r="E199" i="47"/>
  <c r="F198" i="47"/>
  <c r="E198" i="47"/>
  <c r="F197" i="47"/>
  <c r="E197" i="47"/>
  <c r="F196" i="47"/>
  <c r="E196" i="47"/>
  <c r="F195" i="47"/>
  <c r="E195" i="47"/>
  <c r="F194" i="47"/>
  <c r="E194" i="47"/>
  <c r="F193" i="47"/>
  <c r="E193" i="47"/>
  <c r="F192" i="47"/>
  <c r="E192" i="47"/>
  <c r="F191" i="47"/>
  <c r="E191" i="47"/>
  <c r="F190" i="47"/>
  <c r="E190" i="47"/>
  <c r="F189" i="47"/>
  <c r="E189" i="47"/>
  <c r="F188" i="47"/>
  <c r="E188" i="47"/>
  <c r="F187" i="47"/>
  <c r="E187" i="47"/>
  <c r="F186" i="47"/>
  <c r="E186" i="47"/>
  <c r="F185" i="47"/>
  <c r="E185" i="47"/>
  <c r="F184" i="47"/>
  <c r="E184" i="47"/>
  <c r="F183" i="47"/>
  <c r="E183" i="47"/>
  <c r="F182" i="47"/>
  <c r="E182" i="47"/>
  <c r="F181" i="47"/>
  <c r="E181" i="47"/>
  <c r="F180" i="47"/>
  <c r="E180" i="47"/>
  <c r="F179" i="47"/>
  <c r="E179" i="47"/>
  <c r="F178" i="47"/>
  <c r="E178" i="47"/>
  <c r="F177" i="47"/>
  <c r="E177" i="47"/>
  <c r="F176" i="47"/>
  <c r="E176" i="47"/>
  <c r="F175" i="47"/>
  <c r="E175" i="47"/>
  <c r="F174" i="47"/>
  <c r="E174" i="47"/>
  <c r="F173" i="47"/>
  <c r="E173" i="47"/>
  <c r="F172" i="47"/>
  <c r="E172" i="47"/>
  <c r="F171" i="47"/>
  <c r="E171" i="47"/>
  <c r="E170" i="47"/>
  <c r="F169" i="47"/>
  <c r="E169" i="47"/>
  <c r="F168" i="47"/>
  <c r="E168" i="47"/>
  <c r="F167" i="47"/>
  <c r="E167" i="47"/>
  <c r="F166" i="47"/>
  <c r="E166" i="47"/>
  <c r="F165" i="47"/>
  <c r="E165" i="47"/>
  <c r="F164" i="47"/>
  <c r="E164" i="47"/>
  <c r="F163" i="47"/>
  <c r="E163" i="47"/>
  <c r="F162" i="47"/>
  <c r="E162" i="47"/>
  <c r="F161" i="47"/>
  <c r="E161" i="47"/>
  <c r="F160" i="47"/>
  <c r="E160" i="47"/>
  <c r="F159" i="47"/>
  <c r="E159" i="47"/>
  <c r="F158" i="47"/>
  <c r="E158" i="47"/>
  <c r="F157" i="47"/>
  <c r="E157" i="47"/>
  <c r="F156" i="47"/>
  <c r="E156" i="47"/>
  <c r="F155" i="47"/>
  <c r="E155" i="47"/>
  <c r="F154" i="47"/>
  <c r="E154" i="47"/>
  <c r="F153" i="47"/>
  <c r="E153" i="47"/>
  <c r="F152" i="47"/>
  <c r="E152" i="47"/>
  <c r="F151" i="47"/>
  <c r="E151" i="47"/>
  <c r="F150" i="47"/>
  <c r="E150" i="47"/>
  <c r="F149" i="47"/>
  <c r="E149" i="47"/>
  <c r="F148" i="47"/>
  <c r="E148" i="47"/>
  <c r="F147" i="47"/>
  <c r="E147" i="47"/>
  <c r="F146" i="47"/>
  <c r="E146" i="47"/>
  <c r="F145" i="47"/>
  <c r="E145" i="47"/>
  <c r="F144" i="47"/>
  <c r="E144" i="47"/>
  <c r="F143" i="47"/>
  <c r="E143" i="47"/>
  <c r="F142" i="47"/>
  <c r="E142" i="47"/>
  <c r="F141" i="47"/>
  <c r="E141" i="47"/>
  <c r="E140" i="47"/>
  <c r="E139" i="47"/>
  <c r="F138" i="47"/>
  <c r="E138" i="47"/>
  <c r="F137" i="47"/>
  <c r="E137" i="47"/>
  <c r="F136" i="47"/>
  <c r="E136" i="47"/>
  <c r="F135" i="47"/>
  <c r="E135" i="47"/>
  <c r="F134" i="47"/>
  <c r="E134" i="47"/>
  <c r="F133" i="47"/>
  <c r="E133" i="47"/>
  <c r="F132" i="47"/>
  <c r="E132" i="47"/>
  <c r="F131" i="47"/>
  <c r="E131" i="47"/>
  <c r="F130" i="47"/>
  <c r="E130" i="47"/>
  <c r="F129" i="47"/>
  <c r="E129" i="47"/>
  <c r="F128" i="47"/>
  <c r="E128" i="47"/>
  <c r="F127" i="47"/>
  <c r="E127" i="47"/>
  <c r="F126" i="47"/>
  <c r="E126" i="47"/>
  <c r="F125" i="47"/>
  <c r="E125" i="47"/>
  <c r="F124" i="47"/>
  <c r="E124" i="47"/>
  <c r="F123" i="47"/>
  <c r="E123" i="47"/>
  <c r="F122" i="47"/>
  <c r="E122" i="47"/>
  <c r="F121" i="47"/>
  <c r="E121" i="47"/>
  <c r="F120" i="47"/>
  <c r="E120" i="47"/>
  <c r="F119" i="47"/>
  <c r="E119" i="47"/>
  <c r="F118" i="47"/>
  <c r="E118" i="47"/>
  <c r="F117" i="47"/>
  <c r="E117" i="47"/>
  <c r="F116" i="47"/>
  <c r="E116" i="47"/>
  <c r="F115" i="47"/>
  <c r="E115" i="47"/>
  <c r="F114" i="47"/>
  <c r="E114" i="47"/>
  <c r="F113" i="47"/>
  <c r="E113" i="47"/>
  <c r="F112" i="47"/>
  <c r="E112" i="47"/>
  <c r="F111" i="47"/>
  <c r="E111" i="47"/>
  <c r="F110" i="47"/>
  <c r="E110" i="47"/>
  <c r="E109" i="47"/>
  <c r="E108" i="47"/>
  <c r="F107" i="47"/>
  <c r="E107" i="47"/>
  <c r="F106" i="47"/>
  <c r="E106" i="47"/>
  <c r="F105" i="47"/>
  <c r="E105" i="47"/>
  <c r="F104" i="47"/>
  <c r="E104" i="47"/>
  <c r="F103" i="47"/>
  <c r="E103" i="47"/>
  <c r="F102" i="47"/>
  <c r="E102" i="47"/>
  <c r="F101" i="47"/>
  <c r="E101" i="47"/>
  <c r="F100" i="47"/>
  <c r="E100" i="47"/>
  <c r="F99" i="47"/>
  <c r="E99" i="47"/>
  <c r="F98" i="47"/>
  <c r="E98" i="47"/>
  <c r="F97" i="47"/>
  <c r="E97" i="47"/>
  <c r="F96" i="47"/>
  <c r="E96" i="47"/>
  <c r="F95" i="47"/>
  <c r="E95" i="47"/>
  <c r="F94" i="47"/>
  <c r="E94" i="47"/>
  <c r="F93" i="47"/>
  <c r="E93" i="47"/>
  <c r="F92" i="47"/>
  <c r="E92" i="47"/>
  <c r="F91" i="47"/>
  <c r="E91" i="47"/>
  <c r="F90" i="47"/>
  <c r="E90" i="47"/>
  <c r="F89" i="47"/>
  <c r="E89" i="47"/>
  <c r="F88" i="47"/>
  <c r="E88" i="47"/>
  <c r="F87" i="47"/>
  <c r="E87" i="47"/>
  <c r="F86" i="47"/>
  <c r="E86" i="47"/>
  <c r="F85" i="47"/>
  <c r="E85" i="47"/>
  <c r="F84" i="47"/>
  <c r="E84" i="47"/>
  <c r="F83" i="47"/>
  <c r="E83" i="47"/>
  <c r="F82" i="47"/>
  <c r="E82" i="47"/>
  <c r="F81" i="47"/>
  <c r="E81" i="47"/>
  <c r="F80" i="47"/>
  <c r="E80" i="47"/>
  <c r="E79" i="47"/>
  <c r="E78" i="47"/>
  <c r="F77" i="47"/>
  <c r="E77" i="47"/>
  <c r="F76" i="47"/>
  <c r="E76" i="47"/>
  <c r="F75" i="47"/>
  <c r="E75" i="47"/>
  <c r="F74" i="47"/>
  <c r="E74" i="47"/>
  <c r="F73" i="47"/>
  <c r="E73" i="47"/>
  <c r="F72" i="47"/>
  <c r="E72" i="47"/>
  <c r="F71" i="47"/>
  <c r="E71" i="47"/>
  <c r="F70" i="47"/>
  <c r="E70" i="47"/>
  <c r="F69" i="47"/>
  <c r="E69" i="47"/>
  <c r="F68" i="47"/>
  <c r="E68" i="47"/>
  <c r="F67" i="47"/>
  <c r="E67" i="47"/>
  <c r="F66" i="47"/>
  <c r="E66" i="47"/>
  <c r="F65" i="47"/>
  <c r="E65" i="47"/>
  <c r="F64" i="47"/>
  <c r="E64" i="47"/>
  <c r="F63" i="47"/>
  <c r="E63" i="47"/>
  <c r="F62" i="47"/>
  <c r="E62" i="47"/>
  <c r="F61" i="47"/>
  <c r="E61" i="47"/>
  <c r="F60" i="47"/>
  <c r="E60" i="47"/>
  <c r="F59" i="47"/>
  <c r="E59" i="47"/>
  <c r="F58" i="47"/>
  <c r="E58" i="47"/>
  <c r="F57" i="47"/>
  <c r="E57" i="47"/>
  <c r="F56" i="47"/>
  <c r="E56" i="47"/>
  <c r="F55" i="47"/>
  <c r="E55" i="47"/>
  <c r="F54" i="47"/>
  <c r="E54" i="47"/>
  <c r="F53" i="47"/>
  <c r="E53" i="47"/>
  <c r="F52" i="47"/>
  <c r="E52" i="47"/>
  <c r="F51" i="47"/>
  <c r="E51" i="47"/>
  <c r="E50" i="47"/>
  <c r="E49" i="47"/>
  <c r="E48" i="47"/>
  <c r="E47" i="47"/>
  <c r="E46" i="47"/>
  <c r="F45" i="47"/>
  <c r="E45" i="47"/>
  <c r="F44" i="47"/>
  <c r="E44" i="47"/>
  <c r="F43" i="47"/>
  <c r="E43" i="47"/>
  <c r="F42" i="47"/>
  <c r="E42" i="47"/>
  <c r="F41" i="47"/>
  <c r="E41" i="47"/>
  <c r="F40" i="47"/>
  <c r="E40" i="47"/>
  <c r="F39" i="47"/>
  <c r="E39" i="47"/>
  <c r="F38" i="47"/>
  <c r="E38" i="47"/>
  <c r="F37" i="47"/>
  <c r="E37" i="47"/>
  <c r="F36" i="47"/>
  <c r="E36" i="47"/>
  <c r="F35" i="47"/>
  <c r="E35" i="47"/>
  <c r="F34" i="47"/>
  <c r="E34" i="47"/>
  <c r="F33" i="47"/>
  <c r="E33" i="47"/>
  <c r="F32" i="47"/>
  <c r="E32" i="47"/>
  <c r="F31" i="47"/>
  <c r="E31" i="47"/>
  <c r="F30" i="47"/>
  <c r="E30" i="47"/>
  <c r="F29" i="47"/>
  <c r="E29" i="47"/>
  <c r="F28" i="47"/>
  <c r="E28" i="47"/>
  <c r="F27" i="47"/>
  <c r="E27" i="47"/>
  <c r="F26" i="47"/>
  <c r="E26" i="47"/>
  <c r="F25" i="47"/>
  <c r="E25" i="47"/>
  <c r="F24" i="47"/>
  <c r="E24" i="47"/>
  <c r="F23" i="47"/>
  <c r="E23" i="47"/>
  <c r="F22" i="47"/>
  <c r="E22" i="47"/>
  <c r="F21" i="47"/>
  <c r="E21" i="47"/>
  <c r="F20" i="47"/>
  <c r="E20" i="47"/>
  <c r="F19" i="47"/>
  <c r="E19" i="47"/>
  <c r="F18" i="47"/>
  <c r="E18" i="47"/>
  <c r="E17" i="47"/>
  <c r="F16" i="47"/>
  <c r="E16" i="47"/>
  <c r="F15" i="47"/>
  <c r="E15" i="47"/>
  <c r="F14" i="47"/>
  <c r="E14" i="47"/>
  <c r="F13" i="47"/>
  <c r="E13" i="47"/>
  <c r="F12" i="47"/>
  <c r="E12" i="47"/>
  <c r="F11" i="47"/>
  <c r="E11" i="47"/>
  <c r="F10" i="47"/>
  <c r="E10" i="47"/>
  <c r="F9" i="47"/>
  <c r="E9" i="47"/>
  <c r="F8" i="47"/>
  <c r="E8" i="47"/>
  <c r="F7" i="47"/>
  <c r="E7" i="47"/>
  <c r="F6" i="47"/>
  <c r="E6" i="47"/>
  <c r="F5" i="47"/>
  <c r="E5" i="47"/>
  <c r="F4" i="47"/>
  <c r="E4" i="47"/>
  <c r="F3" i="47"/>
  <c r="G65" i="59" l="1"/>
  <c r="H65" i="59"/>
  <c r="G459" i="59"/>
  <c r="H459" i="59"/>
  <c r="G596" i="59"/>
  <c r="H596" i="59"/>
  <c r="H665" i="59"/>
  <c r="G665" i="59"/>
  <c r="G739" i="59"/>
  <c r="H739" i="59"/>
  <c r="A154" i="60"/>
  <c r="E458" i="59"/>
  <c r="E738" i="59"/>
  <c r="A741" i="59"/>
  <c r="A667" i="59"/>
  <c r="E664" i="59"/>
  <c r="E595" i="59"/>
  <c r="A598" i="59"/>
  <c r="A461" i="59"/>
  <c r="E64" i="59"/>
  <c r="A67" i="59"/>
  <c r="K22" i="6"/>
  <c r="I22" i="6"/>
  <c r="G22" i="6"/>
  <c r="K15" i="6"/>
  <c r="I15" i="6"/>
  <c r="G66" i="59" l="1"/>
  <c r="H66" i="59"/>
  <c r="G460" i="59"/>
  <c r="H460" i="59"/>
  <c r="G597" i="59"/>
  <c r="H597" i="59"/>
  <c r="G666" i="59"/>
  <c r="H666" i="59"/>
  <c r="G740" i="59"/>
  <c r="H740" i="59"/>
  <c r="A155" i="60"/>
  <c r="E65" i="59"/>
  <c r="E596" i="59"/>
  <c r="E739" i="59"/>
  <c r="E665" i="59"/>
  <c r="A742" i="59"/>
  <c r="A668" i="59"/>
  <c r="A599" i="59"/>
  <c r="E459" i="59"/>
  <c r="A462" i="59"/>
  <c r="A68" i="59"/>
  <c r="I26" i="6"/>
  <c r="I24" i="6"/>
  <c r="I23" i="6"/>
  <c r="I21" i="6"/>
  <c r="I20" i="6"/>
  <c r="I19" i="6"/>
  <c r="I18" i="6"/>
  <c r="I17" i="6"/>
  <c r="I16" i="6"/>
  <c r="I14" i="6"/>
  <c r="I13" i="6"/>
  <c r="I12" i="6"/>
  <c r="I11" i="6"/>
  <c r="I10" i="6"/>
  <c r="I9" i="6"/>
  <c r="H26" i="6"/>
  <c r="H25" i="6"/>
  <c r="H24" i="6"/>
  <c r="H23" i="6"/>
  <c r="H21" i="6"/>
  <c r="H20" i="6"/>
  <c r="H19" i="6"/>
  <c r="H18" i="6"/>
  <c r="H17" i="6"/>
  <c r="H16" i="6"/>
  <c r="H14" i="6"/>
  <c r="H13" i="6"/>
  <c r="H12" i="6"/>
  <c r="H11" i="6"/>
  <c r="H10" i="6"/>
  <c r="H9" i="6"/>
  <c r="G26" i="6"/>
  <c r="G24" i="6"/>
  <c r="G23" i="6"/>
  <c r="G21" i="6"/>
  <c r="G20" i="6"/>
  <c r="G19" i="6"/>
  <c r="G18" i="6"/>
  <c r="G17" i="6"/>
  <c r="G16" i="6"/>
  <c r="G14" i="6"/>
  <c r="G13" i="6"/>
  <c r="G11" i="6"/>
  <c r="G10" i="6"/>
  <c r="G9" i="6"/>
  <c r="F26" i="6"/>
  <c r="F25" i="6"/>
  <c r="F24" i="6"/>
  <c r="F23" i="6"/>
  <c r="F21" i="6"/>
  <c r="F20" i="6"/>
  <c r="F19" i="6"/>
  <c r="F18" i="6"/>
  <c r="F17" i="6"/>
  <c r="F16" i="6"/>
  <c r="F14" i="6"/>
  <c r="F13" i="6"/>
  <c r="F12" i="6"/>
  <c r="F11" i="6"/>
  <c r="F10" i="6"/>
  <c r="F9" i="6"/>
  <c r="K26" i="6"/>
  <c r="K24" i="6"/>
  <c r="K23" i="6"/>
  <c r="K21" i="6"/>
  <c r="K20" i="6"/>
  <c r="K19" i="6"/>
  <c r="K18" i="6"/>
  <c r="K17" i="6"/>
  <c r="K16" i="6"/>
  <c r="K14" i="6"/>
  <c r="K13" i="6"/>
  <c r="K12" i="6"/>
  <c r="K11" i="6"/>
  <c r="K10" i="6"/>
  <c r="K9" i="6"/>
  <c r="J26" i="6"/>
  <c r="J25" i="6"/>
  <c r="J24" i="6"/>
  <c r="J23" i="6"/>
  <c r="J21" i="6"/>
  <c r="J20" i="6"/>
  <c r="J19" i="6"/>
  <c r="J18" i="6"/>
  <c r="J17" i="6"/>
  <c r="J16" i="6"/>
  <c r="J14" i="6"/>
  <c r="J13" i="6"/>
  <c r="J12" i="6"/>
  <c r="J11" i="6"/>
  <c r="J10" i="6"/>
  <c r="J9" i="6"/>
  <c r="G67" i="59" l="1"/>
  <c r="H67" i="59"/>
  <c r="H461" i="59"/>
  <c r="G461" i="59"/>
  <c r="G598" i="59"/>
  <c r="H598" i="59"/>
  <c r="G667" i="59"/>
  <c r="H667" i="59"/>
  <c r="G741" i="59"/>
  <c r="H741" i="59"/>
  <c r="A156" i="60"/>
  <c r="E740" i="59"/>
  <c r="E460" i="59"/>
  <c r="E66" i="59"/>
  <c r="E666" i="59"/>
  <c r="A743" i="59"/>
  <c r="A669" i="59"/>
  <c r="E597" i="59"/>
  <c r="A600" i="59"/>
  <c r="A463" i="59"/>
  <c r="A69" i="59"/>
  <c r="C42" i="44"/>
  <c r="G68" i="59" l="1"/>
  <c r="H68" i="59"/>
  <c r="G462" i="59"/>
  <c r="H462" i="59"/>
  <c r="G599" i="59"/>
  <c r="H599" i="59"/>
  <c r="G668" i="59"/>
  <c r="H668" i="59"/>
  <c r="G742" i="59"/>
  <c r="H742" i="59"/>
  <c r="A157" i="60"/>
  <c r="E667" i="59"/>
  <c r="E598" i="59"/>
  <c r="E741" i="59"/>
  <c r="A744" i="59"/>
  <c r="A670" i="59"/>
  <c r="A601" i="59"/>
  <c r="E461" i="59"/>
  <c r="A464" i="59"/>
  <c r="E67" i="59"/>
  <c r="A70" i="59"/>
  <c r="C36" i="44"/>
  <c r="C44" i="44"/>
  <c r="C35" i="44"/>
  <c r="C43" i="44"/>
  <c r="C37" i="44"/>
  <c r="C38" i="44"/>
  <c r="C34" i="44"/>
  <c r="C41" i="44"/>
  <c r="C45" i="44"/>
  <c r="C39" i="44"/>
  <c r="C40" i="44"/>
  <c r="D46" i="44"/>
  <c r="G69" i="59" l="1"/>
  <c r="H69" i="59"/>
  <c r="G463" i="59"/>
  <c r="H463" i="59"/>
  <c r="G600" i="59"/>
  <c r="H600" i="59"/>
  <c r="G669" i="59"/>
  <c r="H669" i="59"/>
  <c r="G743" i="59"/>
  <c r="H743" i="59"/>
  <c r="A158" i="60"/>
  <c r="E599" i="59"/>
  <c r="E668" i="59"/>
  <c r="E462" i="59"/>
  <c r="E68" i="59"/>
  <c r="E742" i="59"/>
  <c r="A745" i="59"/>
  <c r="A671" i="59"/>
  <c r="A602" i="59"/>
  <c r="A465" i="59"/>
  <c r="A71" i="59"/>
  <c r="F34" i="44"/>
  <c r="F33" i="44"/>
  <c r="G70" i="59" l="1"/>
  <c r="H70" i="59"/>
  <c r="G464" i="59"/>
  <c r="H464" i="59"/>
  <c r="G601" i="59"/>
  <c r="H601" i="59"/>
  <c r="G670" i="59"/>
  <c r="H670" i="59"/>
  <c r="G744" i="59"/>
  <c r="H744" i="59"/>
  <c r="E463" i="59"/>
  <c r="E69" i="59"/>
  <c r="A159" i="60"/>
  <c r="E743" i="59"/>
  <c r="E669" i="59"/>
  <c r="A746" i="59"/>
  <c r="A672" i="59"/>
  <c r="E600" i="59"/>
  <c r="A603" i="59"/>
  <c r="A466" i="59"/>
  <c r="A72" i="59"/>
  <c r="G71" i="59" l="1"/>
  <c r="H71" i="59"/>
  <c r="H465" i="59"/>
  <c r="G465" i="59"/>
  <c r="G602" i="59"/>
  <c r="H602" i="59"/>
  <c r="G603" i="59"/>
  <c r="H603" i="59"/>
  <c r="G671" i="59"/>
  <c r="H671" i="59"/>
  <c r="G745" i="59"/>
  <c r="H745" i="59"/>
  <c r="E70" i="59"/>
  <c r="A160" i="60"/>
  <c r="E744" i="59"/>
  <c r="E601" i="59"/>
  <c r="E670" i="59"/>
  <c r="A747" i="59"/>
  <c r="A673" i="59"/>
  <c r="A467" i="59"/>
  <c r="E464" i="59"/>
  <c r="A73" i="59"/>
  <c r="G72" i="59" l="1"/>
  <c r="H72" i="59"/>
  <c r="G466" i="59"/>
  <c r="H466" i="59"/>
  <c r="G672" i="59"/>
  <c r="H672" i="59"/>
  <c r="G746" i="59"/>
  <c r="A161" i="60"/>
  <c r="E745" i="59"/>
  <c r="E602" i="59"/>
  <c r="E465" i="59"/>
  <c r="E71" i="59"/>
  <c r="H746" i="59"/>
  <c r="A748" i="59"/>
  <c r="G747" i="59"/>
  <c r="A674" i="59"/>
  <c r="F673" i="59"/>
  <c r="E671" i="59"/>
  <c r="E603" i="59"/>
  <c r="A468" i="59"/>
  <c r="A74" i="59"/>
  <c r="F7" i="15"/>
  <c r="G73" i="59" l="1"/>
  <c r="H73" i="59"/>
  <c r="G467" i="59"/>
  <c r="H467" i="59"/>
  <c r="G673" i="59"/>
  <c r="H673" i="59"/>
  <c r="H747" i="59"/>
  <c r="A162" i="60"/>
  <c r="E672" i="59"/>
  <c r="E746" i="59"/>
  <c r="G748" i="59"/>
  <c r="A749" i="59"/>
  <c r="A675" i="59"/>
  <c r="E466" i="59"/>
  <c r="A469" i="59"/>
  <c r="E72" i="59"/>
  <c r="A75" i="59"/>
  <c r="B186" i="48"/>
  <c r="B157" i="48"/>
  <c r="B158" i="48"/>
  <c r="B159" i="48"/>
  <c r="B160" i="48"/>
  <c r="B161" i="48"/>
  <c r="B162" i="48"/>
  <c r="B163" i="48"/>
  <c r="B164" i="48"/>
  <c r="B165" i="48"/>
  <c r="B166" i="48"/>
  <c r="B167" i="48"/>
  <c r="B168" i="48"/>
  <c r="B169" i="48"/>
  <c r="B170" i="48"/>
  <c r="B171" i="48"/>
  <c r="B172" i="48"/>
  <c r="B173" i="48"/>
  <c r="B174" i="48"/>
  <c r="B175" i="48"/>
  <c r="B176" i="48"/>
  <c r="B177" i="48"/>
  <c r="B178" i="48"/>
  <c r="B179" i="48"/>
  <c r="B180" i="48"/>
  <c r="B181" i="48"/>
  <c r="B182" i="48"/>
  <c r="B183" i="48"/>
  <c r="B184" i="48"/>
  <c r="B185" i="48"/>
  <c r="B156" i="48"/>
  <c r="C157" i="48"/>
  <c r="C158" i="48"/>
  <c r="C159" i="48"/>
  <c r="C160" i="48"/>
  <c r="C161" i="48"/>
  <c r="C162" i="48"/>
  <c r="C163" i="48"/>
  <c r="C164" i="48"/>
  <c r="C165" i="48"/>
  <c r="C166" i="48"/>
  <c r="C167" i="48"/>
  <c r="C168" i="48"/>
  <c r="C169" i="48"/>
  <c r="C170" i="48"/>
  <c r="C171" i="48"/>
  <c r="C172" i="48"/>
  <c r="C173" i="48"/>
  <c r="C174" i="48"/>
  <c r="C175" i="48"/>
  <c r="C176" i="48"/>
  <c r="C177" i="48"/>
  <c r="C178" i="48"/>
  <c r="C179" i="48"/>
  <c r="C180" i="48"/>
  <c r="C181" i="48"/>
  <c r="C182" i="48"/>
  <c r="C183" i="48"/>
  <c r="C184" i="48"/>
  <c r="C185" i="48"/>
  <c r="C186" i="48"/>
  <c r="C156" i="48"/>
  <c r="G74" i="59" l="1"/>
  <c r="H74" i="59"/>
  <c r="G468" i="59"/>
  <c r="H468" i="59"/>
  <c r="G674" i="59"/>
  <c r="H674" i="59"/>
  <c r="H748" i="59"/>
  <c r="A163" i="60"/>
  <c r="E467" i="59"/>
  <c r="E747" i="59"/>
  <c r="A750" i="59"/>
  <c r="G749" i="59"/>
  <c r="A676" i="59"/>
  <c r="E673" i="59"/>
  <c r="A470" i="59"/>
  <c r="A76" i="59"/>
  <c r="E73" i="59"/>
  <c r="J5" i="49"/>
  <c r="J6" i="49"/>
  <c r="J7" i="49"/>
  <c r="J8" i="49"/>
  <c r="J9" i="49"/>
  <c r="J10" i="49"/>
  <c r="J11" i="49"/>
  <c r="J12" i="49"/>
  <c r="J13" i="49"/>
  <c r="J14" i="49"/>
  <c r="J15" i="49"/>
  <c r="J16" i="49"/>
  <c r="J17" i="49"/>
  <c r="J19" i="49"/>
  <c r="J20" i="49"/>
  <c r="J21" i="49"/>
  <c r="J22" i="49"/>
  <c r="J23" i="49"/>
  <c r="J24" i="49"/>
  <c r="J25" i="49"/>
  <c r="J26" i="49"/>
  <c r="J27" i="49"/>
  <c r="J28" i="49"/>
  <c r="J29" i="49"/>
  <c r="J30" i="49"/>
  <c r="J31" i="49"/>
  <c r="J32" i="49"/>
  <c r="J33" i="49"/>
  <c r="J34" i="49"/>
  <c r="J35" i="49"/>
  <c r="J36" i="49"/>
  <c r="J37" i="49"/>
  <c r="J38" i="49"/>
  <c r="J39" i="49"/>
  <c r="J40" i="49"/>
  <c r="J41" i="49"/>
  <c r="J42" i="49"/>
  <c r="J43" i="49"/>
  <c r="J44" i="49"/>
  <c r="J45" i="49"/>
  <c r="J47" i="49"/>
  <c r="J50" i="49"/>
  <c r="J51" i="49"/>
  <c r="J52" i="49"/>
  <c r="J53" i="49"/>
  <c r="J54" i="49"/>
  <c r="J55" i="49"/>
  <c r="J56" i="49"/>
  <c r="J57" i="49"/>
  <c r="J58" i="49"/>
  <c r="J59" i="49"/>
  <c r="J60" i="49"/>
  <c r="J61" i="49"/>
  <c r="J62" i="49"/>
  <c r="J63" i="49"/>
  <c r="J64" i="49"/>
  <c r="J65" i="49"/>
  <c r="J66" i="49"/>
  <c r="J67" i="49"/>
  <c r="J68" i="49"/>
  <c r="J69" i="49"/>
  <c r="J70" i="49"/>
  <c r="J71" i="49"/>
  <c r="J72" i="49"/>
  <c r="J73" i="49"/>
  <c r="J74" i="49"/>
  <c r="J75" i="49"/>
  <c r="J76" i="49"/>
  <c r="J78" i="49"/>
  <c r="J81" i="49"/>
  <c r="J82" i="49"/>
  <c r="J83" i="49"/>
  <c r="J84" i="49"/>
  <c r="J85" i="49"/>
  <c r="J86" i="49"/>
  <c r="J87" i="49"/>
  <c r="J88" i="49"/>
  <c r="J89" i="49"/>
  <c r="J90" i="49"/>
  <c r="J91" i="49"/>
  <c r="J92" i="49"/>
  <c r="J93" i="49"/>
  <c r="J94" i="49"/>
  <c r="J95" i="49"/>
  <c r="J96" i="49"/>
  <c r="J97" i="49"/>
  <c r="J98" i="49"/>
  <c r="J99" i="49"/>
  <c r="J100" i="49"/>
  <c r="J101" i="49"/>
  <c r="J102" i="49"/>
  <c r="J103" i="49"/>
  <c r="J104" i="49"/>
  <c r="J105" i="49"/>
  <c r="J106" i="49"/>
  <c r="J111" i="49"/>
  <c r="J112" i="49"/>
  <c r="J113" i="49"/>
  <c r="J114" i="49"/>
  <c r="J115" i="49"/>
  <c r="J116" i="49"/>
  <c r="J117" i="49"/>
  <c r="J118" i="49"/>
  <c r="J119" i="49"/>
  <c r="J120" i="49"/>
  <c r="J121" i="49"/>
  <c r="J122" i="49"/>
  <c r="J123" i="49"/>
  <c r="J124" i="49"/>
  <c r="J125" i="49"/>
  <c r="J126" i="49"/>
  <c r="J127" i="49"/>
  <c r="J128" i="49"/>
  <c r="J129" i="49"/>
  <c r="J130" i="49"/>
  <c r="J131" i="49"/>
  <c r="J132" i="49"/>
  <c r="J133" i="49"/>
  <c r="J134" i="49"/>
  <c r="J135" i="49"/>
  <c r="J136" i="49"/>
  <c r="J137" i="49"/>
  <c r="J142" i="49"/>
  <c r="J143" i="49"/>
  <c r="J144" i="49"/>
  <c r="J145" i="49"/>
  <c r="J146" i="49"/>
  <c r="J147" i="49"/>
  <c r="J148" i="49"/>
  <c r="J149" i="49"/>
  <c r="J150" i="49"/>
  <c r="J151" i="49"/>
  <c r="J152" i="49"/>
  <c r="J153" i="49"/>
  <c r="J154" i="49"/>
  <c r="J155" i="49"/>
  <c r="J156" i="49"/>
  <c r="J157" i="49"/>
  <c r="J158" i="49"/>
  <c r="J159" i="49"/>
  <c r="J160" i="49"/>
  <c r="J161" i="49"/>
  <c r="J162" i="49"/>
  <c r="J163" i="49"/>
  <c r="J164" i="49"/>
  <c r="J165" i="49"/>
  <c r="J166" i="49"/>
  <c r="J167" i="49"/>
  <c r="J170" i="49"/>
  <c r="J172" i="49"/>
  <c r="J173" i="49"/>
  <c r="J174" i="49"/>
  <c r="J175" i="49"/>
  <c r="J176" i="49"/>
  <c r="J177" i="49"/>
  <c r="J178" i="49"/>
  <c r="J179" i="49"/>
  <c r="J180" i="49"/>
  <c r="J181" i="49"/>
  <c r="J182" i="49"/>
  <c r="J183" i="49"/>
  <c r="J184" i="49"/>
  <c r="J185" i="49"/>
  <c r="J186" i="49"/>
  <c r="J187" i="49"/>
  <c r="J188" i="49"/>
  <c r="J189" i="49"/>
  <c r="J190" i="49"/>
  <c r="J191" i="49"/>
  <c r="J192" i="49"/>
  <c r="J193" i="49"/>
  <c r="J194" i="49"/>
  <c r="J195" i="49"/>
  <c r="J196" i="49"/>
  <c r="J197" i="49"/>
  <c r="J198" i="49"/>
  <c r="J201" i="49"/>
  <c r="J203" i="49"/>
  <c r="J204" i="49"/>
  <c r="J205" i="49"/>
  <c r="J206" i="49"/>
  <c r="J207" i="49"/>
  <c r="J208" i="49"/>
  <c r="J209" i="49"/>
  <c r="J210" i="49"/>
  <c r="J211" i="49"/>
  <c r="J212" i="49"/>
  <c r="J213" i="49"/>
  <c r="J214" i="49"/>
  <c r="J215" i="49"/>
  <c r="J216" i="49"/>
  <c r="J217" i="49"/>
  <c r="J218" i="49"/>
  <c r="J219" i="49"/>
  <c r="J220" i="49"/>
  <c r="J221" i="49"/>
  <c r="J222" i="49"/>
  <c r="J223" i="49"/>
  <c r="J224" i="49"/>
  <c r="J225" i="49"/>
  <c r="J226" i="49"/>
  <c r="J227" i="49"/>
  <c r="J228" i="49"/>
  <c r="J229" i="49"/>
  <c r="J231" i="49"/>
  <c r="J233" i="49"/>
  <c r="J234" i="49"/>
  <c r="J235" i="49"/>
  <c r="J236" i="49"/>
  <c r="J237" i="49"/>
  <c r="J238" i="49"/>
  <c r="J239" i="49"/>
  <c r="J240" i="49"/>
  <c r="J241" i="49"/>
  <c r="J242" i="49"/>
  <c r="J243" i="49"/>
  <c r="J244" i="49"/>
  <c r="J245" i="49"/>
  <c r="J246" i="49"/>
  <c r="J247" i="49"/>
  <c r="J248" i="49"/>
  <c r="J249" i="49"/>
  <c r="J250" i="49"/>
  <c r="J251" i="49"/>
  <c r="J252" i="49"/>
  <c r="J253" i="49"/>
  <c r="J254" i="49"/>
  <c r="J255" i="49"/>
  <c r="J256" i="49"/>
  <c r="J257" i="49"/>
  <c r="J258" i="49"/>
  <c r="J259" i="49"/>
  <c r="J262" i="49"/>
  <c r="J264" i="49"/>
  <c r="J265" i="49"/>
  <c r="J266" i="49"/>
  <c r="J267" i="49"/>
  <c r="J268" i="49"/>
  <c r="J269" i="49"/>
  <c r="J270" i="49"/>
  <c r="J271" i="49"/>
  <c r="J272" i="49"/>
  <c r="J273" i="49"/>
  <c r="J274" i="49"/>
  <c r="J275" i="49"/>
  <c r="J276" i="49"/>
  <c r="J277" i="49"/>
  <c r="J278" i="49"/>
  <c r="J279" i="49"/>
  <c r="J280" i="49"/>
  <c r="J281" i="49"/>
  <c r="J282" i="49"/>
  <c r="J283" i="49"/>
  <c r="J284" i="49"/>
  <c r="J285" i="49"/>
  <c r="J286" i="49"/>
  <c r="J287" i="49"/>
  <c r="J288" i="49"/>
  <c r="J289" i="49"/>
  <c r="J290" i="49"/>
  <c r="J294" i="49"/>
  <c r="J295" i="49"/>
  <c r="J296" i="49"/>
  <c r="J297" i="49"/>
  <c r="J298" i="49"/>
  <c r="J299" i="49"/>
  <c r="J300" i="49"/>
  <c r="J301" i="49"/>
  <c r="J302" i="49"/>
  <c r="J303" i="49"/>
  <c r="J304" i="49"/>
  <c r="J305" i="49"/>
  <c r="J306" i="49"/>
  <c r="J307" i="49"/>
  <c r="J308" i="49"/>
  <c r="J309" i="49"/>
  <c r="J310" i="49"/>
  <c r="J311" i="49"/>
  <c r="J312" i="49"/>
  <c r="J313" i="49"/>
  <c r="J314" i="49"/>
  <c r="J315" i="49"/>
  <c r="J316" i="49"/>
  <c r="J317" i="49"/>
  <c r="J318" i="49"/>
  <c r="J319" i="49"/>
  <c r="J320" i="49"/>
  <c r="J323" i="49"/>
  <c r="J325" i="49"/>
  <c r="J326" i="49"/>
  <c r="J327" i="49"/>
  <c r="J328" i="49"/>
  <c r="J329" i="49"/>
  <c r="J330" i="49"/>
  <c r="J331" i="49"/>
  <c r="J332" i="49"/>
  <c r="J333" i="49"/>
  <c r="J334" i="49"/>
  <c r="J335" i="49"/>
  <c r="J336" i="49"/>
  <c r="J337" i="49"/>
  <c r="J338" i="49"/>
  <c r="J339" i="49"/>
  <c r="J340" i="49"/>
  <c r="J341" i="49"/>
  <c r="J342" i="49"/>
  <c r="J343" i="49"/>
  <c r="J344" i="49"/>
  <c r="J345" i="49"/>
  <c r="J346" i="49"/>
  <c r="J347" i="49"/>
  <c r="J348" i="49"/>
  <c r="J349" i="49"/>
  <c r="J350" i="49"/>
  <c r="J351" i="49"/>
  <c r="J354" i="49"/>
  <c r="J356" i="49"/>
  <c r="J357" i="49"/>
  <c r="J358" i="49"/>
  <c r="J359" i="49"/>
  <c r="J360" i="49"/>
  <c r="J361" i="49"/>
  <c r="J362" i="49"/>
  <c r="J363" i="49"/>
  <c r="J364" i="49"/>
  <c r="J365" i="49"/>
  <c r="J366" i="49"/>
  <c r="J367" i="49"/>
  <c r="J368" i="49"/>
  <c r="J369" i="49"/>
  <c r="J370" i="49"/>
  <c r="J371" i="49"/>
  <c r="J372" i="49"/>
  <c r="J373" i="49"/>
  <c r="J374" i="49"/>
  <c r="J375" i="49"/>
  <c r="J376" i="49"/>
  <c r="J377" i="49"/>
  <c r="J378" i="49"/>
  <c r="J379" i="49"/>
  <c r="J380" i="49"/>
  <c r="J381" i="49"/>
  <c r="J382" i="49"/>
  <c r="J384" i="49"/>
  <c r="J385" i="49"/>
  <c r="J386" i="49"/>
  <c r="J387" i="49"/>
  <c r="J388" i="49"/>
  <c r="J389" i="49"/>
  <c r="J390" i="49"/>
  <c r="J391" i="49"/>
  <c r="J392" i="49"/>
  <c r="J393" i="49"/>
  <c r="J394" i="49"/>
  <c r="J395" i="49"/>
  <c r="J396" i="49"/>
  <c r="J397" i="49"/>
  <c r="J398" i="49"/>
  <c r="J763" i="49"/>
  <c r="J4" i="49"/>
  <c r="K4" i="49" s="1"/>
  <c r="G75" i="59" l="1"/>
  <c r="G469" i="59"/>
  <c r="H469" i="59"/>
  <c r="G675" i="59"/>
  <c r="H675" i="59"/>
  <c r="H749" i="59"/>
  <c r="A164" i="60"/>
  <c r="E674" i="59"/>
  <c r="E74" i="59"/>
  <c r="E468" i="59"/>
  <c r="E748" i="59"/>
  <c r="A751" i="59"/>
  <c r="G750" i="59"/>
  <c r="A677" i="59"/>
  <c r="A471" i="59"/>
  <c r="H75" i="59"/>
  <c r="A77" i="59"/>
  <c r="D130" i="48"/>
  <c r="E130" i="48"/>
  <c r="F130" i="48"/>
  <c r="G130" i="48"/>
  <c r="H130" i="48"/>
  <c r="I130" i="48"/>
  <c r="J130" i="48"/>
  <c r="K130" i="48"/>
  <c r="L130" i="48"/>
  <c r="M130" i="48"/>
  <c r="N130" i="48"/>
  <c r="O130" i="48"/>
  <c r="C130" i="48"/>
  <c r="C43" i="48"/>
  <c r="Z197" i="48"/>
  <c r="Y197" i="48"/>
  <c r="X197" i="48"/>
  <c r="W197" i="48"/>
  <c r="V197" i="48"/>
  <c r="U197" i="48"/>
  <c r="T197" i="48"/>
  <c r="S197" i="48"/>
  <c r="R197" i="48"/>
  <c r="Q197" i="48"/>
  <c r="P197" i="48"/>
  <c r="O197" i="48"/>
  <c r="N197" i="48"/>
  <c r="M197" i="48"/>
  <c r="L197" i="48"/>
  <c r="K197" i="48"/>
  <c r="J197" i="48"/>
  <c r="I197" i="48"/>
  <c r="H197" i="48"/>
  <c r="G197" i="48"/>
  <c r="F197" i="48"/>
  <c r="E197" i="48"/>
  <c r="D197" i="48"/>
  <c r="C197" i="48"/>
  <c r="AA194" i="48"/>
  <c r="AA193" i="48"/>
  <c r="F51" i="48"/>
  <c r="F35" i="48"/>
  <c r="G76" i="59" l="1"/>
  <c r="H76" i="59"/>
  <c r="G470" i="59"/>
  <c r="G677" i="59"/>
  <c r="H677" i="59"/>
  <c r="G676" i="59"/>
  <c r="H676" i="59"/>
  <c r="H750" i="59"/>
  <c r="A165" i="60"/>
  <c r="E749" i="59"/>
  <c r="E675" i="59"/>
  <c r="G751" i="59"/>
  <c r="A752" i="59"/>
  <c r="E469" i="59"/>
  <c r="H470" i="59"/>
  <c r="A472" i="59"/>
  <c r="E75" i="59"/>
  <c r="A78" i="59"/>
  <c r="AA197" i="48"/>
  <c r="C64" i="48"/>
  <c r="C63" i="48"/>
  <c r="C62" i="48"/>
  <c r="C61" i="48"/>
  <c r="C60" i="48"/>
  <c r="C59" i="48"/>
  <c r="C58" i="48"/>
  <c r="C56" i="48"/>
  <c r="C55" i="48"/>
  <c r="C54" i="48"/>
  <c r="C53" i="48"/>
  <c r="C48" i="48"/>
  <c r="C47" i="48"/>
  <c r="C46" i="48"/>
  <c r="C45" i="48"/>
  <c r="C44" i="48"/>
  <c r="C42" i="48"/>
  <c r="C40" i="48"/>
  <c r="C38" i="48"/>
  <c r="C37" i="48"/>
  <c r="G77" i="59" l="1"/>
  <c r="G471" i="59"/>
  <c r="H751" i="59"/>
  <c r="A166" i="60"/>
  <c r="E750" i="59"/>
  <c r="A753" i="59"/>
  <c r="G752" i="59"/>
  <c r="E676" i="59"/>
  <c r="E677" i="59"/>
  <c r="H471" i="59"/>
  <c r="A473" i="59"/>
  <c r="E470" i="59"/>
  <c r="E76" i="59"/>
  <c r="H77" i="59"/>
  <c r="A79" i="59"/>
  <c r="F54" i="48"/>
  <c r="F38" i="48"/>
  <c r="C41" i="48"/>
  <c r="F37" i="48" s="1"/>
  <c r="C57" i="48"/>
  <c r="C65" i="48" s="1"/>
  <c r="G78" i="59" l="1"/>
  <c r="G472" i="59"/>
  <c r="H472" i="59"/>
  <c r="H752" i="59"/>
  <c r="A167" i="60"/>
  <c r="E751" i="59"/>
  <c r="A754" i="59"/>
  <c r="G753" i="59"/>
  <c r="A474" i="59"/>
  <c r="E471" i="59"/>
  <c r="A80" i="59"/>
  <c r="E77" i="59"/>
  <c r="H78" i="59"/>
  <c r="C49" i="48"/>
  <c r="F53" i="48"/>
  <c r="C5" i="48"/>
  <c r="G79" i="59" l="1"/>
  <c r="H79" i="59"/>
  <c r="G473" i="59"/>
  <c r="H753" i="59"/>
  <c r="A168" i="60"/>
  <c r="E752" i="59"/>
  <c r="A755" i="59"/>
  <c r="G754" i="59"/>
  <c r="H473" i="59"/>
  <c r="A475" i="59"/>
  <c r="E472" i="59"/>
  <c r="A81" i="59"/>
  <c r="E78" i="59"/>
  <c r="F396" i="49"/>
  <c r="E396" i="49"/>
  <c r="F395" i="49"/>
  <c r="E395" i="49"/>
  <c r="F394" i="49"/>
  <c r="E394" i="49"/>
  <c r="F393" i="49"/>
  <c r="E393" i="49"/>
  <c r="F392" i="49"/>
  <c r="E392" i="49"/>
  <c r="F391" i="49"/>
  <c r="E391" i="49"/>
  <c r="F390" i="49"/>
  <c r="E390" i="49"/>
  <c r="F389" i="49"/>
  <c r="E389" i="49"/>
  <c r="F388" i="49"/>
  <c r="E388" i="49"/>
  <c r="F387" i="49"/>
  <c r="E387" i="49"/>
  <c r="F386" i="49"/>
  <c r="E386" i="49"/>
  <c r="F385" i="49"/>
  <c r="E385" i="49"/>
  <c r="F384" i="49"/>
  <c r="E384" i="49"/>
  <c r="F383" i="49"/>
  <c r="E383" i="49"/>
  <c r="F382" i="49"/>
  <c r="E382" i="49"/>
  <c r="F381" i="49"/>
  <c r="E381" i="49"/>
  <c r="F380" i="49"/>
  <c r="E380" i="49"/>
  <c r="F379" i="49"/>
  <c r="E379" i="49"/>
  <c r="F378" i="49"/>
  <c r="E378" i="49"/>
  <c r="F377" i="49"/>
  <c r="E377" i="49"/>
  <c r="F376" i="49"/>
  <c r="E376" i="49"/>
  <c r="F375" i="49"/>
  <c r="E375" i="49"/>
  <c r="F374" i="49"/>
  <c r="E374" i="49"/>
  <c r="F373" i="49"/>
  <c r="E373" i="49"/>
  <c r="F372" i="49"/>
  <c r="E372" i="49"/>
  <c r="F371" i="49"/>
  <c r="E371" i="49"/>
  <c r="F370" i="49"/>
  <c r="E370" i="49"/>
  <c r="F369" i="49"/>
  <c r="E369" i="49"/>
  <c r="F368" i="49"/>
  <c r="E368" i="49"/>
  <c r="F367" i="49"/>
  <c r="E367" i="49"/>
  <c r="F366" i="49"/>
  <c r="E366" i="49"/>
  <c r="F365" i="49"/>
  <c r="E365" i="49"/>
  <c r="F364" i="49"/>
  <c r="E364" i="49"/>
  <c r="F363" i="49"/>
  <c r="E363" i="49"/>
  <c r="F362" i="49"/>
  <c r="E362" i="49"/>
  <c r="F361" i="49"/>
  <c r="E361" i="49"/>
  <c r="F360" i="49"/>
  <c r="E360" i="49"/>
  <c r="F359" i="49"/>
  <c r="E359" i="49"/>
  <c r="F358" i="49"/>
  <c r="E358" i="49"/>
  <c r="F357" i="49"/>
  <c r="E357" i="49"/>
  <c r="F356" i="49"/>
  <c r="E356" i="49"/>
  <c r="E355" i="49"/>
  <c r="F354" i="49"/>
  <c r="E354" i="49"/>
  <c r="E353" i="49"/>
  <c r="F352" i="49"/>
  <c r="E352" i="49"/>
  <c r="F351" i="49"/>
  <c r="E351" i="49"/>
  <c r="F350" i="49"/>
  <c r="E350" i="49"/>
  <c r="F349" i="49"/>
  <c r="E349" i="49"/>
  <c r="F348" i="49"/>
  <c r="E348" i="49"/>
  <c r="F347" i="49"/>
  <c r="E347" i="49"/>
  <c r="F346" i="49"/>
  <c r="E346" i="49"/>
  <c r="F345" i="49"/>
  <c r="E345" i="49"/>
  <c r="F344" i="49"/>
  <c r="E344" i="49"/>
  <c r="F343" i="49"/>
  <c r="E343" i="49"/>
  <c r="F342" i="49"/>
  <c r="E342" i="49"/>
  <c r="F341" i="49"/>
  <c r="E341" i="49"/>
  <c r="F340" i="49"/>
  <c r="E340" i="49"/>
  <c r="F339" i="49"/>
  <c r="E339" i="49"/>
  <c r="F338" i="49"/>
  <c r="E338" i="49"/>
  <c r="F337" i="49"/>
  <c r="E337" i="49"/>
  <c r="F336" i="49"/>
  <c r="E336" i="49"/>
  <c r="F335" i="49"/>
  <c r="E335" i="49"/>
  <c r="F334" i="49"/>
  <c r="E334" i="49"/>
  <c r="F333" i="49"/>
  <c r="E333" i="49"/>
  <c r="F332" i="49"/>
  <c r="E332" i="49"/>
  <c r="F331" i="49"/>
  <c r="E331" i="49"/>
  <c r="F330" i="49"/>
  <c r="E330" i="49"/>
  <c r="F329" i="49"/>
  <c r="E329" i="49"/>
  <c r="F328" i="49"/>
  <c r="E328" i="49"/>
  <c r="F327" i="49"/>
  <c r="E327" i="49"/>
  <c r="F326" i="49"/>
  <c r="E326" i="49"/>
  <c r="F325" i="49"/>
  <c r="E325" i="49"/>
  <c r="E324" i="49"/>
  <c r="F323" i="49"/>
  <c r="E323" i="49"/>
  <c r="F322" i="49"/>
  <c r="E322" i="49"/>
  <c r="E321" i="49"/>
  <c r="F320" i="49"/>
  <c r="E320" i="49"/>
  <c r="F319" i="49"/>
  <c r="E319" i="49"/>
  <c r="F318" i="49"/>
  <c r="E318" i="49"/>
  <c r="F317" i="49"/>
  <c r="E317" i="49"/>
  <c r="F316" i="49"/>
  <c r="E316" i="49"/>
  <c r="F315" i="49"/>
  <c r="E315" i="49"/>
  <c r="F314" i="49"/>
  <c r="E314" i="49"/>
  <c r="F313" i="49"/>
  <c r="E313" i="49"/>
  <c r="F312" i="49"/>
  <c r="E312" i="49"/>
  <c r="F311" i="49"/>
  <c r="E311" i="49"/>
  <c r="F310" i="49"/>
  <c r="E310" i="49"/>
  <c r="F309" i="49"/>
  <c r="E309" i="49"/>
  <c r="F308" i="49"/>
  <c r="E308" i="49"/>
  <c r="F307" i="49"/>
  <c r="E307" i="49"/>
  <c r="F306" i="49"/>
  <c r="E306" i="49"/>
  <c r="F305" i="49"/>
  <c r="E305" i="49"/>
  <c r="F304" i="49"/>
  <c r="E304" i="49"/>
  <c r="F303" i="49"/>
  <c r="E303" i="49"/>
  <c r="F302" i="49"/>
  <c r="E302" i="49"/>
  <c r="F301" i="49"/>
  <c r="E301" i="49"/>
  <c r="F300" i="49"/>
  <c r="E300" i="49"/>
  <c r="F299" i="49"/>
  <c r="E299" i="49"/>
  <c r="F298" i="49"/>
  <c r="E298" i="49"/>
  <c r="F297" i="49"/>
  <c r="E297" i="49"/>
  <c r="F296" i="49"/>
  <c r="E296" i="49"/>
  <c r="F295" i="49"/>
  <c r="E295" i="49"/>
  <c r="F294" i="49"/>
  <c r="E294" i="49"/>
  <c r="E293" i="49"/>
  <c r="E292" i="49"/>
  <c r="F291" i="49"/>
  <c r="E291" i="49"/>
  <c r="F290" i="49"/>
  <c r="E290" i="49"/>
  <c r="F289" i="49"/>
  <c r="E289" i="49"/>
  <c r="F288" i="49"/>
  <c r="E288" i="49"/>
  <c r="F287" i="49"/>
  <c r="E287" i="49"/>
  <c r="F286" i="49"/>
  <c r="E286" i="49"/>
  <c r="F285" i="49"/>
  <c r="E285" i="49"/>
  <c r="F284" i="49"/>
  <c r="E284" i="49"/>
  <c r="F283" i="49"/>
  <c r="E283" i="49"/>
  <c r="F282" i="49"/>
  <c r="E282" i="49"/>
  <c r="F281" i="49"/>
  <c r="E281" i="49"/>
  <c r="F280" i="49"/>
  <c r="E280" i="49"/>
  <c r="F279" i="49"/>
  <c r="E279" i="49"/>
  <c r="F278" i="49"/>
  <c r="E278" i="49"/>
  <c r="F277" i="49"/>
  <c r="E277" i="49"/>
  <c r="F276" i="49"/>
  <c r="E276" i="49"/>
  <c r="F275" i="49"/>
  <c r="E275" i="49"/>
  <c r="F274" i="49"/>
  <c r="E274" i="49"/>
  <c r="F273" i="49"/>
  <c r="E273" i="49"/>
  <c r="F272" i="49"/>
  <c r="E272" i="49"/>
  <c r="F271" i="49"/>
  <c r="E271" i="49"/>
  <c r="F270" i="49"/>
  <c r="E270" i="49"/>
  <c r="F269" i="49"/>
  <c r="E269" i="49"/>
  <c r="F268" i="49"/>
  <c r="E268" i="49"/>
  <c r="F267" i="49"/>
  <c r="E267" i="49"/>
  <c r="F266" i="49"/>
  <c r="E266" i="49"/>
  <c r="F265" i="49"/>
  <c r="E265" i="49"/>
  <c r="F264" i="49"/>
  <c r="E264" i="49"/>
  <c r="E263" i="49"/>
  <c r="F262" i="49"/>
  <c r="E262" i="49"/>
  <c r="F261" i="49"/>
  <c r="E261" i="49"/>
  <c r="E260" i="49"/>
  <c r="F259" i="49"/>
  <c r="E259" i="49"/>
  <c r="F258" i="49"/>
  <c r="E258" i="49"/>
  <c r="F257" i="49"/>
  <c r="E257" i="49"/>
  <c r="F256" i="49"/>
  <c r="E256" i="49"/>
  <c r="F255" i="49"/>
  <c r="E255" i="49"/>
  <c r="F254" i="49"/>
  <c r="E254" i="49"/>
  <c r="F253" i="49"/>
  <c r="E253" i="49"/>
  <c r="F252" i="49"/>
  <c r="E252" i="49"/>
  <c r="F251" i="49"/>
  <c r="E251" i="49"/>
  <c r="F250" i="49"/>
  <c r="E250" i="49"/>
  <c r="F249" i="49"/>
  <c r="E249" i="49"/>
  <c r="F248" i="49"/>
  <c r="E248" i="49"/>
  <c r="F247" i="49"/>
  <c r="E247" i="49"/>
  <c r="F246" i="49"/>
  <c r="E246" i="49"/>
  <c r="F245" i="49"/>
  <c r="E245" i="49"/>
  <c r="F244" i="49"/>
  <c r="E244" i="49"/>
  <c r="F243" i="49"/>
  <c r="E243" i="49"/>
  <c r="F242" i="49"/>
  <c r="E242" i="49"/>
  <c r="F241" i="49"/>
  <c r="E241" i="49"/>
  <c r="F240" i="49"/>
  <c r="E240" i="49"/>
  <c r="F239" i="49"/>
  <c r="E239" i="49"/>
  <c r="F238" i="49"/>
  <c r="E238" i="49"/>
  <c r="F237" i="49"/>
  <c r="E237" i="49"/>
  <c r="F236" i="49"/>
  <c r="E236" i="49"/>
  <c r="F235" i="49"/>
  <c r="E235" i="49"/>
  <c r="F234" i="49"/>
  <c r="E234" i="49"/>
  <c r="F233" i="49"/>
  <c r="E233" i="49"/>
  <c r="E232" i="49"/>
  <c r="F231" i="49"/>
  <c r="E231" i="49"/>
  <c r="F230" i="49"/>
  <c r="E230" i="49"/>
  <c r="F229" i="49"/>
  <c r="E229" i="49"/>
  <c r="F228" i="49"/>
  <c r="E228" i="49"/>
  <c r="F227" i="49"/>
  <c r="E227" i="49"/>
  <c r="F226" i="49"/>
  <c r="E226" i="49"/>
  <c r="F225" i="49"/>
  <c r="E225" i="49"/>
  <c r="F224" i="49"/>
  <c r="E224" i="49"/>
  <c r="F223" i="49"/>
  <c r="E223" i="49"/>
  <c r="F222" i="49"/>
  <c r="E222" i="49"/>
  <c r="F221" i="49"/>
  <c r="E221" i="49"/>
  <c r="F220" i="49"/>
  <c r="E220" i="49"/>
  <c r="F219" i="49"/>
  <c r="E219" i="49"/>
  <c r="F218" i="49"/>
  <c r="E218" i="49"/>
  <c r="F217" i="49"/>
  <c r="E217" i="49"/>
  <c r="F216" i="49"/>
  <c r="E216" i="49"/>
  <c r="F215" i="49"/>
  <c r="E215" i="49"/>
  <c r="F214" i="49"/>
  <c r="E214" i="49"/>
  <c r="F213" i="49"/>
  <c r="E213" i="49"/>
  <c r="F212" i="49"/>
  <c r="E212" i="49"/>
  <c r="F211" i="49"/>
  <c r="E211" i="49"/>
  <c r="F210" i="49"/>
  <c r="E210" i="49"/>
  <c r="F209" i="49"/>
  <c r="E209" i="49"/>
  <c r="F208" i="49"/>
  <c r="E208" i="49"/>
  <c r="F207" i="49"/>
  <c r="E207" i="49"/>
  <c r="F206" i="49"/>
  <c r="E206" i="49"/>
  <c r="F205" i="49"/>
  <c r="E205" i="49"/>
  <c r="F204" i="49"/>
  <c r="E204" i="49"/>
  <c r="F203" i="49"/>
  <c r="E203" i="49"/>
  <c r="F202" i="49"/>
  <c r="E202" i="49"/>
  <c r="F201" i="49"/>
  <c r="E201" i="49"/>
  <c r="E200" i="49"/>
  <c r="E199" i="49"/>
  <c r="F198" i="49"/>
  <c r="E198" i="49"/>
  <c r="F197" i="49"/>
  <c r="E197" i="49"/>
  <c r="F196" i="49"/>
  <c r="E196" i="49"/>
  <c r="F195" i="49"/>
  <c r="E195" i="49"/>
  <c r="F194" i="49"/>
  <c r="E194" i="49"/>
  <c r="F193" i="49"/>
  <c r="E193" i="49"/>
  <c r="F192" i="49"/>
  <c r="E192" i="49"/>
  <c r="F191" i="49"/>
  <c r="E191" i="49"/>
  <c r="F190" i="49"/>
  <c r="E190" i="49"/>
  <c r="F189" i="49"/>
  <c r="E189" i="49"/>
  <c r="F188" i="49"/>
  <c r="E188" i="49"/>
  <c r="F187" i="49"/>
  <c r="E187" i="49"/>
  <c r="F186" i="49"/>
  <c r="E186" i="49"/>
  <c r="F185" i="49"/>
  <c r="E185" i="49"/>
  <c r="F184" i="49"/>
  <c r="E184" i="49"/>
  <c r="F183" i="49"/>
  <c r="E183" i="49"/>
  <c r="F182" i="49"/>
  <c r="E182" i="49"/>
  <c r="F181" i="49"/>
  <c r="E181" i="49"/>
  <c r="F180" i="49"/>
  <c r="E180" i="49"/>
  <c r="F179" i="49"/>
  <c r="E179" i="49"/>
  <c r="F178" i="49"/>
  <c r="E178" i="49"/>
  <c r="F177" i="49"/>
  <c r="E177" i="49"/>
  <c r="F176" i="49"/>
  <c r="E176" i="49"/>
  <c r="F175" i="49"/>
  <c r="E175" i="49"/>
  <c r="F174" i="49"/>
  <c r="E174" i="49"/>
  <c r="F173" i="49"/>
  <c r="E173" i="49"/>
  <c r="F172" i="49"/>
  <c r="E172" i="49"/>
  <c r="F171" i="49"/>
  <c r="E171" i="49"/>
  <c r="F170" i="49"/>
  <c r="E170" i="49"/>
  <c r="E169" i="49"/>
  <c r="E168" i="49"/>
  <c r="F167" i="49"/>
  <c r="E167" i="49"/>
  <c r="F166" i="49"/>
  <c r="E166" i="49"/>
  <c r="F165" i="49"/>
  <c r="E165" i="49"/>
  <c r="F164" i="49"/>
  <c r="E164" i="49"/>
  <c r="F163" i="49"/>
  <c r="E163" i="49"/>
  <c r="F162" i="49"/>
  <c r="E162" i="49"/>
  <c r="F161" i="49"/>
  <c r="E161" i="49"/>
  <c r="F160" i="49"/>
  <c r="E160" i="49"/>
  <c r="F159" i="49"/>
  <c r="E159" i="49"/>
  <c r="F158" i="49"/>
  <c r="E158" i="49"/>
  <c r="F157" i="49"/>
  <c r="E157" i="49"/>
  <c r="F156" i="49"/>
  <c r="E156" i="49"/>
  <c r="F155" i="49"/>
  <c r="E155" i="49"/>
  <c r="F154" i="49"/>
  <c r="E154" i="49"/>
  <c r="F153" i="49"/>
  <c r="E153" i="49"/>
  <c r="F152" i="49"/>
  <c r="E152" i="49"/>
  <c r="F151" i="49"/>
  <c r="E151" i="49"/>
  <c r="F150" i="49"/>
  <c r="E150" i="49"/>
  <c r="F149" i="49"/>
  <c r="E149" i="49"/>
  <c r="F148" i="49"/>
  <c r="E148" i="49"/>
  <c r="F147" i="49"/>
  <c r="E147" i="49"/>
  <c r="F146" i="49"/>
  <c r="E146" i="49"/>
  <c r="F145" i="49"/>
  <c r="E145" i="49"/>
  <c r="F144" i="49"/>
  <c r="E144" i="49"/>
  <c r="F143" i="49"/>
  <c r="E143" i="49"/>
  <c r="F142" i="49"/>
  <c r="E142" i="49"/>
  <c r="E141" i="49"/>
  <c r="F140" i="49"/>
  <c r="E140" i="49"/>
  <c r="E139" i="49"/>
  <c r="E138" i="49"/>
  <c r="F137" i="49"/>
  <c r="E137" i="49"/>
  <c r="F136" i="49"/>
  <c r="E136" i="49"/>
  <c r="F135" i="49"/>
  <c r="E135" i="49"/>
  <c r="F134" i="49"/>
  <c r="E134" i="49"/>
  <c r="F133" i="49"/>
  <c r="E133" i="49"/>
  <c r="F132" i="49"/>
  <c r="E132" i="49"/>
  <c r="F131" i="49"/>
  <c r="E131" i="49"/>
  <c r="F130" i="49"/>
  <c r="E130" i="49"/>
  <c r="F129" i="49"/>
  <c r="E129" i="49"/>
  <c r="F128" i="49"/>
  <c r="E128" i="49"/>
  <c r="F127" i="49"/>
  <c r="E127" i="49"/>
  <c r="F126" i="49"/>
  <c r="E126" i="49"/>
  <c r="F125" i="49"/>
  <c r="E125" i="49"/>
  <c r="F124" i="49"/>
  <c r="E124" i="49"/>
  <c r="F123" i="49"/>
  <c r="E123" i="49"/>
  <c r="F122" i="49"/>
  <c r="E122" i="49"/>
  <c r="F121" i="49"/>
  <c r="E121" i="49"/>
  <c r="F120" i="49"/>
  <c r="E120" i="49"/>
  <c r="F119" i="49"/>
  <c r="E119" i="49"/>
  <c r="F118" i="49"/>
  <c r="E118" i="49"/>
  <c r="F117" i="49"/>
  <c r="E117" i="49"/>
  <c r="F116" i="49"/>
  <c r="E116" i="49"/>
  <c r="F115" i="49"/>
  <c r="E115" i="49"/>
  <c r="F114" i="49"/>
  <c r="E114" i="49"/>
  <c r="F113" i="49"/>
  <c r="E113" i="49"/>
  <c r="F112" i="49"/>
  <c r="E112" i="49"/>
  <c r="F111" i="49"/>
  <c r="E111" i="49"/>
  <c r="F110" i="49"/>
  <c r="E110" i="49"/>
  <c r="E109" i="49"/>
  <c r="E108" i="49"/>
  <c r="E107" i="49"/>
  <c r="F106" i="49"/>
  <c r="E106" i="49"/>
  <c r="F105" i="49"/>
  <c r="E105" i="49"/>
  <c r="F104" i="49"/>
  <c r="E104" i="49"/>
  <c r="F103" i="49"/>
  <c r="E103" i="49"/>
  <c r="F102" i="49"/>
  <c r="E102" i="49"/>
  <c r="F101" i="49"/>
  <c r="E101" i="49"/>
  <c r="F100" i="49"/>
  <c r="E100" i="49"/>
  <c r="F99" i="49"/>
  <c r="E99" i="49"/>
  <c r="F98" i="49"/>
  <c r="E98" i="49"/>
  <c r="F97" i="49"/>
  <c r="E97" i="49"/>
  <c r="F96" i="49"/>
  <c r="E96" i="49"/>
  <c r="F95" i="49"/>
  <c r="E95" i="49"/>
  <c r="F94" i="49"/>
  <c r="E94" i="49"/>
  <c r="F93" i="49"/>
  <c r="E93" i="49"/>
  <c r="F92" i="49"/>
  <c r="E92" i="49"/>
  <c r="F91" i="49"/>
  <c r="E91" i="49"/>
  <c r="F90" i="49"/>
  <c r="E90" i="49"/>
  <c r="F89" i="49"/>
  <c r="E89" i="49"/>
  <c r="F88" i="49"/>
  <c r="E88" i="49"/>
  <c r="F87" i="49"/>
  <c r="E87" i="49"/>
  <c r="F86" i="49"/>
  <c r="E86" i="49"/>
  <c r="F85" i="49"/>
  <c r="E85" i="49"/>
  <c r="F84" i="49"/>
  <c r="E84" i="49"/>
  <c r="F83" i="49"/>
  <c r="E83" i="49"/>
  <c r="F82" i="49"/>
  <c r="E82" i="49"/>
  <c r="F81" i="49"/>
  <c r="E81" i="49"/>
  <c r="E80" i="49"/>
  <c r="F79" i="49"/>
  <c r="E79" i="49"/>
  <c r="F78" i="49"/>
  <c r="E78" i="49"/>
  <c r="E77" i="49"/>
  <c r="F76" i="49"/>
  <c r="E76" i="49"/>
  <c r="F75" i="49"/>
  <c r="E75" i="49"/>
  <c r="F74" i="49"/>
  <c r="E74" i="49"/>
  <c r="F73" i="49"/>
  <c r="E73" i="49"/>
  <c r="F72" i="49"/>
  <c r="E72" i="49"/>
  <c r="F71" i="49"/>
  <c r="E71" i="49"/>
  <c r="F70" i="49"/>
  <c r="E70" i="49"/>
  <c r="F69" i="49"/>
  <c r="E69" i="49"/>
  <c r="F68" i="49"/>
  <c r="E68" i="49"/>
  <c r="F67" i="49"/>
  <c r="E67" i="49"/>
  <c r="F66" i="49"/>
  <c r="E66" i="49"/>
  <c r="F65" i="49"/>
  <c r="E65" i="49"/>
  <c r="F64" i="49"/>
  <c r="E64" i="49"/>
  <c r="F63" i="49"/>
  <c r="E63" i="49"/>
  <c r="F62" i="49"/>
  <c r="E62" i="49"/>
  <c r="F61" i="49"/>
  <c r="E61" i="49"/>
  <c r="F60" i="49"/>
  <c r="E60" i="49"/>
  <c r="F59" i="49"/>
  <c r="E59" i="49"/>
  <c r="F58" i="49"/>
  <c r="E58" i="49"/>
  <c r="F57" i="49"/>
  <c r="E57" i="49"/>
  <c r="F56" i="49"/>
  <c r="E56" i="49"/>
  <c r="F55" i="49"/>
  <c r="E55" i="49"/>
  <c r="F54" i="49"/>
  <c r="E54" i="49"/>
  <c r="F53" i="49"/>
  <c r="E53" i="49"/>
  <c r="F52" i="49"/>
  <c r="E52" i="49"/>
  <c r="F51" i="49"/>
  <c r="E51" i="49"/>
  <c r="F50" i="49"/>
  <c r="E50" i="49"/>
  <c r="F49" i="49"/>
  <c r="E49" i="49"/>
  <c r="E48" i="49"/>
  <c r="F47" i="49"/>
  <c r="E47" i="49"/>
  <c r="E46" i="49"/>
  <c r="F45" i="49"/>
  <c r="E45" i="49"/>
  <c r="F44" i="49"/>
  <c r="E44" i="49"/>
  <c r="F43" i="49"/>
  <c r="E43" i="49"/>
  <c r="F42" i="49"/>
  <c r="E42" i="49"/>
  <c r="F41" i="49"/>
  <c r="E41" i="49"/>
  <c r="F40" i="49"/>
  <c r="E40" i="49"/>
  <c r="F39" i="49"/>
  <c r="E39" i="49"/>
  <c r="F38" i="49"/>
  <c r="E38" i="49"/>
  <c r="F37" i="49"/>
  <c r="E37" i="49"/>
  <c r="F36" i="49"/>
  <c r="E36" i="49"/>
  <c r="F35" i="49"/>
  <c r="E35" i="49"/>
  <c r="F34" i="49"/>
  <c r="E34" i="49"/>
  <c r="F33" i="49"/>
  <c r="E33" i="49"/>
  <c r="F32" i="49"/>
  <c r="E32" i="49"/>
  <c r="F31" i="49"/>
  <c r="E31" i="49"/>
  <c r="F30" i="49"/>
  <c r="E30" i="49"/>
  <c r="F29" i="49"/>
  <c r="E29" i="49"/>
  <c r="F28" i="49"/>
  <c r="E28" i="49"/>
  <c r="F27" i="49"/>
  <c r="E27" i="49"/>
  <c r="F26" i="49"/>
  <c r="E26" i="49"/>
  <c r="F25" i="49"/>
  <c r="E25" i="49"/>
  <c r="F24" i="49"/>
  <c r="E24" i="49"/>
  <c r="F23" i="49"/>
  <c r="E23" i="49"/>
  <c r="F22" i="49"/>
  <c r="E22" i="49"/>
  <c r="F21" i="49"/>
  <c r="E21" i="49"/>
  <c r="F20" i="49"/>
  <c r="E20" i="49"/>
  <c r="F19" i="49"/>
  <c r="E19" i="49"/>
  <c r="E18" i="49"/>
  <c r="F17" i="49"/>
  <c r="E17" i="49"/>
  <c r="F16" i="49"/>
  <c r="E16" i="49"/>
  <c r="F15" i="49"/>
  <c r="E15" i="49"/>
  <c r="F14" i="49"/>
  <c r="E14" i="49"/>
  <c r="F13" i="49"/>
  <c r="E13" i="49"/>
  <c r="F12" i="49"/>
  <c r="E12" i="49"/>
  <c r="F11" i="49"/>
  <c r="E11" i="49"/>
  <c r="F10" i="49"/>
  <c r="E10" i="49"/>
  <c r="F9" i="49"/>
  <c r="E9" i="49"/>
  <c r="F8" i="49"/>
  <c r="E8" i="49"/>
  <c r="F7" i="49"/>
  <c r="E7" i="49"/>
  <c r="F6" i="49"/>
  <c r="E6" i="49"/>
  <c r="F5" i="49"/>
  <c r="E5" i="49"/>
  <c r="F4" i="49"/>
  <c r="E4" i="49"/>
  <c r="G80" i="59" l="1"/>
  <c r="H80" i="59"/>
  <c r="G474" i="59"/>
  <c r="H474" i="59"/>
  <c r="H754" i="59"/>
  <c r="A169" i="60"/>
  <c r="E753" i="59"/>
  <c r="E473" i="59"/>
  <c r="E79" i="59"/>
  <c r="A756" i="59"/>
  <c r="G755" i="59"/>
  <c r="A476" i="59"/>
  <c r="A82" i="59"/>
  <c r="F263" i="49"/>
  <c r="J263" i="49"/>
  <c r="F293" i="49"/>
  <c r="J293" i="49"/>
  <c r="F355" i="49"/>
  <c r="J355" i="49"/>
  <c r="F232" i="49"/>
  <c r="J232" i="49"/>
  <c r="F324" i="49"/>
  <c r="J324" i="49"/>
  <c r="F107" i="49"/>
  <c r="J107" i="49"/>
  <c r="F46" i="49"/>
  <c r="J46" i="49"/>
  <c r="F168" i="49"/>
  <c r="J168" i="49"/>
  <c r="F77" i="49"/>
  <c r="J77" i="49"/>
  <c r="F139" i="49"/>
  <c r="J139" i="49"/>
  <c r="F80" i="49"/>
  <c r="J80" i="49"/>
  <c r="F108" i="49"/>
  <c r="J108" i="49"/>
  <c r="F292" i="49"/>
  <c r="J292" i="49"/>
  <c r="F138" i="49"/>
  <c r="J138" i="49"/>
  <c r="F169" i="49"/>
  <c r="J169" i="49"/>
  <c r="F353" i="49"/>
  <c r="J353" i="49"/>
  <c r="F141" i="49"/>
  <c r="J141" i="49"/>
  <c r="F200" i="49"/>
  <c r="J200" i="49"/>
  <c r="F109" i="49"/>
  <c r="J109" i="49"/>
  <c r="F199" i="49"/>
  <c r="J199" i="49"/>
  <c r="F321" i="49"/>
  <c r="J321" i="49"/>
  <c r="F18" i="49"/>
  <c r="J18" i="49"/>
  <c r="F48" i="49"/>
  <c r="J48" i="49"/>
  <c r="F260" i="49"/>
  <c r="J260" i="49"/>
  <c r="J383" i="49"/>
  <c r="J352" i="49"/>
  <c r="J322" i="49"/>
  <c r="J291" i="49"/>
  <c r="J261" i="49"/>
  <c r="J230" i="49"/>
  <c r="J202" i="49"/>
  <c r="J171" i="49"/>
  <c r="J140" i="49"/>
  <c r="J110" i="49"/>
  <c r="J79" i="49"/>
  <c r="J49" i="49"/>
  <c r="G5" i="49"/>
  <c r="G6" i="49"/>
  <c r="G7" i="49"/>
  <c r="G8" i="49"/>
  <c r="G9" i="49"/>
  <c r="G10" i="49"/>
  <c r="G11" i="49"/>
  <c r="G12" i="49"/>
  <c r="G13" i="49"/>
  <c r="G14" i="49"/>
  <c r="G15" i="49"/>
  <c r="G16" i="49"/>
  <c r="G17" i="49"/>
  <c r="G18" i="49"/>
  <c r="G19" i="49"/>
  <c r="G20" i="49"/>
  <c r="G21" i="49"/>
  <c r="G22" i="49"/>
  <c r="G23" i="49"/>
  <c r="G24" i="49"/>
  <c r="G25" i="49"/>
  <c r="G26" i="49"/>
  <c r="G27" i="49"/>
  <c r="G28" i="49"/>
  <c r="G29" i="49"/>
  <c r="G30" i="49"/>
  <c r="G31" i="49"/>
  <c r="G32" i="49"/>
  <c r="G33" i="49"/>
  <c r="G34" i="49"/>
  <c r="G35" i="49"/>
  <c r="G36" i="49"/>
  <c r="G37" i="49"/>
  <c r="G38" i="49"/>
  <c r="G39" i="49"/>
  <c r="G40" i="49"/>
  <c r="G41" i="49"/>
  <c r="G42" i="49"/>
  <c r="G43" i="49"/>
  <c r="G44" i="49"/>
  <c r="G45" i="49"/>
  <c r="G46" i="49"/>
  <c r="G47" i="49"/>
  <c r="G48" i="49"/>
  <c r="G49" i="49"/>
  <c r="G50" i="49"/>
  <c r="G51" i="49"/>
  <c r="G52" i="49"/>
  <c r="G53" i="49"/>
  <c r="G54" i="49"/>
  <c r="G55" i="49"/>
  <c r="G56" i="49"/>
  <c r="G57" i="49"/>
  <c r="G58" i="49"/>
  <c r="G59" i="49"/>
  <c r="G60" i="49"/>
  <c r="G61" i="49"/>
  <c r="G62" i="49"/>
  <c r="G63" i="49"/>
  <c r="G64" i="49"/>
  <c r="G65" i="49"/>
  <c r="G66" i="49"/>
  <c r="G67" i="49"/>
  <c r="G68" i="49"/>
  <c r="G69" i="49"/>
  <c r="G70" i="49"/>
  <c r="G71" i="49"/>
  <c r="G72" i="49"/>
  <c r="G73" i="49"/>
  <c r="G74" i="49"/>
  <c r="G75" i="49"/>
  <c r="G76" i="49"/>
  <c r="G77" i="49"/>
  <c r="G78" i="49"/>
  <c r="G79" i="49"/>
  <c r="G80" i="49"/>
  <c r="G81" i="49"/>
  <c r="G82" i="49"/>
  <c r="G83" i="49"/>
  <c r="G84" i="49"/>
  <c r="G85" i="49"/>
  <c r="G86" i="49"/>
  <c r="G87" i="49"/>
  <c r="G88" i="49"/>
  <c r="G89" i="49"/>
  <c r="G90" i="49"/>
  <c r="G91" i="49"/>
  <c r="G92" i="49"/>
  <c r="G93" i="49"/>
  <c r="G94" i="49"/>
  <c r="G95" i="49"/>
  <c r="G96" i="49"/>
  <c r="G97" i="49"/>
  <c r="G98" i="49"/>
  <c r="G99" i="49"/>
  <c r="G100" i="49"/>
  <c r="G101" i="49"/>
  <c r="G102" i="49"/>
  <c r="G103" i="49"/>
  <c r="G104" i="49"/>
  <c r="G105" i="49"/>
  <c r="G106" i="49"/>
  <c r="G107" i="49"/>
  <c r="G108" i="49"/>
  <c r="G109" i="49"/>
  <c r="G110" i="49"/>
  <c r="G111" i="49"/>
  <c r="G112" i="49"/>
  <c r="G113" i="49"/>
  <c r="G114" i="49"/>
  <c r="G115" i="49"/>
  <c r="G116" i="49"/>
  <c r="G117" i="49"/>
  <c r="G118" i="49"/>
  <c r="G119" i="49"/>
  <c r="G120" i="49"/>
  <c r="G121" i="49"/>
  <c r="G122" i="49"/>
  <c r="G123" i="49"/>
  <c r="G124" i="49"/>
  <c r="G125" i="49"/>
  <c r="G126" i="49"/>
  <c r="G127" i="49"/>
  <c r="G128" i="49"/>
  <c r="G129" i="49"/>
  <c r="G130" i="49"/>
  <c r="G131" i="49"/>
  <c r="G132" i="49"/>
  <c r="G133" i="49"/>
  <c r="G134" i="49"/>
  <c r="G135" i="49"/>
  <c r="G136" i="49"/>
  <c r="G137" i="49"/>
  <c r="G138" i="49"/>
  <c r="G139" i="49"/>
  <c r="G140" i="49"/>
  <c r="G141" i="49"/>
  <c r="G142" i="49"/>
  <c r="G143" i="49"/>
  <c r="G144" i="49"/>
  <c r="G145" i="49"/>
  <c r="G146" i="49"/>
  <c r="G147" i="49"/>
  <c r="G148" i="49"/>
  <c r="G149" i="49"/>
  <c r="G150" i="49"/>
  <c r="G151" i="49"/>
  <c r="G152" i="49"/>
  <c r="G153" i="49"/>
  <c r="G154" i="49"/>
  <c r="G155" i="49"/>
  <c r="G156" i="49"/>
  <c r="G157" i="49"/>
  <c r="G158" i="49"/>
  <c r="G159" i="49"/>
  <c r="G160" i="49"/>
  <c r="G161" i="49"/>
  <c r="G162" i="49"/>
  <c r="G163" i="49"/>
  <c r="G164" i="49"/>
  <c r="G165" i="49"/>
  <c r="G166" i="49"/>
  <c r="G167" i="49"/>
  <c r="G168" i="49"/>
  <c r="G169" i="49"/>
  <c r="G170" i="49"/>
  <c r="G171" i="49"/>
  <c r="G172" i="49"/>
  <c r="G173" i="49"/>
  <c r="G174" i="49"/>
  <c r="G175" i="49"/>
  <c r="G176" i="49"/>
  <c r="G177" i="49"/>
  <c r="G178" i="49"/>
  <c r="G179" i="49"/>
  <c r="G180" i="49"/>
  <c r="G181" i="49"/>
  <c r="G182" i="49"/>
  <c r="G183" i="49"/>
  <c r="G184" i="49"/>
  <c r="G185" i="49"/>
  <c r="G186" i="49"/>
  <c r="G187" i="49"/>
  <c r="G188" i="49"/>
  <c r="G189" i="49"/>
  <c r="G190" i="49"/>
  <c r="G191" i="49"/>
  <c r="G192" i="49"/>
  <c r="G193" i="49"/>
  <c r="G194" i="49"/>
  <c r="G195" i="49"/>
  <c r="G196" i="49"/>
  <c r="G197" i="49"/>
  <c r="G198" i="49"/>
  <c r="G199" i="49"/>
  <c r="G200" i="49"/>
  <c r="G201" i="49"/>
  <c r="G202" i="49"/>
  <c r="G203" i="49"/>
  <c r="G204" i="49"/>
  <c r="G205" i="49"/>
  <c r="G206" i="49"/>
  <c r="G207" i="49"/>
  <c r="G208" i="49"/>
  <c r="G209" i="49"/>
  <c r="G210" i="49"/>
  <c r="G211" i="49"/>
  <c r="G212" i="49"/>
  <c r="G213" i="49"/>
  <c r="G214" i="49"/>
  <c r="G215" i="49"/>
  <c r="G216" i="49"/>
  <c r="G217" i="49"/>
  <c r="G218" i="49"/>
  <c r="G219" i="49"/>
  <c r="G220" i="49"/>
  <c r="G221" i="49"/>
  <c r="G222" i="49"/>
  <c r="G223" i="49"/>
  <c r="G224" i="49"/>
  <c r="G225" i="49"/>
  <c r="G226" i="49"/>
  <c r="G227" i="49"/>
  <c r="G228" i="49"/>
  <c r="G229" i="49"/>
  <c r="G230" i="49"/>
  <c r="G231" i="49"/>
  <c r="G232" i="49"/>
  <c r="G233" i="49"/>
  <c r="G234" i="49"/>
  <c r="G235" i="49"/>
  <c r="G236" i="49"/>
  <c r="G237" i="49"/>
  <c r="G238" i="49"/>
  <c r="G239" i="49"/>
  <c r="G240" i="49"/>
  <c r="G241" i="49"/>
  <c r="G242" i="49"/>
  <c r="G243" i="49"/>
  <c r="G244" i="49"/>
  <c r="G245" i="49"/>
  <c r="G246" i="49"/>
  <c r="G247" i="49"/>
  <c r="G248" i="49"/>
  <c r="G249" i="49"/>
  <c r="G250" i="49"/>
  <c r="G251" i="49"/>
  <c r="G252" i="49"/>
  <c r="G253" i="49"/>
  <c r="G254" i="49"/>
  <c r="G255" i="49"/>
  <c r="G256" i="49"/>
  <c r="G257" i="49"/>
  <c r="G258" i="49"/>
  <c r="G259" i="49"/>
  <c r="G260" i="49"/>
  <c r="G261" i="49"/>
  <c r="G262" i="49"/>
  <c r="G263" i="49"/>
  <c r="G264" i="49"/>
  <c r="G265" i="49"/>
  <c r="G266" i="49"/>
  <c r="G267" i="49"/>
  <c r="G268" i="49"/>
  <c r="G269" i="49"/>
  <c r="G270" i="49"/>
  <c r="G271" i="49"/>
  <c r="G272" i="49"/>
  <c r="G273" i="49"/>
  <c r="G274" i="49"/>
  <c r="G275" i="49"/>
  <c r="G276" i="49"/>
  <c r="G277" i="49"/>
  <c r="G278" i="49"/>
  <c r="G279" i="49"/>
  <c r="G280" i="49"/>
  <c r="G281" i="49"/>
  <c r="G282" i="49"/>
  <c r="G283" i="49"/>
  <c r="G284" i="49"/>
  <c r="G285" i="49"/>
  <c r="G286" i="49"/>
  <c r="G287" i="49"/>
  <c r="G288" i="49"/>
  <c r="G289" i="49"/>
  <c r="G290" i="49"/>
  <c r="G291" i="49"/>
  <c r="G292" i="49"/>
  <c r="G293" i="49"/>
  <c r="G294" i="49"/>
  <c r="G295" i="49"/>
  <c r="G296" i="49"/>
  <c r="G297" i="49"/>
  <c r="G298" i="49"/>
  <c r="G299" i="49"/>
  <c r="G300" i="49"/>
  <c r="G301" i="49"/>
  <c r="G302" i="49"/>
  <c r="G303" i="49"/>
  <c r="G304" i="49"/>
  <c r="G305" i="49"/>
  <c r="G306" i="49"/>
  <c r="G307" i="49"/>
  <c r="G308" i="49"/>
  <c r="G309" i="49"/>
  <c r="G310" i="49"/>
  <c r="G311" i="49"/>
  <c r="G312" i="49"/>
  <c r="G313" i="49"/>
  <c r="G314" i="49"/>
  <c r="G315" i="49"/>
  <c r="G316" i="49"/>
  <c r="G317" i="49"/>
  <c r="G318" i="49"/>
  <c r="G319" i="49"/>
  <c r="G320" i="49"/>
  <c r="G321" i="49"/>
  <c r="G322" i="49"/>
  <c r="G323" i="49"/>
  <c r="G324" i="49"/>
  <c r="G325" i="49"/>
  <c r="G326" i="49"/>
  <c r="G327" i="49"/>
  <c r="G328" i="49"/>
  <c r="G329" i="49"/>
  <c r="G330" i="49"/>
  <c r="G331" i="49"/>
  <c r="G332" i="49"/>
  <c r="G333" i="49"/>
  <c r="G334" i="49"/>
  <c r="G335" i="49"/>
  <c r="G336" i="49"/>
  <c r="G337" i="49"/>
  <c r="G338" i="49"/>
  <c r="G339" i="49"/>
  <c r="G340" i="49"/>
  <c r="G341" i="49"/>
  <c r="G342" i="49"/>
  <c r="G343" i="49"/>
  <c r="G344" i="49"/>
  <c r="G345" i="49"/>
  <c r="G346" i="49"/>
  <c r="G347" i="49"/>
  <c r="G348" i="49"/>
  <c r="G349" i="49"/>
  <c r="G350" i="49"/>
  <c r="G351" i="49"/>
  <c r="G352" i="49"/>
  <c r="G353" i="49"/>
  <c r="G354" i="49"/>
  <c r="G355" i="49"/>
  <c r="G356" i="49"/>
  <c r="G357" i="49"/>
  <c r="G358" i="49"/>
  <c r="G359" i="49"/>
  <c r="G360" i="49"/>
  <c r="G361" i="49"/>
  <c r="G362" i="49"/>
  <c r="G363" i="49"/>
  <c r="G364" i="49"/>
  <c r="G365" i="49"/>
  <c r="G366" i="49"/>
  <c r="G367" i="49"/>
  <c r="G368" i="49"/>
  <c r="G369" i="49"/>
  <c r="G370" i="49"/>
  <c r="G371" i="49"/>
  <c r="G372" i="49"/>
  <c r="G373" i="49"/>
  <c r="G374" i="49"/>
  <c r="G375" i="49"/>
  <c r="G376" i="49"/>
  <c r="G377" i="49"/>
  <c r="G378" i="49"/>
  <c r="G379" i="49"/>
  <c r="G380" i="49"/>
  <c r="G381" i="49"/>
  <c r="G382" i="49"/>
  <c r="G383" i="49"/>
  <c r="G384" i="49"/>
  <c r="G385" i="49"/>
  <c r="G386" i="49"/>
  <c r="G387" i="49"/>
  <c r="G388" i="49"/>
  <c r="G389" i="49"/>
  <c r="G390" i="49"/>
  <c r="G391" i="49"/>
  <c r="G392" i="49"/>
  <c r="G393" i="49"/>
  <c r="G394" i="49"/>
  <c r="G395" i="49"/>
  <c r="G396" i="49"/>
  <c r="G4" i="49"/>
  <c r="G81" i="59" l="1"/>
  <c r="H81" i="59"/>
  <c r="G475" i="59"/>
  <c r="H475" i="59"/>
  <c r="H755" i="59"/>
  <c r="A170" i="60"/>
  <c r="E754" i="59"/>
  <c r="E474" i="59"/>
  <c r="G756" i="59"/>
  <c r="A757" i="59"/>
  <c r="A477" i="59"/>
  <c r="E80" i="59"/>
  <c r="A83" i="59"/>
  <c r="D156" i="48"/>
  <c r="E156" i="48"/>
  <c r="G82" i="59" l="1"/>
  <c r="H82" i="59"/>
  <c r="G476" i="59"/>
  <c r="H476" i="59"/>
  <c r="H756" i="59"/>
  <c r="A171" i="60"/>
  <c r="E81" i="59"/>
  <c r="E755" i="59"/>
  <c r="E475" i="59"/>
  <c r="A758" i="59"/>
  <c r="G757" i="59"/>
  <c r="A478" i="59"/>
  <c r="A84" i="59"/>
  <c r="D157" i="48"/>
  <c r="D158" i="48"/>
  <c r="D159" i="48"/>
  <c r="D160" i="48"/>
  <c r="D161" i="48"/>
  <c r="D162" i="48"/>
  <c r="D163" i="48"/>
  <c r="D164" i="48"/>
  <c r="D165" i="48"/>
  <c r="D166" i="48"/>
  <c r="D167" i="48"/>
  <c r="D168" i="48"/>
  <c r="D169" i="48"/>
  <c r="D170" i="48"/>
  <c r="D171" i="48"/>
  <c r="D172" i="48"/>
  <c r="D173" i="48"/>
  <c r="D174" i="48"/>
  <c r="D175" i="48"/>
  <c r="D176" i="48"/>
  <c r="D177" i="48"/>
  <c r="D178" i="48"/>
  <c r="D179" i="48"/>
  <c r="D180" i="48"/>
  <c r="D181" i="48"/>
  <c r="D182" i="48"/>
  <c r="D183" i="48"/>
  <c r="D184" i="48"/>
  <c r="D185" i="48"/>
  <c r="E157" i="48"/>
  <c r="E158" i="48"/>
  <c r="E159" i="48"/>
  <c r="E160" i="48"/>
  <c r="E161" i="48"/>
  <c r="E162" i="48"/>
  <c r="E163" i="48"/>
  <c r="E164" i="48"/>
  <c r="E165" i="48"/>
  <c r="E166" i="48"/>
  <c r="E167" i="48"/>
  <c r="E168" i="48"/>
  <c r="E169" i="48"/>
  <c r="E170" i="48"/>
  <c r="E171" i="48"/>
  <c r="E172" i="48"/>
  <c r="E173" i="48"/>
  <c r="E174" i="48"/>
  <c r="E175" i="48"/>
  <c r="E176" i="48"/>
  <c r="E177" i="48"/>
  <c r="E178" i="48"/>
  <c r="E179" i="48"/>
  <c r="E180" i="48"/>
  <c r="E181" i="48"/>
  <c r="E182" i="48"/>
  <c r="E183" i="48"/>
  <c r="E184" i="48"/>
  <c r="E185" i="48"/>
  <c r="G83" i="59" l="1"/>
  <c r="H83" i="59"/>
  <c r="H477" i="59"/>
  <c r="G477" i="59"/>
  <c r="H757" i="59"/>
  <c r="D189" i="48"/>
  <c r="E189" i="48" s="1"/>
  <c r="A172" i="60"/>
  <c r="E756" i="59"/>
  <c r="E82" i="59"/>
  <c r="G758" i="59"/>
  <c r="A759" i="59"/>
  <c r="A479" i="59"/>
  <c r="E476" i="59"/>
  <c r="A85" i="59"/>
  <c r="D76" i="43"/>
  <c r="H76" i="43" s="1"/>
  <c r="C76" i="43"/>
  <c r="F76" i="43" s="1"/>
  <c r="J75" i="43"/>
  <c r="H75" i="43"/>
  <c r="F75" i="43"/>
  <c r="J74" i="43"/>
  <c r="H74" i="43"/>
  <c r="F74" i="43"/>
  <c r="J73" i="43"/>
  <c r="H73" i="43"/>
  <c r="J72" i="43"/>
  <c r="H72" i="43"/>
  <c r="J71" i="43"/>
  <c r="H71" i="43"/>
  <c r="G84" i="59" l="1"/>
  <c r="H84" i="59"/>
  <c r="G478" i="59"/>
  <c r="H478" i="59"/>
  <c r="H758" i="59"/>
  <c r="A173" i="60"/>
  <c r="E83" i="59"/>
  <c r="E757" i="59"/>
  <c r="G759" i="59"/>
  <c r="A760" i="59"/>
  <c r="A480" i="59"/>
  <c r="E477" i="59"/>
  <c r="A86" i="59"/>
  <c r="K76" i="43"/>
  <c r="J76" i="43" s="1"/>
  <c r="G85" i="59" l="1"/>
  <c r="H85" i="59"/>
  <c r="G479" i="59"/>
  <c r="H479" i="59"/>
  <c r="H759" i="59"/>
  <c r="A174" i="60"/>
  <c r="E84" i="59"/>
  <c r="E758" i="59"/>
  <c r="G760" i="59"/>
  <c r="A481" i="59"/>
  <c r="E478" i="59"/>
  <c r="A87" i="59"/>
  <c r="I4" i="49"/>
  <c r="G86" i="59" l="1"/>
  <c r="H86" i="59"/>
  <c r="G480" i="59"/>
  <c r="H480" i="59"/>
  <c r="H760" i="59"/>
  <c r="A175" i="60"/>
  <c r="E759" i="59"/>
  <c r="E479" i="59"/>
  <c r="A482" i="59"/>
  <c r="E85" i="59"/>
  <c r="A88" i="59"/>
  <c r="G87" i="59" l="1"/>
  <c r="H87" i="59"/>
  <c r="H481" i="59"/>
  <c r="G481" i="59"/>
  <c r="A176" i="60"/>
  <c r="E760" i="59"/>
  <c r="A483" i="59"/>
  <c r="E480" i="59"/>
  <c r="A89" i="59"/>
  <c r="E86" i="59"/>
  <c r="N152" i="44"/>
  <c r="O79" i="48" s="1"/>
  <c r="N153" i="44"/>
  <c r="O80" i="48" s="1"/>
  <c r="N142" i="44"/>
  <c r="N143" i="44"/>
  <c r="O70" i="48" s="1"/>
  <c r="N144" i="44"/>
  <c r="O71" i="48" s="1"/>
  <c r="N145" i="44"/>
  <c r="N146" i="44"/>
  <c r="O74" i="48" s="1"/>
  <c r="N147" i="44"/>
  <c r="O75" i="48" s="1"/>
  <c r="N148" i="44"/>
  <c r="O76" i="48" s="1"/>
  <c r="N149" i="44"/>
  <c r="O77" i="48" s="1"/>
  <c r="N150" i="44"/>
  <c r="O81" i="48" s="1"/>
  <c r="N151" i="44"/>
  <c r="N140" i="44"/>
  <c r="M141" i="44"/>
  <c r="G88" i="59" l="1"/>
  <c r="H88" i="59"/>
  <c r="G482" i="59"/>
  <c r="H482" i="59"/>
  <c r="A177" i="60"/>
  <c r="E481" i="59"/>
  <c r="A484" i="59"/>
  <c r="E87" i="59"/>
  <c r="A90" i="59"/>
  <c r="N165" i="44"/>
  <c r="N164" i="44"/>
  <c r="O78" i="48"/>
  <c r="N156" i="44"/>
  <c r="O68" i="48"/>
  <c r="O125" i="48"/>
  <c r="O131" i="48"/>
  <c r="O132" i="48"/>
  <c r="O127" i="48"/>
  <c r="M142" i="44"/>
  <c r="M143" i="44"/>
  <c r="N70" i="48" s="1"/>
  <c r="M144" i="44"/>
  <c r="N71" i="48" s="1"/>
  <c r="M145" i="44"/>
  <c r="M146" i="44"/>
  <c r="N74" i="48" s="1"/>
  <c r="M147" i="44"/>
  <c r="N75" i="48" s="1"/>
  <c r="M148" i="44"/>
  <c r="N76" i="48" s="1"/>
  <c r="M149" i="44"/>
  <c r="N77" i="48" s="1"/>
  <c r="M150" i="44"/>
  <c r="N81" i="48" s="1"/>
  <c r="M151" i="44"/>
  <c r="M152" i="44"/>
  <c r="N79" i="48" s="1"/>
  <c r="M153" i="44"/>
  <c r="N80" i="48" s="1"/>
  <c r="O134" i="48"/>
  <c r="O72" i="48"/>
  <c r="O137" i="48"/>
  <c r="O138" i="48"/>
  <c r="O69" i="48"/>
  <c r="O133" i="48"/>
  <c r="O128" i="48"/>
  <c r="O136" i="48"/>
  <c r="M140" i="44"/>
  <c r="N157" i="44"/>
  <c r="L141" i="44"/>
  <c r="N154" i="44"/>
  <c r="O82" i="48" s="1"/>
  <c r="G89" i="59" l="1"/>
  <c r="H89" i="59"/>
  <c r="G483" i="59"/>
  <c r="H483" i="59"/>
  <c r="A178" i="60"/>
  <c r="E88" i="59"/>
  <c r="E482" i="59"/>
  <c r="A485" i="59"/>
  <c r="A91" i="59"/>
  <c r="M165" i="44"/>
  <c r="M164" i="44"/>
  <c r="N166" i="44"/>
  <c r="N167" i="44"/>
  <c r="O135" i="48"/>
  <c r="N78" i="48"/>
  <c r="N158" i="44"/>
  <c r="N125" i="48"/>
  <c r="N68" i="48"/>
  <c r="O139" i="48"/>
  <c r="O129" i="48"/>
  <c r="N128" i="48"/>
  <c r="N132" i="48"/>
  <c r="N127" i="48"/>
  <c r="O89" i="48"/>
  <c r="L146" i="44"/>
  <c r="M74" i="48" s="1"/>
  <c r="L149" i="44"/>
  <c r="M77" i="48" s="1"/>
  <c r="L150" i="44"/>
  <c r="M81" i="48" s="1"/>
  <c r="L148" i="44"/>
  <c r="M76" i="48" s="1"/>
  <c r="L151" i="44"/>
  <c r="L142" i="44"/>
  <c r="L143" i="44"/>
  <c r="M70" i="48" s="1"/>
  <c r="L144" i="44"/>
  <c r="M71" i="48" s="1"/>
  <c r="L145" i="44"/>
  <c r="L147" i="44"/>
  <c r="M75" i="48" s="1"/>
  <c r="L152" i="44"/>
  <c r="M79" i="48" s="1"/>
  <c r="L153" i="44"/>
  <c r="M80" i="48" s="1"/>
  <c r="N138" i="48"/>
  <c r="N131" i="48"/>
  <c r="N69" i="48"/>
  <c r="N136" i="48"/>
  <c r="N133" i="48"/>
  <c r="O88" i="48"/>
  <c r="O126" i="48"/>
  <c r="N137" i="48"/>
  <c r="N134" i="48"/>
  <c r="N72" i="48"/>
  <c r="L140" i="44"/>
  <c r="M157" i="44"/>
  <c r="M156" i="44"/>
  <c r="M154" i="44"/>
  <c r="N82" i="48" s="1"/>
  <c r="K141" i="44"/>
  <c r="G90" i="59" l="1"/>
  <c r="H90" i="59"/>
  <c r="G484" i="59"/>
  <c r="H484" i="59"/>
  <c r="A179" i="60"/>
  <c r="E483" i="59"/>
  <c r="A486" i="59"/>
  <c r="E89" i="59"/>
  <c r="A92" i="59"/>
  <c r="O146" i="48"/>
  <c r="L164" i="44"/>
  <c r="M166" i="44"/>
  <c r="L165" i="44"/>
  <c r="M167" i="44"/>
  <c r="O91" i="48"/>
  <c r="O92" i="48" s="1"/>
  <c r="N135" i="48"/>
  <c r="M78" i="48"/>
  <c r="M158" i="44"/>
  <c r="M159" i="44" s="1"/>
  <c r="N159" i="44"/>
  <c r="M125" i="48"/>
  <c r="M68" i="48"/>
  <c r="M69" i="48"/>
  <c r="N126" i="48"/>
  <c r="N88" i="48"/>
  <c r="M72" i="48"/>
  <c r="M131" i="48"/>
  <c r="M132" i="48"/>
  <c r="M134" i="48"/>
  <c r="M137" i="48"/>
  <c r="M128" i="48"/>
  <c r="M133" i="48"/>
  <c r="K142" i="44"/>
  <c r="K143" i="44"/>
  <c r="L70" i="48" s="1"/>
  <c r="K144" i="44"/>
  <c r="L71" i="48" s="1"/>
  <c r="K145" i="44"/>
  <c r="K146" i="44"/>
  <c r="L74" i="48" s="1"/>
  <c r="K147" i="44"/>
  <c r="L75" i="48" s="1"/>
  <c r="K148" i="44"/>
  <c r="L76" i="48" s="1"/>
  <c r="K149" i="44"/>
  <c r="L77" i="48" s="1"/>
  <c r="K150" i="44"/>
  <c r="L81" i="48" s="1"/>
  <c r="K151" i="44"/>
  <c r="K152" i="44"/>
  <c r="L79" i="48" s="1"/>
  <c r="K153" i="44"/>
  <c r="L80" i="48" s="1"/>
  <c r="N129" i="48"/>
  <c r="O145" i="48"/>
  <c r="N139" i="48"/>
  <c r="M136" i="48"/>
  <c r="M127" i="48"/>
  <c r="M138" i="48"/>
  <c r="N89" i="48"/>
  <c r="K140" i="44"/>
  <c r="L156" i="44"/>
  <c r="J141" i="44"/>
  <c r="L154" i="44"/>
  <c r="M82" i="48" s="1"/>
  <c r="L157" i="44"/>
  <c r="G91" i="59" l="1"/>
  <c r="H91" i="59"/>
  <c r="G485" i="59"/>
  <c r="H485" i="59"/>
  <c r="O148" i="48"/>
  <c r="O149" i="48" s="1"/>
  <c r="A180" i="60"/>
  <c r="E484" i="59"/>
  <c r="A487" i="59"/>
  <c r="A93" i="59"/>
  <c r="E90" i="59"/>
  <c r="K165" i="44"/>
  <c r="L167" i="44"/>
  <c r="K164" i="44"/>
  <c r="L166" i="44"/>
  <c r="N146" i="48"/>
  <c r="M135" i="48"/>
  <c r="N91" i="48"/>
  <c r="N92" i="48" s="1"/>
  <c r="M89" i="48"/>
  <c r="L78" i="48"/>
  <c r="L158" i="44"/>
  <c r="L159" i="44" s="1"/>
  <c r="L68" i="48"/>
  <c r="L125" i="48"/>
  <c r="L137" i="48"/>
  <c r="L134" i="48"/>
  <c r="L72" i="48"/>
  <c r="L133" i="48"/>
  <c r="L128" i="48"/>
  <c r="L132" i="48"/>
  <c r="L127" i="48"/>
  <c r="M139" i="48"/>
  <c r="L136" i="48"/>
  <c r="J149" i="44"/>
  <c r="K77" i="48" s="1"/>
  <c r="J150" i="44"/>
  <c r="K81" i="48" s="1"/>
  <c r="J151" i="44"/>
  <c r="J152" i="44"/>
  <c r="K79" i="48" s="1"/>
  <c r="J153" i="44"/>
  <c r="K80" i="48" s="1"/>
  <c r="J142" i="44"/>
  <c r="J143" i="44"/>
  <c r="K70" i="48" s="1"/>
  <c r="J144" i="44"/>
  <c r="K71" i="48" s="1"/>
  <c r="J145" i="44"/>
  <c r="J146" i="44"/>
  <c r="K74" i="48" s="1"/>
  <c r="J147" i="44"/>
  <c r="K75" i="48" s="1"/>
  <c r="J148" i="44"/>
  <c r="K76" i="48" s="1"/>
  <c r="L138" i="48"/>
  <c r="L131" i="48"/>
  <c r="L69" i="48"/>
  <c r="M129" i="48"/>
  <c r="N145" i="48"/>
  <c r="M88" i="48"/>
  <c r="M126" i="48"/>
  <c r="J140" i="44"/>
  <c r="K157" i="44"/>
  <c r="I141" i="44"/>
  <c r="K154" i="44"/>
  <c r="L82" i="48" s="1"/>
  <c r="K156" i="44"/>
  <c r="G92" i="59" l="1"/>
  <c r="H92" i="59"/>
  <c r="G486" i="59"/>
  <c r="H486" i="59"/>
  <c r="M146" i="48"/>
  <c r="A181" i="60"/>
  <c r="E485" i="59"/>
  <c r="A488" i="59"/>
  <c r="A94" i="59"/>
  <c r="E91" i="59"/>
  <c r="J165" i="44"/>
  <c r="J164" i="44"/>
  <c r="K166" i="44"/>
  <c r="K167" i="44"/>
  <c r="N148" i="48"/>
  <c r="N149" i="48" s="1"/>
  <c r="M91" i="48"/>
  <c r="M92" i="48" s="1"/>
  <c r="L89" i="48"/>
  <c r="L135" i="48"/>
  <c r="K78" i="48"/>
  <c r="K158" i="44"/>
  <c r="K159" i="44" s="1"/>
  <c r="K68" i="48"/>
  <c r="K125" i="48"/>
  <c r="I142" i="44"/>
  <c r="I143" i="44"/>
  <c r="J70" i="48" s="1"/>
  <c r="I144" i="44"/>
  <c r="J71" i="48" s="1"/>
  <c r="I145" i="44"/>
  <c r="I146" i="44"/>
  <c r="J74" i="48" s="1"/>
  <c r="I147" i="44"/>
  <c r="J75" i="48" s="1"/>
  <c r="I148" i="44"/>
  <c r="J76" i="48" s="1"/>
  <c r="I149" i="44"/>
  <c r="J77" i="48" s="1"/>
  <c r="I150" i="44"/>
  <c r="J81" i="48" s="1"/>
  <c r="I151" i="44"/>
  <c r="I152" i="44"/>
  <c r="J79" i="48" s="1"/>
  <c r="I153" i="44"/>
  <c r="J80" i="48" s="1"/>
  <c r="M145" i="48"/>
  <c r="K72" i="48"/>
  <c r="K137" i="48"/>
  <c r="K134" i="48"/>
  <c r="K128" i="48"/>
  <c r="K132" i="48"/>
  <c r="K127" i="48"/>
  <c r="L129" i="48"/>
  <c r="K133" i="48"/>
  <c r="K136" i="48"/>
  <c r="L126" i="48"/>
  <c r="L88" i="48"/>
  <c r="L139" i="48"/>
  <c r="K131" i="48"/>
  <c r="K69" i="48"/>
  <c r="K138" i="48"/>
  <c r="I140" i="44"/>
  <c r="J154" i="44"/>
  <c r="K82" i="48" s="1"/>
  <c r="J156" i="44"/>
  <c r="H141" i="44"/>
  <c r="J157" i="44"/>
  <c r="M148" i="48" l="1"/>
  <c r="M149" i="48" s="1"/>
  <c r="G93" i="59"/>
  <c r="H93" i="59"/>
  <c r="G487" i="59"/>
  <c r="H487" i="59"/>
  <c r="A182" i="60"/>
  <c r="E92" i="59"/>
  <c r="E486" i="59"/>
  <c r="A489" i="59"/>
  <c r="A95" i="59"/>
  <c r="I164" i="44"/>
  <c r="J167" i="44"/>
  <c r="J166" i="44"/>
  <c r="I165" i="44"/>
  <c r="L91" i="48"/>
  <c r="L92" i="48" s="1"/>
  <c r="L146" i="48"/>
  <c r="K135" i="48"/>
  <c r="J158" i="44"/>
  <c r="J159" i="44" s="1"/>
  <c r="J78" i="48"/>
  <c r="J125" i="48"/>
  <c r="J68" i="48"/>
  <c r="J136" i="48"/>
  <c r="K139" i="48"/>
  <c r="K88" i="48"/>
  <c r="K126" i="48"/>
  <c r="J137" i="48"/>
  <c r="J134" i="48"/>
  <c r="J72" i="48"/>
  <c r="J133" i="48"/>
  <c r="J128" i="48"/>
  <c r="J132" i="48"/>
  <c r="J127" i="48"/>
  <c r="K129" i="48"/>
  <c r="H151" i="44"/>
  <c r="H152" i="44"/>
  <c r="I79" i="48" s="1"/>
  <c r="H145" i="44"/>
  <c r="H147" i="44"/>
  <c r="I75" i="48" s="1"/>
  <c r="H153" i="44"/>
  <c r="I80" i="48" s="1"/>
  <c r="H142" i="44"/>
  <c r="H143" i="44"/>
  <c r="I70" i="48" s="1"/>
  <c r="H144" i="44"/>
  <c r="I71" i="48" s="1"/>
  <c r="H146" i="44"/>
  <c r="I74" i="48" s="1"/>
  <c r="H148" i="44"/>
  <c r="I76" i="48" s="1"/>
  <c r="H149" i="44"/>
  <c r="I77" i="48" s="1"/>
  <c r="H150" i="44"/>
  <c r="I81" i="48" s="1"/>
  <c r="L145" i="48"/>
  <c r="K89" i="48"/>
  <c r="J138" i="48"/>
  <c r="J131" i="48"/>
  <c r="J69" i="48"/>
  <c r="H140" i="44"/>
  <c r="I156" i="44"/>
  <c r="G141" i="44"/>
  <c r="I154" i="44"/>
  <c r="J82" i="48" s="1"/>
  <c r="I157" i="44"/>
  <c r="G94" i="59" l="1"/>
  <c r="H94" i="59"/>
  <c r="G488" i="59"/>
  <c r="H488" i="59"/>
  <c r="A183" i="60"/>
  <c r="E487" i="59"/>
  <c r="A490" i="59"/>
  <c r="E93" i="59"/>
  <c r="A96" i="59"/>
  <c r="L148" i="48"/>
  <c r="L149" i="48" s="1"/>
  <c r="H165" i="44"/>
  <c r="I167" i="44"/>
  <c r="I166" i="44"/>
  <c r="H164" i="44"/>
  <c r="K146" i="48"/>
  <c r="K91" i="48"/>
  <c r="K92" i="48" s="1"/>
  <c r="J89" i="48"/>
  <c r="J135" i="48"/>
  <c r="I78" i="48"/>
  <c r="I158" i="44"/>
  <c r="I159" i="44" s="1"/>
  <c r="I125" i="48"/>
  <c r="I68" i="48"/>
  <c r="I69" i="48"/>
  <c r="J139" i="48"/>
  <c r="I131" i="48"/>
  <c r="I137" i="48"/>
  <c r="G142" i="44"/>
  <c r="G143" i="44"/>
  <c r="H70" i="48" s="1"/>
  <c r="G144" i="44"/>
  <c r="H71" i="48" s="1"/>
  <c r="G145" i="44"/>
  <c r="G146" i="44"/>
  <c r="H74" i="48" s="1"/>
  <c r="G147" i="44"/>
  <c r="H75" i="48" s="1"/>
  <c r="G148" i="44"/>
  <c r="H76" i="48" s="1"/>
  <c r="G149" i="44"/>
  <c r="H77" i="48" s="1"/>
  <c r="G150" i="44"/>
  <c r="H81" i="48" s="1"/>
  <c r="G151" i="44"/>
  <c r="G152" i="44"/>
  <c r="H79" i="48" s="1"/>
  <c r="G153" i="44"/>
  <c r="H80" i="48" s="1"/>
  <c r="I138" i="48"/>
  <c r="I128" i="48"/>
  <c r="I132" i="48"/>
  <c r="K145" i="48"/>
  <c r="J126" i="48"/>
  <c r="J88" i="48"/>
  <c r="I133" i="48"/>
  <c r="I136" i="48"/>
  <c r="J129" i="48"/>
  <c r="I134" i="48"/>
  <c r="I127" i="48"/>
  <c r="I72" i="48"/>
  <c r="G140" i="44"/>
  <c r="H154" i="44"/>
  <c r="I82" i="48" s="1"/>
  <c r="H157" i="44"/>
  <c r="H156" i="44"/>
  <c r="F141" i="44"/>
  <c r="G95" i="59" l="1"/>
  <c r="H95" i="59"/>
  <c r="H489" i="59"/>
  <c r="G489" i="59"/>
  <c r="A184" i="60"/>
  <c r="E94" i="59"/>
  <c r="E488" i="59"/>
  <c r="A491" i="59"/>
  <c r="A97" i="59"/>
  <c r="K148" i="48"/>
  <c r="K149" i="48" s="1"/>
  <c r="H167" i="44"/>
  <c r="H166" i="44"/>
  <c r="G165" i="44"/>
  <c r="G164" i="44"/>
  <c r="J91" i="48"/>
  <c r="J92" i="48" s="1"/>
  <c r="I135" i="48"/>
  <c r="J146" i="48"/>
  <c r="I89" i="48"/>
  <c r="H78" i="48"/>
  <c r="H135" i="48" s="1"/>
  <c r="H158" i="44"/>
  <c r="H159" i="44" s="1"/>
  <c r="H68" i="48"/>
  <c r="H125" i="48"/>
  <c r="H137" i="48"/>
  <c r="H72" i="48"/>
  <c r="H136" i="48"/>
  <c r="H133" i="48"/>
  <c r="H128" i="48"/>
  <c r="F142" i="44"/>
  <c r="F143" i="44"/>
  <c r="G70" i="48" s="1"/>
  <c r="F144" i="44"/>
  <c r="G71" i="48" s="1"/>
  <c r="F145" i="44"/>
  <c r="F146" i="44"/>
  <c r="G74" i="48" s="1"/>
  <c r="F147" i="44"/>
  <c r="G75" i="48" s="1"/>
  <c r="F148" i="44"/>
  <c r="G76" i="48" s="1"/>
  <c r="F149" i="44"/>
  <c r="G77" i="48" s="1"/>
  <c r="F150" i="44"/>
  <c r="G81" i="48" s="1"/>
  <c r="F151" i="44"/>
  <c r="F152" i="44"/>
  <c r="G79" i="48" s="1"/>
  <c r="F153" i="44"/>
  <c r="G80" i="48" s="1"/>
  <c r="H132" i="48"/>
  <c r="H127" i="48"/>
  <c r="I139" i="48"/>
  <c r="H134" i="48"/>
  <c r="J145" i="48"/>
  <c r="I129" i="48"/>
  <c r="H138" i="48"/>
  <c r="H131" i="48"/>
  <c r="H69" i="48"/>
  <c r="I88" i="48"/>
  <c r="I126" i="48"/>
  <c r="F140" i="44"/>
  <c r="G154" i="44"/>
  <c r="H82" i="48" s="1"/>
  <c r="G156" i="44"/>
  <c r="G157" i="44"/>
  <c r="E141" i="44"/>
  <c r="G96" i="59" l="1"/>
  <c r="H96" i="59"/>
  <c r="G490" i="59"/>
  <c r="H490" i="59"/>
  <c r="A185" i="60"/>
  <c r="E489" i="59"/>
  <c r="A492" i="59"/>
  <c r="E95" i="59"/>
  <c r="A98" i="59"/>
  <c r="G167" i="44"/>
  <c r="G166" i="44"/>
  <c r="F165" i="44"/>
  <c r="F164" i="44"/>
  <c r="J148" i="48"/>
  <c r="J149" i="48" s="1"/>
  <c r="I146" i="48"/>
  <c r="I91" i="48"/>
  <c r="I92" i="48" s="1"/>
  <c r="H89" i="48"/>
  <c r="G78" i="48"/>
  <c r="G135" i="48" s="1"/>
  <c r="G158" i="44"/>
  <c r="G159" i="44" s="1"/>
  <c r="G68" i="48"/>
  <c r="G125" i="48"/>
  <c r="G137" i="48"/>
  <c r="G72" i="48"/>
  <c r="I145" i="48"/>
  <c r="G136" i="48"/>
  <c r="G133" i="48"/>
  <c r="G128" i="48"/>
  <c r="H129" i="48"/>
  <c r="H146" i="48" s="1"/>
  <c r="G134" i="48"/>
  <c r="H139" i="48"/>
  <c r="G132" i="48"/>
  <c r="G127" i="48"/>
  <c r="E142" i="44"/>
  <c r="E143" i="44"/>
  <c r="E144" i="44"/>
  <c r="F71" i="48" s="1"/>
  <c r="E145" i="44"/>
  <c r="E146" i="44"/>
  <c r="F74" i="48" s="1"/>
  <c r="E147" i="44"/>
  <c r="F75" i="48" s="1"/>
  <c r="E148" i="44"/>
  <c r="F76" i="48" s="1"/>
  <c r="E149" i="44"/>
  <c r="F77" i="48" s="1"/>
  <c r="E150" i="44"/>
  <c r="F81" i="48" s="1"/>
  <c r="E151" i="44"/>
  <c r="E152" i="44"/>
  <c r="F79" i="48" s="1"/>
  <c r="E153" i="44"/>
  <c r="F80" i="48" s="1"/>
  <c r="H126" i="48"/>
  <c r="H88" i="48"/>
  <c r="G138" i="48"/>
  <c r="G131" i="48"/>
  <c r="G69" i="48"/>
  <c r="E140" i="44"/>
  <c r="F157" i="44"/>
  <c r="F154" i="44"/>
  <c r="G82" i="48" s="1"/>
  <c r="F156" i="44"/>
  <c r="D141" i="44"/>
  <c r="G97" i="59" l="1"/>
  <c r="H97" i="59"/>
  <c r="G491" i="59"/>
  <c r="H491" i="59"/>
  <c r="A186" i="60"/>
  <c r="E96" i="59"/>
  <c r="E490" i="59"/>
  <c r="A493" i="59"/>
  <c r="A99" i="59"/>
  <c r="F166" i="44"/>
  <c r="F167" i="44"/>
  <c r="E165" i="44"/>
  <c r="E164" i="44"/>
  <c r="I148" i="48"/>
  <c r="I149" i="48" s="1"/>
  <c r="H91" i="48"/>
  <c r="H92" i="48" s="1"/>
  <c r="F78" i="48"/>
  <c r="F70" i="48"/>
  <c r="F158" i="44"/>
  <c r="F159" i="44" s="1"/>
  <c r="F125" i="48"/>
  <c r="F68" i="48"/>
  <c r="F138" i="48"/>
  <c r="F134" i="48"/>
  <c r="F72" i="48"/>
  <c r="G129" i="48"/>
  <c r="G146" i="48" s="1"/>
  <c r="D146" i="44"/>
  <c r="E74" i="48" s="1"/>
  <c r="D148" i="44"/>
  <c r="E76" i="48" s="1"/>
  <c r="D149" i="44"/>
  <c r="E77" i="48" s="1"/>
  <c r="D153" i="44"/>
  <c r="E80" i="48" s="1"/>
  <c r="D150" i="44"/>
  <c r="E81" i="48" s="1"/>
  <c r="D142" i="44"/>
  <c r="D143" i="44"/>
  <c r="D144" i="44"/>
  <c r="E71" i="48" s="1"/>
  <c r="D145" i="44"/>
  <c r="D147" i="44"/>
  <c r="E75" i="48" s="1"/>
  <c r="D151" i="44"/>
  <c r="D152" i="44"/>
  <c r="E79" i="48" s="1"/>
  <c r="G88" i="48"/>
  <c r="G126" i="48"/>
  <c r="F131" i="48"/>
  <c r="F137" i="48"/>
  <c r="F133" i="48"/>
  <c r="F128" i="48"/>
  <c r="F69" i="48"/>
  <c r="G139" i="48"/>
  <c r="F136" i="48"/>
  <c r="H145" i="48"/>
  <c r="H148" i="48" s="1"/>
  <c r="H149" i="48" s="1"/>
  <c r="F132" i="48"/>
  <c r="G89" i="48"/>
  <c r="D140" i="44"/>
  <c r="C141" i="44"/>
  <c r="B141" i="44" s="1"/>
  <c r="E154" i="44"/>
  <c r="F82" i="48" s="1"/>
  <c r="E156" i="44"/>
  <c r="E157" i="44"/>
  <c r="G98" i="59" l="1"/>
  <c r="H98" i="59"/>
  <c r="G492" i="59"/>
  <c r="H492" i="59"/>
  <c r="A187" i="60"/>
  <c r="E491" i="59"/>
  <c r="A494" i="59"/>
  <c r="E97" i="59"/>
  <c r="A100" i="59"/>
  <c r="E166" i="44"/>
  <c r="D164" i="44"/>
  <c r="E167" i="44"/>
  <c r="D165" i="44"/>
  <c r="G91" i="48"/>
  <c r="G92" i="48" s="1"/>
  <c r="F127" i="48"/>
  <c r="F135" i="48"/>
  <c r="F89" i="48"/>
  <c r="E78" i="48"/>
  <c r="E70" i="48"/>
  <c r="E127" i="48" s="1"/>
  <c r="E159" i="44"/>
  <c r="E158" i="44"/>
  <c r="E125" i="48"/>
  <c r="E68" i="48"/>
  <c r="E128" i="48"/>
  <c r="E134" i="48"/>
  <c r="E137" i="48"/>
  <c r="F139" i="48"/>
  <c r="F126" i="48"/>
  <c r="F88" i="48"/>
  <c r="G145" i="48"/>
  <c r="G148" i="48" s="1"/>
  <c r="G149" i="48" s="1"/>
  <c r="E132" i="48"/>
  <c r="E69" i="48"/>
  <c r="E133" i="48"/>
  <c r="E136" i="48"/>
  <c r="C142" i="44"/>
  <c r="C143" i="44"/>
  <c r="C144" i="44"/>
  <c r="D71" i="48" s="1"/>
  <c r="C145" i="44"/>
  <c r="C146" i="44"/>
  <c r="D74" i="48" s="1"/>
  <c r="C147" i="44"/>
  <c r="D75" i="48" s="1"/>
  <c r="C148" i="44"/>
  <c r="D76" i="48" s="1"/>
  <c r="C149" i="44"/>
  <c r="D77" i="48" s="1"/>
  <c r="C150" i="44"/>
  <c r="D81" i="48" s="1"/>
  <c r="C151" i="44"/>
  <c r="C152" i="44"/>
  <c r="D79" i="48" s="1"/>
  <c r="C153" i="44"/>
  <c r="D80" i="48" s="1"/>
  <c r="E72" i="48"/>
  <c r="E138" i="48"/>
  <c r="E131" i="48"/>
  <c r="F129" i="48"/>
  <c r="C140" i="44"/>
  <c r="D154" i="44"/>
  <c r="E82" i="48" s="1"/>
  <c r="D157" i="44"/>
  <c r="D156" i="44"/>
  <c r="B142" i="44"/>
  <c r="G99" i="59" l="1"/>
  <c r="H99" i="59"/>
  <c r="G493" i="59"/>
  <c r="H493" i="59"/>
  <c r="A188" i="60"/>
  <c r="E98" i="59"/>
  <c r="E492" i="59"/>
  <c r="A495" i="59"/>
  <c r="A101" i="59"/>
  <c r="C165" i="44"/>
  <c r="D167" i="44"/>
  <c r="C164" i="44"/>
  <c r="D166" i="44"/>
  <c r="F91" i="48"/>
  <c r="F92" i="48" s="1"/>
  <c r="F146" i="48"/>
  <c r="E89" i="48"/>
  <c r="E135" i="48"/>
  <c r="D78" i="48"/>
  <c r="D70" i="48"/>
  <c r="D159" i="44"/>
  <c r="D158" i="44"/>
  <c r="D68" i="48"/>
  <c r="D125" i="48"/>
  <c r="D131" i="48"/>
  <c r="D137" i="48"/>
  <c r="D134" i="48"/>
  <c r="D72" i="48"/>
  <c r="E139" i="48"/>
  <c r="D136" i="48"/>
  <c r="D133" i="48"/>
  <c r="D128" i="48"/>
  <c r="D138" i="48"/>
  <c r="D69" i="48"/>
  <c r="E88" i="48"/>
  <c r="E126" i="48"/>
  <c r="B149" i="44"/>
  <c r="C77" i="48" s="1"/>
  <c r="B150" i="44"/>
  <c r="C81" i="48" s="1"/>
  <c r="B151" i="44"/>
  <c r="B152" i="44"/>
  <c r="C79" i="48" s="1"/>
  <c r="B153" i="44"/>
  <c r="C80" i="48" s="1"/>
  <c r="B143" i="44"/>
  <c r="B144" i="44"/>
  <c r="C71" i="48" s="1"/>
  <c r="B145" i="44"/>
  <c r="B146" i="44"/>
  <c r="C74" i="48" s="1"/>
  <c r="B147" i="44"/>
  <c r="C75" i="48" s="1"/>
  <c r="B148" i="44"/>
  <c r="C76" i="48" s="1"/>
  <c r="E129" i="48"/>
  <c r="D132" i="48"/>
  <c r="F145" i="48"/>
  <c r="B140" i="44"/>
  <c r="C154" i="44"/>
  <c r="D82" i="48" s="1"/>
  <c r="C156" i="44"/>
  <c r="C157" i="44"/>
  <c r="G100" i="59" l="1"/>
  <c r="H100" i="59"/>
  <c r="G494" i="59"/>
  <c r="H494" i="59"/>
  <c r="A189" i="60"/>
  <c r="E493" i="59"/>
  <c r="A496" i="59"/>
  <c r="E99" i="59"/>
  <c r="A102" i="59"/>
  <c r="E91" i="48"/>
  <c r="E92" i="48" s="1"/>
  <c r="C167" i="44"/>
  <c r="C166" i="44"/>
  <c r="B165" i="44"/>
  <c r="B164" i="44"/>
  <c r="F148" i="48"/>
  <c r="F149" i="48" s="1"/>
  <c r="D135" i="48"/>
  <c r="D127" i="48"/>
  <c r="E146" i="48"/>
  <c r="D89" i="48"/>
  <c r="C159" i="44"/>
  <c r="C158" i="44"/>
  <c r="C78" i="48"/>
  <c r="C135" i="48" s="1"/>
  <c r="C70" i="48"/>
  <c r="C68" i="48"/>
  <c r="C125" i="48"/>
  <c r="E145" i="48"/>
  <c r="C69" i="48"/>
  <c r="C138" i="48"/>
  <c r="C131" i="48"/>
  <c r="D139" i="48"/>
  <c r="C72" i="48"/>
  <c r="C137" i="48"/>
  <c r="C134" i="48"/>
  <c r="D126" i="48"/>
  <c r="D88" i="48"/>
  <c r="C132" i="48"/>
  <c r="C133" i="48"/>
  <c r="C128" i="48"/>
  <c r="C136" i="48"/>
  <c r="D129" i="48"/>
  <c r="B157" i="44"/>
  <c r="B156" i="44"/>
  <c r="B154" i="44"/>
  <c r="B167" i="44" s="1"/>
  <c r="G101" i="59" l="1"/>
  <c r="H101" i="59"/>
  <c r="G495" i="59"/>
  <c r="H495" i="59"/>
  <c r="A190" i="60"/>
  <c r="E494" i="59"/>
  <c r="A497" i="59"/>
  <c r="E100" i="59"/>
  <c r="A103" i="59"/>
  <c r="B158" i="44"/>
  <c r="B166" i="44"/>
  <c r="O166" i="44" s="1"/>
  <c r="E148" i="48"/>
  <c r="E149" i="48" s="1"/>
  <c r="D146" i="48"/>
  <c r="D91" i="48"/>
  <c r="D92" i="48" s="1"/>
  <c r="C127" i="48"/>
  <c r="C82" i="48"/>
  <c r="C89" i="48"/>
  <c r="B159" i="44"/>
  <c r="C129" i="48"/>
  <c r="C126" i="48"/>
  <c r="C88" i="48"/>
  <c r="D145" i="48"/>
  <c r="H91" i="44"/>
  <c r="G92" i="44"/>
  <c r="A92" i="44"/>
  <c r="E92" i="44" s="1"/>
  <c r="B51" i="44"/>
  <c r="B52" i="44"/>
  <c r="B53" i="44"/>
  <c r="B54" i="44"/>
  <c r="B55" i="44"/>
  <c r="B56" i="44"/>
  <c r="B57" i="44"/>
  <c r="B58" i="44"/>
  <c r="B59" i="44"/>
  <c r="B60" i="44"/>
  <c r="B61" i="44"/>
  <c r="C9" i="48"/>
  <c r="H15" i="6"/>
  <c r="E3" i="40"/>
  <c r="G102" i="59" l="1"/>
  <c r="H102" i="59"/>
  <c r="G496" i="59"/>
  <c r="H496" i="59"/>
  <c r="D3" i="64"/>
  <c r="D3" i="65"/>
  <c r="I3" i="62"/>
  <c r="E3" i="63"/>
  <c r="E3" i="61"/>
  <c r="A191" i="60"/>
  <c r="E101" i="59"/>
  <c r="E495" i="59"/>
  <c r="A498" i="59"/>
  <c r="A104" i="59"/>
  <c r="D148" i="48"/>
  <c r="D149" i="48" s="1"/>
  <c r="C91" i="48"/>
  <c r="C92" i="48" s="1"/>
  <c r="C139" i="48"/>
  <c r="C146" i="48"/>
  <c r="C32" i="48"/>
  <c r="C25" i="48"/>
  <c r="D3" i="57"/>
  <c r="E3" i="58"/>
  <c r="H22" i="6"/>
  <c r="J15" i="6"/>
  <c r="F15" i="6"/>
  <c r="J22" i="6"/>
  <c r="F22" i="6"/>
  <c r="C10" i="48"/>
  <c r="C13" i="48"/>
  <c r="C16" i="48"/>
  <c r="C12" i="48"/>
  <c r="C8" i="48"/>
  <c r="C14" i="48"/>
  <c r="C6" i="48"/>
  <c r="C15" i="48"/>
  <c r="C11" i="48"/>
  <c r="C7" i="48"/>
  <c r="C29" i="48"/>
  <c r="C28" i="48"/>
  <c r="C24" i="48"/>
  <c r="C31" i="48"/>
  <c r="C27" i="48"/>
  <c r="C23" i="48"/>
  <c r="C145" i="48"/>
  <c r="C21" i="48"/>
  <c r="C30" i="48"/>
  <c r="C26" i="48"/>
  <c r="C22" i="48"/>
  <c r="D3" i="21"/>
  <c r="E3" i="29"/>
  <c r="K3" i="6"/>
  <c r="F7" i="6" s="1"/>
  <c r="G8" i="6" s="1"/>
  <c r="B109" i="44"/>
  <c r="H109" i="44"/>
  <c r="B110" i="44"/>
  <c r="H110" i="44"/>
  <c r="H106" i="44"/>
  <c r="B62" i="44"/>
  <c r="C50" i="44" s="1"/>
  <c r="E3" i="13"/>
  <c r="I3" i="15"/>
  <c r="E3" i="23"/>
  <c r="E3" i="30"/>
  <c r="G3" i="11"/>
  <c r="E3" i="31"/>
  <c r="E3" i="10"/>
  <c r="E3" i="14"/>
  <c r="G103" i="59" l="1"/>
  <c r="H103" i="59"/>
  <c r="G497" i="59"/>
  <c r="H497" i="59"/>
  <c r="A192" i="60"/>
  <c r="E496" i="59"/>
  <c r="A499" i="59"/>
  <c r="A105" i="59"/>
  <c r="E102" i="59"/>
  <c r="C17" i="48"/>
  <c r="D18" i="48" s="1"/>
  <c r="C148" i="48"/>
  <c r="C149" i="48" s="1"/>
  <c r="C55" i="44"/>
  <c r="C54" i="44"/>
  <c r="C56" i="44"/>
  <c r="C61" i="44"/>
  <c r="C51" i="44"/>
  <c r="C60" i="44"/>
  <c r="C59" i="44"/>
  <c r="C53" i="44"/>
  <c r="C58" i="44"/>
  <c r="C52" i="44"/>
  <c r="C57" i="44"/>
  <c r="C33" i="48"/>
  <c r="D24" i="48" s="1"/>
  <c r="G104" i="59" l="1"/>
  <c r="H104" i="59"/>
  <c r="G498" i="59"/>
  <c r="H498" i="59"/>
  <c r="A193" i="60"/>
  <c r="E103" i="59"/>
  <c r="E497" i="59"/>
  <c r="A500" i="59"/>
  <c r="A106" i="59"/>
  <c r="D5" i="48"/>
  <c r="D9" i="48"/>
  <c r="D6" i="48"/>
  <c r="D14" i="48"/>
  <c r="D16" i="48"/>
  <c r="D15" i="48"/>
  <c r="D12" i="48"/>
  <c r="D7" i="48"/>
  <c r="D8" i="48"/>
  <c r="D13" i="48"/>
  <c r="D10" i="48"/>
  <c r="D11" i="48"/>
  <c r="D22" i="48"/>
  <c r="D31" i="48"/>
  <c r="D28" i="48"/>
  <c r="D29" i="48"/>
  <c r="D21" i="48"/>
  <c r="D26" i="48"/>
  <c r="D32" i="48"/>
  <c r="D25" i="48"/>
  <c r="D27" i="48"/>
  <c r="D23" i="48"/>
  <c r="D30" i="48"/>
  <c r="F50" i="44"/>
  <c r="F51" i="44"/>
  <c r="G105" i="59" l="1"/>
  <c r="G499" i="59"/>
  <c r="H499" i="59"/>
  <c r="A194" i="60"/>
  <c r="E498" i="59"/>
  <c r="A501" i="59"/>
  <c r="E104" i="59"/>
  <c r="A107" i="59"/>
  <c r="H105" i="59"/>
  <c r="D17" i="48"/>
  <c r="G6" i="48"/>
  <c r="G22" i="48"/>
  <c r="G21" i="48"/>
  <c r="C46" i="44"/>
  <c r="C62" i="44"/>
  <c r="G106" i="59" l="1"/>
  <c r="G500" i="59"/>
  <c r="H500" i="59"/>
  <c r="A195" i="60"/>
  <c r="A502" i="59"/>
  <c r="E499" i="59"/>
  <c r="E105" i="59"/>
  <c r="A108" i="59"/>
  <c r="H106" i="59"/>
  <c r="G5" i="48"/>
  <c r="D33" i="48"/>
  <c r="C20" i="6"/>
  <c r="G107" i="59" l="1"/>
  <c r="H107" i="59"/>
  <c r="G501" i="59"/>
  <c r="A196" i="60"/>
  <c r="E106" i="59"/>
  <c r="A503" i="59"/>
  <c r="H501" i="59"/>
  <c r="E500" i="59"/>
  <c r="A109" i="59"/>
  <c r="K8" i="6"/>
  <c r="I8" i="6"/>
  <c r="G108" i="59" l="1"/>
  <c r="G502" i="59"/>
  <c r="A197" i="60"/>
  <c r="H502" i="59"/>
  <c r="A504" i="59"/>
  <c r="E501" i="59"/>
  <c r="E107" i="59"/>
  <c r="H108" i="59"/>
  <c r="A110" i="59"/>
  <c r="E24" i="40"/>
  <c r="E23" i="40"/>
  <c r="E17" i="40"/>
  <c r="E15" i="40"/>
  <c r="E14" i="40"/>
  <c r="E13" i="40"/>
  <c r="E12" i="40"/>
  <c r="E11" i="40"/>
  <c r="E10" i="40"/>
  <c r="E9" i="40"/>
  <c r="G109" i="59" l="1"/>
  <c r="H109" i="59"/>
  <c r="G503" i="59"/>
  <c r="A198" i="60"/>
  <c r="E108" i="59"/>
  <c r="H503" i="59"/>
  <c r="E502" i="59"/>
  <c r="A505" i="59"/>
  <c r="A111" i="59"/>
  <c r="N64" i="21"/>
  <c r="O64" i="21"/>
  <c r="G110" i="59" l="1"/>
  <c r="H110" i="59"/>
  <c r="G504" i="59"/>
  <c r="H504" i="59"/>
  <c r="A199" i="60"/>
  <c r="E503" i="59"/>
  <c r="A506" i="59"/>
  <c r="A112" i="59"/>
  <c r="E109" i="59"/>
  <c r="G111" i="59" l="1"/>
  <c r="H111" i="59"/>
  <c r="H505" i="59"/>
  <c r="G505" i="59"/>
  <c r="A200" i="60"/>
  <c r="E504" i="59"/>
  <c r="E110" i="59"/>
  <c r="A507" i="59"/>
  <c r="A113" i="59"/>
  <c r="G112" i="59" l="1"/>
  <c r="H112" i="59"/>
  <c r="G506" i="59"/>
  <c r="H506" i="59"/>
  <c r="A201" i="60"/>
  <c r="E111" i="59"/>
  <c r="E505" i="59"/>
  <c r="A508" i="59"/>
  <c r="A114" i="59"/>
  <c r="G113" i="59" l="1"/>
  <c r="H113" i="59"/>
  <c r="G507" i="59"/>
  <c r="H507" i="59"/>
  <c r="A202" i="60"/>
  <c r="E112" i="59"/>
  <c r="A509" i="59"/>
  <c r="E506" i="59"/>
  <c r="A115" i="59"/>
  <c r="G114" i="59" l="1"/>
  <c r="H114" i="59"/>
  <c r="G508" i="59"/>
  <c r="H508" i="59"/>
  <c r="A203" i="60"/>
  <c r="E113" i="59"/>
  <c r="E507" i="59"/>
  <c r="A510" i="59"/>
  <c r="A116" i="59"/>
  <c r="G115" i="59" l="1"/>
  <c r="H115" i="59"/>
  <c r="G509" i="59"/>
  <c r="H509" i="59"/>
  <c r="A204" i="60"/>
  <c r="E114" i="59"/>
  <c r="E508" i="59"/>
  <c r="A511" i="59"/>
  <c r="A117" i="59"/>
  <c r="G116" i="59" l="1"/>
  <c r="H116" i="59"/>
  <c r="G510" i="59"/>
  <c r="H510" i="59"/>
  <c r="A205" i="60"/>
  <c r="A512" i="59"/>
  <c r="E509" i="59"/>
  <c r="A118" i="59"/>
  <c r="E115" i="59"/>
  <c r="G117" i="59" l="1"/>
  <c r="H117" i="59"/>
  <c r="G511" i="59"/>
  <c r="H511" i="59"/>
  <c r="A206" i="60"/>
  <c r="A513" i="59"/>
  <c r="E510" i="59"/>
  <c r="A119" i="59"/>
  <c r="E116" i="59"/>
  <c r="G118" i="59" l="1"/>
  <c r="H118" i="59"/>
  <c r="G512" i="59"/>
  <c r="H512" i="59"/>
  <c r="A207" i="60"/>
  <c r="A514" i="59"/>
  <c r="E511" i="59"/>
  <c r="A120" i="59"/>
  <c r="E117" i="59"/>
  <c r="G119" i="59" l="1"/>
  <c r="H119" i="59"/>
  <c r="H513" i="59"/>
  <c r="G513" i="59"/>
  <c r="A208" i="60"/>
  <c r="E512" i="59"/>
  <c r="A515" i="59"/>
  <c r="A121" i="59"/>
  <c r="E118" i="59"/>
  <c r="G120" i="59" l="1"/>
  <c r="H120" i="59"/>
  <c r="G514" i="59"/>
  <c r="H514" i="59"/>
  <c r="A209" i="60"/>
  <c r="E513" i="59"/>
  <c r="A516" i="59"/>
  <c r="A122" i="59"/>
  <c r="E119" i="59"/>
  <c r="G121" i="59" l="1"/>
  <c r="H121" i="59"/>
  <c r="G515" i="59"/>
  <c r="H515" i="59"/>
  <c r="A210" i="60"/>
  <c r="E514" i="59"/>
  <c r="A517" i="59"/>
  <c r="E120" i="59"/>
  <c r="A123" i="59"/>
  <c r="G122" i="59" l="1"/>
  <c r="H122" i="59"/>
  <c r="G516" i="59"/>
  <c r="H516" i="59"/>
  <c r="A211" i="60"/>
  <c r="E515" i="59"/>
  <c r="A518" i="59"/>
  <c r="A124" i="59"/>
  <c r="E121" i="59"/>
  <c r="G123" i="59" l="1"/>
  <c r="H123" i="59"/>
  <c r="G517" i="59"/>
  <c r="H517" i="59"/>
  <c r="A212" i="60"/>
  <c r="E516" i="59"/>
  <c r="E122" i="59"/>
  <c r="A519" i="59"/>
  <c r="A125" i="59"/>
  <c r="G124" i="59" l="1"/>
  <c r="H124" i="59"/>
  <c r="G518" i="59"/>
  <c r="H518" i="59"/>
  <c r="A213" i="60"/>
  <c r="E517" i="59"/>
  <c r="A520" i="59"/>
  <c r="E123" i="59"/>
  <c r="A126" i="59"/>
  <c r="G125" i="59" l="1"/>
  <c r="H125" i="59"/>
  <c r="G519" i="59"/>
  <c r="H519" i="59"/>
  <c r="A214" i="60"/>
  <c r="E518" i="59"/>
  <c r="A521" i="59"/>
  <c r="E124" i="59"/>
  <c r="A127" i="59"/>
  <c r="G126" i="59" l="1"/>
  <c r="H126" i="59"/>
  <c r="G520" i="59"/>
  <c r="H520" i="59"/>
  <c r="A215" i="60"/>
  <c r="E519" i="59"/>
  <c r="A522" i="59"/>
  <c r="A128" i="59"/>
  <c r="E125" i="59"/>
  <c r="G127" i="59" l="1"/>
  <c r="H127" i="59"/>
  <c r="H521" i="59"/>
  <c r="G521" i="59"/>
  <c r="A216" i="60"/>
  <c r="E520" i="59"/>
  <c r="A523" i="59"/>
  <c r="E126" i="59"/>
  <c r="A129" i="59"/>
  <c r="G128" i="59" l="1"/>
  <c r="H128" i="59"/>
  <c r="G522" i="59"/>
  <c r="H522" i="59"/>
  <c r="A217" i="60"/>
  <c r="E127" i="59"/>
  <c r="E521" i="59"/>
  <c r="A524" i="59"/>
  <c r="A130" i="59"/>
  <c r="G129" i="59" l="1"/>
  <c r="H129" i="59"/>
  <c r="G523" i="59"/>
  <c r="H523" i="59"/>
  <c r="A218" i="60"/>
  <c r="E522" i="59"/>
  <c r="A525" i="59"/>
  <c r="E128" i="59"/>
  <c r="A131" i="59"/>
  <c r="G130" i="59" l="1"/>
  <c r="H130" i="59"/>
  <c r="G524" i="59"/>
  <c r="H524" i="59"/>
  <c r="A219" i="60"/>
  <c r="E129" i="59"/>
  <c r="A526" i="59"/>
  <c r="E523" i="59"/>
  <c r="A132" i="59"/>
  <c r="G131" i="59" l="1"/>
  <c r="H131" i="59"/>
  <c r="G525" i="59"/>
  <c r="H525" i="59"/>
  <c r="A220" i="60"/>
  <c r="E524" i="59"/>
  <c r="A527" i="59"/>
  <c r="E130" i="59"/>
  <c r="A133" i="59"/>
  <c r="G132" i="59" l="1"/>
  <c r="H132" i="59"/>
  <c r="G526" i="59"/>
  <c r="H526" i="59"/>
  <c r="A221" i="60"/>
  <c r="E525" i="59"/>
  <c r="E131" i="59"/>
  <c r="A528" i="59"/>
  <c r="A134" i="59"/>
  <c r="G133" i="59" l="1"/>
  <c r="H133" i="59"/>
  <c r="G527" i="59"/>
  <c r="H527" i="59"/>
  <c r="A222" i="60"/>
  <c r="E526" i="59"/>
  <c r="A529" i="59"/>
  <c r="E132" i="59"/>
  <c r="A135" i="59"/>
  <c r="G134" i="59" l="1"/>
  <c r="H134" i="59"/>
  <c r="G528" i="59"/>
  <c r="H528" i="59"/>
  <c r="A223" i="60"/>
  <c r="E527" i="59"/>
  <c r="A530" i="59"/>
  <c r="E133" i="59"/>
  <c r="A136" i="59"/>
  <c r="G135" i="59" l="1"/>
  <c r="H135" i="59"/>
  <c r="G529" i="59"/>
  <c r="H529" i="59"/>
  <c r="A224" i="60"/>
  <c r="E528" i="59"/>
  <c r="A531" i="59"/>
  <c r="E134" i="59"/>
  <c r="A137" i="59"/>
  <c r="G136" i="59" l="1"/>
  <c r="G530" i="59"/>
  <c r="H530" i="59"/>
  <c r="A225" i="60"/>
  <c r="E529" i="59"/>
  <c r="E135" i="59"/>
  <c r="A532" i="59"/>
  <c r="A138" i="59"/>
  <c r="H136" i="59"/>
  <c r="G137" i="59" l="1"/>
  <c r="G531" i="59"/>
  <c r="A226" i="60"/>
  <c r="E136" i="59"/>
  <c r="A533" i="59"/>
  <c r="H531" i="59"/>
  <c r="E530" i="59"/>
  <c r="H137" i="59"/>
  <c r="A139" i="59"/>
  <c r="G138" i="59" l="1"/>
  <c r="G532" i="59"/>
  <c r="H533" i="59"/>
  <c r="G533" i="59"/>
  <c r="A227" i="60"/>
  <c r="E531" i="59"/>
  <c r="E137" i="59"/>
  <c r="H532" i="59"/>
  <c r="A140" i="59"/>
  <c r="H138" i="59"/>
  <c r="G139" i="59" l="1"/>
  <c r="H139" i="59"/>
  <c r="A228" i="60"/>
  <c r="E532" i="59"/>
  <c r="E533" i="59"/>
  <c r="A141" i="59"/>
  <c r="E138" i="59"/>
  <c r="G140" i="59" l="1"/>
  <c r="H140" i="59"/>
  <c r="A229" i="60"/>
  <c r="A142" i="59"/>
  <c r="E139" i="59"/>
  <c r="G141" i="59" l="1"/>
  <c r="H141" i="59"/>
  <c r="A230" i="60"/>
  <c r="E140" i="59"/>
  <c r="A143" i="59"/>
  <c r="G142" i="59" l="1"/>
  <c r="H142" i="59"/>
  <c r="A231" i="60"/>
  <c r="A144" i="59"/>
  <c r="E141" i="59"/>
  <c r="G143" i="59" l="1"/>
  <c r="H143" i="59"/>
  <c r="A232" i="60"/>
  <c r="E142" i="59"/>
  <c r="A145" i="59"/>
  <c r="G144" i="59" l="1"/>
  <c r="H144" i="59"/>
  <c r="A233" i="60"/>
  <c r="E143" i="59"/>
  <c r="A146" i="59"/>
  <c r="G145" i="59" l="1"/>
  <c r="H145" i="59"/>
  <c r="A234" i="60"/>
  <c r="E144" i="59"/>
  <c r="A147" i="59"/>
  <c r="G146" i="59" l="1"/>
  <c r="H146" i="59"/>
  <c r="A235" i="60"/>
  <c r="E145" i="59"/>
  <c r="A148" i="59"/>
  <c r="G147" i="59" l="1"/>
  <c r="H147" i="59"/>
  <c r="A236" i="60"/>
  <c r="E146" i="59"/>
  <c r="A149" i="59"/>
  <c r="G148" i="59" l="1"/>
  <c r="H148" i="59"/>
  <c r="A237" i="60"/>
  <c r="A150" i="59"/>
  <c r="E147" i="59"/>
  <c r="G149" i="59" l="1"/>
  <c r="H149" i="59"/>
  <c r="A238" i="60"/>
  <c r="E148" i="59"/>
  <c r="A151" i="59"/>
  <c r="G150" i="59" l="1"/>
  <c r="H150" i="59"/>
  <c r="A239" i="60"/>
  <c r="E149" i="59"/>
  <c r="A152" i="59"/>
  <c r="G151" i="59" l="1"/>
  <c r="H151" i="59"/>
  <c r="A240" i="60"/>
  <c r="E150" i="59"/>
  <c r="A153" i="59"/>
  <c r="G152" i="59" l="1"/>
  <c r="H152" i="59"/>
  <c r="A241" i="60"/>
  <c r="E151" i="59"/>
  <c r="A154" i="59"/>
  <c r="G153" i="59" l="1"/>
  <c r="H153" i="59"/>
  <c r="A242" i="60"/>
  <c r="E152" i="59"/>
  <c r="A155" i="59"/>
  <c r="G154" i="59" l="1"/>
  <c r="H154" i="59"/>
  <c r="A243" i="60"/>
  <c r="E153" i="59"/>
  <c r="A156" i="59"/>
  <c r="G155" i="59" l="1"/>
  <c r="H155" i="59"/>
  <c r="A244" i="60"/>
  <c r="E154" i="59"/>
  <c r="A157" i="59"/>
  <c r="G156" i="59" l="1"/>
  <c r="H156" i="59"/>
  <c r="A245" i="60"/>
  <c r="E155" i="59"/>
  <c r="A158" i="59"/>
  <c r="G157" i="59" l="1"/>
  <c r="H157" i="59"/>
  <c r="A246" i="60"/>
  <c r="E156" i="59"/>
  <c r="A159" i="59"/>
  <c r="G158" i="59" l="1"/>
  <c r="H158" i="59"/>
  <c r="A247" i="60"/>
  <c r="E157" i="59"/>
  <c r="A160" i="59"/>
  <c r="G159" i="59" l="1"/>
  <c r="H159" i="59"/>
  <c r="A248" i="60"/>
  <c r="E158" i="59"/>
  <c r="A161" i="59"/>
  <c r="G160" i="59" l="1"/>
  <c r="H160" i="59"/>
  <c r="A249" i="60"/>
  <c r="E159" i="59"/>
  <c r="A162" i="59"/>
  <c r="G161" i="59" l="1"/>
  <c r="H161" i="59"/>
  <c r="A250" i="60"/>
  <c r="E160" i="59"/>
  <c r="A163" i="59"/>
  <c r="G162" i="59" l="1"/>
  <c r="H162" i="59"/>
  <c r="A251" i="60"/>
  <c r="E161" i="59"/>
  <c r="A164" i="59"/>
  <c r="G163" i="59" l="1"/>
  <c r="H163" i="59"/>
  <c r="A252" i="60"/>
  <c r="A165" i="59"/>
  <c r="E162" i="59"/>
  <c r="G164" i="59" l="1"/>
  <c r="H164" i="59"/>
  <c r="A253" i="60"/>
  <c r="E163" i="59"/>
  <c r="A166" i="59"/>
  <c r="G165" i="59" l="1"/>
  <c r="H165" i="59"/>
  <c r="A254" i="60"/>
  <c r="E164" i="59"/>
  <c r="A167" i="59"/>
  <c r="G166" i="59" l="1"/>
  <c r="A255" i="60"/>
  <c r="E165" i="59"/>
  <c r="H166" i="59"/>
  <c r="A168" i="59"/>
  <c r="G167" i="59" l="1"/>
  <c r="A256" i="60"/>
  <c r="E166" i="59"/>
  <c r="H167" i="59"/>
  <c r="A169" i="59"/>
  <c r="G168" i="59" l="1"/>
  <c r="H168" i="59"/>
  <c r="A257" i="60"/>
  <c r="E167" i="59"/>
  <c r="A170" i="59"/>
  <c r="G169" i="59" l="1"/>
  <c r="A258" i="60"/>
  <c r="H169" i="59"/>
  <c r="E168" i="59"/>
  <c r="A171" i="59"/>
  <c r="G170" i="59" l="1"/>
  <c r="H170" i="59"/>
  <c r="A259" i="60"/>
  <c r="E169" i="59"/>
  <c r="A172" i="59"/>
  <c r="G171" i="59" l="1"/>
  <c r="H171" i="59"/>
  <c r="A260" i="60"/>
  <c r="E170" i="59"/>
  <c r="A173" i="59"/>
  <c r="G172" i="59" l="1"/>
  <c r="H172" i="59"/>
  <c r="A261" i="60"/>
  <c r="E171" i="59"/>
  <c r="A174" i="59"/>
  <c r="G173" i="59" l="1"/>
  <c r="H173" i="59"/>
  <c r="A262" i="60"/>
  <c r="A175" i="59"/>
  <c r="E172" i="59"/>
  <c r="G174" i="59" l="1"/>
  <c r="H174" i="59"/>
  <c r="A263" i="60"/>
  <c r="E173" i="59"/>
  <c r="A176" i="59"/>
  <c r="G175" i="59" l="1"/>
  <c r="H175" i="59"/>
  <c r="A264" i="60"/>
  <c r="E174" i="59"/>
  <c r="A177" i="59"/>
  <c r="G176" i="59" l="1"/>
  <c r="H176" i="59"/>
  <c r="A265" i="60"/>
  <c r="E175" i="59"/>
  <c r="A178" i="59"/>
  <c r="G177" i="59" l="1"/>
  <c r="H177" i="59"/>
  <c r="A266" i="60"/>
  <c r="E176" i="59"/>
  <c r="A179" i="59"/>
  <c r="G178" i="59" l="1"/>
  <c r="H178" i="59"/>
  <c r="A267" i="60"/>
  <c r="E177" i="59"/>
  <c r="A180" i="59"/>
  <c r="G179" i="59" l="1"/>
  <c r="H179" i="59"/>
  <c r="A268" i="60"/>
  <c r="E178" i="59"/>
  <c r="A181" i="59"/>
  <c r="G180" i="59" l="1"/>
  <c r="H180" i="59"/>
  <c r="A269" i="60"/>
  <c r="E179" i="59"/>
  <c r="A182" i="59"/>
  <c r="G181" i="59" l="1"/>
  <c r="H181" i="59"/>
  <c r="A270" i="60"/>
  <c r="A183" i="59"/>
  <c r="E180" i="59"/>
  <c r="G182" i="59" l="1"/>
  <c r="H182" i="59"/>
  <c r="A271" i="60"/>
  <c r="E181" i="59"/>
  <c r="A184" i="59"/>
  <c r="G183" i="59" l="1"/>
  <c r="H183" i="59"/>
  <c r="A272" i="60"/>
  <c r="E182" i="59"/>
  <c r="A185" i="59"/>
  <c r="G184" i="59" l="1"/>
  <c r="H184" i="59"/>
  <c r="A273" i="60"/>
  <c r="E183" i="59"/>
  <c r="A186" i="59"/>
  <c r="G185" i="59" l="1"/>
  <c r="H185" i="59"/>
  <c r="A274" i="60"/>
  <c r="E184" i="59"/>
  <c r="A187" i="59"/>
  <c r="G186" i="59" l="1"/>
  <c r="H186" i="59"/>
  <c r="A275" i="60"/>
  <c r="E185" i="59"/>
  <c r="A188" i="59"/>
  <c r="G187" i="59" l="1"/>
  <c r="H187" i="59"/>
  <c r="A276" i="60"/>
  <c r="E186" i="59"/>
  <c r="A189" i="59"/>
  <c r="G188" i="59" l="1"/>
  <c r="H188" i="59"/>
  <c r="A277" i="60"/>
  <c r="A190" i="59"/>
  <c r="E187" i="59"/>
  <c r="G189" i="59" l="1"/>
  <c r="H189" i="59"/>
  <c r="A278" i="60"/>
  <c r="E188" i="59"/>
  <c r="A191" i="59"/>
  <c r="G190" i="59" l="1"/>
  <c r="H190" i="59"/>
  <c r="A279" i="60"/>
  <c r="E189" i="59"/>
  <c r="A192" i="59"/>
  <c r="G191" i="59" l="1"/>
  <c r="H191" i="59"/>
  <c r="A280" i="60"/>
  <c r="A193" i="59"/>
  <c r="E190" i="59"/>
  <c r="G192" i="59" l="1"/>
  <c r="H192" i="59"/>
  <c r="A281" i="60"/>
  <c r="E191" i="59"/>
  <c r="A194" i="59"/>
  <c r="G193" i="59" l="1"/>
  <c r="H193" i="59"/>
  <c r="A282" i="60"/>
  <c r="E192" i="59"/>
  <c r="A195" i="59"/>
  <c r="G194" i="59" l="1"/>
  <c r="H194" i="59"/>
  <c r="A283" i="60"/>
  <c r="E193" i="59"/>
  <c r="A196" i="59"/>
  <c r="G195" i="59" l="1"/>
  <c r="H195" i="59"/>
  <c r="A284" i="60"/>
  <c r="E194" i="59"/>
  <c r="A197" i="59"/>
  <c r="G196" i="59" l="1"/>
  <c r="H196" i="59"/>
  <c r="A285" i="60"/>
  <c r="E195" i="59"/>
  <c r="A198" i="59"/>
  <c r="G197" i="59" l="1"/>
  <c r="A286" i="60"/>
  <c r="E196" i="59"/>
  <c r="H197" i="59"/>
  <c r="A199" i="59"/>
  <c r="G198" i="59" l="1"/>
  <c r="A287" i="60"/>
  <c r="A200" i="59"/>
  <c r="H198" i="59"/>
  <c r="E197" i="59"/>
  <c r="G199" i="59" l="1"/>
  <c r="H199" i="59"/>
  <c r="A288" i="60"/>
  <c r="E198" i="59"/>
  <c r="A201" i="59"/>
  <c r="G200" i="59" l="1"/>
  <c r="A289" i="60"/>
  <c r="E199" i="59"/>
  <c r="A202" i="59"/>
  <c r="H200" i="59"/>
  <c r="G201" i="59" l="1"/>
  <c r="H201" i="59"/>
  <c r="A290" i="60"/>
  <c r="E200" i="59"/>
  <c r="A203" i="59"/>
  <c r="G202" i="59" l="1"/>
  <c r="H202" i="59"/>
  <c r="A291" i="60"/>
  <c r="E201" i="59"/>
  <c r="A204" i="59"/>
  <c r="G203" i="59" l="1"/>
  <c r="H203" i="59"/>
  <c r="A292" i="60"/>
  <c r="E202" i="59"/>
  <c r="A205" i="59"/>
  <c r="G204" i="59" l="1"/>
  <c r="H204" i="59"/>
  <c r="A293" i="60"/>
  <c r="E203" i="59"/>
  <c r="A206" i="59"/>
  <c r="G205" i="59" l="1"/>
  <c r="H205" i="59"/>
  <c r="A294" i="60"/>
  <c r="A207" i="59"/>
  <c r="E204" i="59"/>
  <c r="G206" i="59" l="1"/>
  <c r="H206" i="59"/>
  <c r="A295" i="60"/>
  <c r="E205" i="59"/>
  <c r="A208" i="59"/>
  <c r="G207" i="59" l="1"/>
  <c r="H207" i="59"/>
  <c r="A296" i="60"/>
  <c r="E206" i="59"/>
  <c r="A209" i="59"/>
  <c r="G208" i="59" l="1"/>
  <c r="H208" i="59"/>
  <c r="A297" i="60"/>
  <c r="E207" i="59"/>
  <c r="A210" i="59"/>
  <c r="G209" i="59" l="1"/>
  <c r="H209" i="59"/>
  <c r="A298" i="60"/>
  <c r="E208" i="59"/>
  <c r="A211" i="59"/>
  <c r="G210" i="59" l="1"/>
  <c r="H210" i="59"/>
  <c r="A299" i="60"/>
  <c r="E209" i="59"/>
  <c r="A212" i="59"/>
  <c r="G211" i="59" l="1"/>
  <c r="H211" i="59"/>
  <c r="A300" i="60"/>
  <c r="E210" i="59"/>
  <c r="A213" i="59"/>
  <c r="G212" i="59" l="1"/>
  <c r="H212" i="59"/>
  <c r="A301" i="60"/>
  <c r="A214" i="59"/>
  <c r="E211" i="59"/>
  <c r="G213" i="59" l="1"/>
  <c r="H213" i="59"/>
  <c r="A302" i="60"/>
  <c r="A215" i="59"/>
  <c r="E212" i="59"/>
  <c r="G214" i="59" l="1"/>
  <c r="H214" i="59"/>
  <c r="A303" i="60"/>
  <c r="E213" i="59"/>
  <c r="A216" i="59"/>
  <c r="G215" i="59" l="1"/>
  <c r="H215" i="59"/>
  <c r="A304" i="60"/>
  <c r="A217" i="59"/>
  <c r="E214" i="59"/>
  <c r="G216" i="59" l="1"/>
  <c r="H216" i="59"/>
  <c r="A305" i="60"/>
  <c r="E215" i="59"/>
  <c r="A218" i="59"/>
  <c r="G217" i="59" l="1"/>
  <c r="H217" i="59"/>
  <c r="A306" i="60"/>
  <c r="E216" i="59"/>
  <c r="A219" i="59"/>
  <c r="G218" i="59" l="1"/>
  <c r="H218" i="59"/>
  <c r="A307" i="60"/>
  <c r="E217" i="59"/>
  <c r="A220" i="59"/>
  <c r="G219" i="59" l="1"/>
  <c r="H219" i="59"/>
  <c r="A308" i="60"/>
  <c r="E218" i="59"/>
  <c r="A221" i="59"/>
  <c r="G220" i="59" l="1"/>
  <c r="H220" i="59"/>
  <c r="A309" i="60"/>
  <c r="E219" i="59"/>
  <c r="A222" i="59"/>
  <c r="G221" i="59" l="1"/>
  <c r="H221" i="59"/>
  <c r="A310" i="60"/>
  <c r="E220" i="59"/>
  <c r="A223" i="59"/>
  <c r="G222" i="59" l="1"/>
  <c r="H222" i="59"/>
  <c r="A311" i="60"/>
  <c r="E221" i="59"/>
  <c r="A224" i="59"/>
  <c r="G223" i="59" l="1"/>
  <c r="H223" i="59"/>
  <c r="A312" i="60"/>
  <c r="A225" i="59"/>
  <c r="E222" i="59"/>
  <c r="G224" i="59" l="1"/>
  <c r="H224" i="59"/>
  <c r="A313" i="60"/>
  <c r="A226" i="59"/>
  <c r="E223" i="59"/>
  <c r="G225" i="59" l="1"/>
  <c r="H225" i="59"/>
  <c r="A314" i="60"/>
  <c r="E224" i="59"/>
  <c r="A227" i="59"/>
  <c r="G226" i="59" l="1"/>
  <c r="H226" i="59"/>
  <c r="A315" i="60"/>
  <c r="E225" i="59"/>
  <c r="A228" i="59"/>
  <c r="G227" i="59" l="1"/>
  <c r="H227" i="59"/>
  <c r="A316" i="60"/>
  <c r="E226" i="59"/>
  <c r="A229" i="59"/>
  <c r="G228" i="59" l="1"/>
  <c r="A317" i="60"/>
  <c r="E227" i="59"/>
  <c r="H228" i="59"/>
  <c r="A230" i="59"/>
  <c r="G229" i="59" l="1"/>
  <c r="H229" i="59"/>
  <c r="A318" i="60"/>
  <c r="A231" i="59"/>
  <c r="E228" i="59"/>
  <c r="G230" i="59" l="1"/>
  <c r="A319" i="60"/>
  <c r="E229" i="59"/>
  <c r="H230" i="59"/>
  <c r="A232" i="59"/>
  <c r="G231" i="59" l="1"/>
  <c r="H231" i="59"/>
  <c r="A320" i="60"/>
  <c r="A233" i="59"/>
  <c r="E230" i="59"/>
  <c r="G232" i="59" l="1"/>
  <c r="H232" i="59"/>
  <c r="A321" i="60"/>
  <c r="A234" i="59"/>
  <c r="E231" i="59"/>
  <c r="G233" i="59" l="1"/>
  <c r="H233" i="59"/>
  <c r="A322" i="60"/>
  <c r="E232" i="59"/>
  <c r="A235" i="59"/>
  <c r="G234" i="59" l="1"/>
  <c r="H234" i="59"/>
  <c r="A323" i="60"/>
  <c r="E233" i="59"/>
  <c r="A236" i="59"/>
  <c r="G235" i="59" l="1"/>
  <c r="H235" i="59"/>
  <c r="A324" i="60"/>
  <c r="E234" i="59"/>
  <c r="A237" i="59"/>
  <c r="G236" i="59" l="1"/>
  <c r="H236" i="59"/>
  <c r="A325" i="60"/>
  <c r="E235" i="59"/>
  <c r="A238" i="59"/>
  <c r="G237" i="59" l="1"/>
  <c r="H237" i="59"/>
  <c r="A326" i="60"/>
  <c r="E236" i="59"/>
  <c r="A239" i="59"/>
  <c r="G238" i="59" l="1"/>
  <c r="H238" i="59"/>
  <c r="A327" i="60"/>
  <c r="E237" i="59"/>
  <c r="A240" i="59"/>
  <c r="G239" i="59" l="1"/>
  <c r="H239" i="59"/>
  <c r="A328" i="60"/>
  <c r="A241" i="59"/>
  <c r="E238" i="59"/>
  <c r="G240" i="59" l="1"/>
  <c r="H240" i="59"/>
  <c r="A329" i="60"/>
  <c r="E239" i="59"/>
  <c r="A242" i="59"/>
  <c r="G241" i="59" l="1"/>
  <c r="H241" i="59"/>
  <c r="A330" i="60"/>
  <c r="E240" i="59"/>
  <c r="A243" i="59"/>
  <c r="G242" i="59" l="1"/>
  <c r="H242" i="59"/>
  <c r="A331" i="60"/>
  <c r="A244" i="59"/>
  <c r="E241" i="59"/>
  <c r="G243" i="59" l="1"/>
  <c r="H243" i="59"/>
  <c r="A332" i="60"/>
  <c r="E242" i="59"/>
  <c r="A245" i="59"/>
  <c r="G244" i="59" l="1"/>
  <c r="H244" i="59"/>
  <c r="A333" i="60"/>
  <c r="E243" i="59"/>
  <c r="A246" i="59"/>
  <c r="G245" i="59" l="1"/>
  <c r="H245" i="59"/>
  <c r="A334" i="60"/>
  <c r="A247" i="59"/>
  <c r="E244" i="59"/>
  <c r="G246" i="59" l="1"/>
  <c r="H246" i="59"/>
  <c r="A335" i="60"/>
  <c r="E245" i="59"/>
  <c r="A248" i="59"/>
  <c r="G247" i="59" l="1"/>
  <c r="H247" i="59"/>
  <c r="A336" i="60"/>
  <c r="E246" i="59"/>
  <c r="A249" i="59"/>
  <c r="G248" i="59" l="1"/>
  <c r="H248" i="59"/>
  <c r="A337" i="60"/>
  <c r="A250" i="59"/>
  <c r="E247" i="59"/>
  <c r="G249" i="59" l="1"/>
  <c r="H249" i="59"/>
  <c r="A338" i="60"/>
  <c r="E248" i="59"/>
  <c r="A251" i="59"/>
  <c r="G250" i="59" l="1"/>
  <c r="H250" i="59"/>
  <c r="A339" i="60"/>
  <c r="E249" i="59"/>
  <c r="A252" i="59"/>
  <c r="G251" i="59" l="1"/>
  <c r="H251" i="59"/>
  <c r="A340" i="60"/>
  <c r="E250" i="59"/>
  <c r="A253" i="59"/>
  <c r="G252" i="59" l="1"/>
  <c r="H252" i="59"/>
  <c r="A341" i="60"/>
  <c r="E251" i="59"/>
  <c r="A254" i="59"/>
  <c r="G253" i="59" l="1"/>
  <c r="H253" i="59"/>
  <c r="A342" i="60"/>
  <c r="A255" i="59"/>
  <c r="E252" i="59"/>
  <c r="G254" i="59" l="1"/>
  <c r="H254" i="59"/>
  <c r="A343" i="60"/>
  <c r="E253" i="59"/>
  <c r="A256" i="59"/>
  <c r="G255" i="59" l="1"/>
  <c r="H255" i="59"/>
  <c r="A344" i="60"/>
  <c r="A257" i="59"/>
  <c r="E254" i="59"/>
  <c r="G256" i="59" l="1"/>
  <c r="H256" i="59"/>
  <c r="A345" i="60"/>
  <c r="E255" i="59"/>
  <c r="A258" i="59"/>
  <c r="G257" i="59" l="1"/>
  <c r="H257" i="59"/>
  <c r="A346" i="60"/>
  <c r="E256" i="59"/>
  <c r="A259" i="59"/>
  <c r="G258" i="59" l="1"/>
  <c r="A347" i="60"/>
  <c r="E257" i="59"/>
  <c r="H258" i="59"/>
  <c r="A260" i="59"/>
  <c r="G259" i="59" l="1"/>
  <c r="A348" i="60"/>
  <c r="E258" i="59"/>
  <c r="A261" i="59"/>
  <c r="H259" i="59"/>
  <c r="G260" i="59" l="1"/>
  <c r="H260" i="59"/>
  <c r="A349" i="60"/>
  <c r="E259" i="59"/>
  <c r="A262" i="59"/>
  <c r="G261" i="59" l="1"/>
  <c r="A350" i="60"/>
  <c r="E260" i="59"/>
  <c r="A263" i="59"/>
  <c r="H261" i="59"/>
  <c r="G262" i="59" l="1"/>
  <c r="H262" i="59"/>
  <c r="A351" i="60"/>
  <c r="E261" i="59"/>
  <c r="A264" i="59"/>
  <c r="G263" i="59" l="1"/>
  <c r="H263" i="59"/>
  <c r="A352" i="60"/>
  <c r="E262" i="59"/>
  <c r="A265" i="59"/>
  <c r="G264" i="59" l="1"/>
  <c r="H264" i="59"/>
  <c r="A353" i="60"/>
  <c r="E263" i="59"/>
  <c r="A266" i="59"/>
  <c r="G265" i="59" l="1"/>
  <c r="H265" i="59"/>
  <c r="A354" i="60"/>
  <c r="E264" i="59"/>
  <c r="A267" i="59"/>
  <c r="G266" i="59" l="1"/>
  <c r="H266" i="59"/>
  <c r="A355" i="60"/>
  <c r="E265" i="59"/>
  <c r="A268" i="59"/>
  <c r="G267" i="59" l="1"/>
  <c r="H267" i="59"/>
  <c r="A356" i="60"/>
  <c r="E266" i="59"/>
  <c r="A269" i="59"/>
  <c r="G268" i="59" l="1"/>
  <c r="H268" i="59"/>
  <c r="A357" i="60"/>
  <c r="E267" i="59"/>
  <c r="A270" i="59"/>
  <c r="G269" i="59" l="1"/>
  <c r="H269" i="59"/>
  <c r="A358" i="60"/>
  <c r="E268" i="59"/>
  <c r="A271" i="59"/>
  <c r="G270" i="59" l="1"/>
  <c r="H270" i="59"/>
  <c r="A359" i="60"/>
  <c r="E269" i="59"/>
  <c r="A272" i="59"/>
  <c r="G271" i="59" l="1"/>
  <c r="H271" i="59"/>
  <c r="A360" i="60"/>
  <c r="E270" i="59"/>
  <c r="A273" i="59"/>
  <c r="G272" i="59" l="1"/>
  <c r="H272" i="59"/>
  <c r="A361" i="60"/>
  <c r="E271" i="59"/>
  <c r="A274" i="59"/>
  <c r="G273" i="59" l="1"/>
  <c r="H273" i="59"/>
  <c r="A362" i="60"/>
  <c r="E272" i="59"/>
  <c r="A275" i="59"/>
  <c r="G274" i="59" l="1"/>
  <c r="H274" i="59"/>
  <c r="A363" i="60"/>
  <c r="E273" i="59"/>
  <c r="A276" i="59"/>
  <c r="G275" i="59" l="1"/>
  <c r="H275" i="59"/>
  <c r="A364" i="60"/>
  <c r="E274" i="59"/>
  <c r="A277" i="59"/>
  <c r="G276" i="59" l="1"/>
  <c r="H276" i="59"/>
  <c r="A365" i="60"/>
  <c r="E275" i="59"/>
  <c r="A278" i="59"/>
  <c r="G277" i="59" l="1"/>
  <c r="H277" i="59"/>
  <c r="A366" i="60"/>
  <c r="E276" i="59"/>
  <c r="A279" i="59"/>
  <c r="G278" i="59" l="1"/>
  <c r="H278" i="59"/>
  <c r="A367" i="60"/>
  <c r="E277" i="59"/>
  <c r="A280" i="59"/>
  <c r="G279" i="59" l="1"/>
  <c r="H279" i="59"/>
  <c r="A368" i="60"/>
  <c r="E278" i="59"/>
  <c r="A281" i="59"/>
  <c r="G280" i="59" l="1"/>
  <c r="H280" i="59"/>
  <c r="A369" i="60"/>
  <c r="E279" i="59"/>
  <c r="A282" i="59"/>
  <c r="G281" i="59" l="1"/>
  <c r="H281" i="59"/>
  <c r="A370" i="60"/>
  <c r="E280" i="59"/>
  <c r="A283" i="59"/>
  <c r="G282" i="59" l="1"/>
  <c r="H282" i="59"/>
  <c r="A371" i="60"/>
  <c r="E281" i="59"/>
  <c r="A284" i="59"/>
  <c r="G283" i="59" l="1"/>
  <c r="H283" i="59"/>
  <c r="A372" i="60"/>
  <c r="A285" i="59"/>
  <c r="E282" i="59"/>
  <c r="G284" i="59" l="1"/>
  <c r="H284" i="59"/>
  <c r="A373" i="60"/>
  <c r="E283" i="59"/>
  <c r="A286" i="59"/>
  <c r="G285" i="59" l="1"/>
  <c r="H285" i="59"/>
  <c r="A374" i="60"/>
  <c r="E284" i="59"/>
  <c r="A287" i="59"/>
  <c r="G286" i="59" l="1"/>
  <c r="H286" i="59"/>
  <c r="A375" i="60"/>
  <c r="E285" i="59"/>
  <c r="A288" i="59"/>
  <c r="G287" i="59" l="1"/>
  <c r="H287" i="59"/>
  <c r="A376" i="60"/>
  <c r="E286" i="59"/>
  <c r="A289" i="59"/>
  <c r="G288" i="59" l="1"/>
  <c r="H288" i="59"/>
  <c r="A377" i="60"/>
  <c r="E287" i="59"/>
  <c r="A290" i="59"/>
  <c r="G289" i="59" l="1"/>
  <c r="A378" i="60"/>
  <c r="E288" i="59"/>
  <c r="A291" i="59"/>
  <c r="H289" i="59"/>
  <c r="G290" i="59" l="1"/>
  <c r="A379" i="60"/>
  <c r="E289" i="59"/>
  <c r="H290" i="59"/>
  <c r="A292" i="59"/>
  <c r="G291" i="59" l="1"/>
  <c r="A380" i="60"/>
  <c r="E290" i="59"/>
  <c r="H291" i="59"/>
  <c r="A293" i="59"/>
  <c r="G292" i="59" l="1"/>
  <c r="H292" i="59"/>
  <c r="A381" i="60"/>
  <c r="A294" i="59"/>
  <c r="E291" i="59"/>
  <c r="G293" i="59" l="1"/>
  <c r="H293" i="59"/>
  <c r="A382" i="60"/>
  <c r="E292" i="59"/>
  <c r="A295" i="59"/>
  <c r="G294" i="59" l="1"/>
  <c r="H294" i="59"/>
  <c r="A383" i="60"/>
  <c r="E293" i="59"/>
  <c r="A296" i="59"/>
  <c r="G295" i="59" l="1"/>
  <c r="H295" i="59"/>
  <c r="A384" i="60"/>
  <c r="E294" i="59"/>
  <c r="A297" i="59"/>
  <c r="G296" i="59" l="1"/>
  <c r="H296" i="59"/>
  <c r="A385" i="60"/>
  <c r="E295" i="59"/>
  <c r="A298" i="59"/>
  <c r="G297" i="59" l="1"/>
  <c r="H297" i="59"/>
  <c r="A386" i="60"/>
  <c r="E296" i="59"/>
  <c r="A299" i="59"/>
  <c r="G298" i="59" l="1"/>
  <c r="H298" i="59"/>
  <c r="A387" i="60"/>
  <c r="E297" i="59"/>
  <c r="A300" i="59"/>
  <c r="G299" i="59" l="1"/>
  <c r="H299" i="59"/>
  <c r="A388" i="60"/>
  <c r="E298" i="59"/>
  <c r="A301" i="59"/>
  <c r="G300" i="59" l="1"/>
  <c r="H300" i="59"/>
  <c r="A389" i="60"/>
  <c r="E299" i="59"/>
  <c r="A302" i="59"/>
  <c r="G301" i="59" l="1"/>
  <c r="H301" i="59"/>
  <c r="A390" i="60"/>
  <c r="E300" i="59"/>
  <c r="A303" i="59"/>
  <c r="G302" i="59" l="1"/>
  <c r="H302" i="59"/>
  <c r="A391" i="60"/>
  <c r="E301" i="59"/>
  <c r="A304" i="59"/>
  <c r="G303" i="59" l="1"/>
  <c r="H303" i="59"/>
  <c r="A392" i="60"/>
  <c r="E302" i="59"/>
  <c r="A305" i="59"/>
  <c r="G304" i="59" l="1"/>
  <c r="H304" i="59"/>
  <c r="A393" i="60"/>
  <c r="E303" i="59"/>
  <c r="A306" i="59"/>
  <c r="G305" i="59" l="1"/>
  <c r="H305" i="59"/>
  <c r="A394" i="60"/>
  <c r="E304" i="59"/>
  <c r="A307" i="59"/>
  <c r="G306" i="59" l="1"/>
  <c r="H306" i="59"/>
  <c r="A395" i="60"/>
  <c r="E305" i="59"/>
  <c r="A308" i="59"/>
  <c r="G307" i="59" l="1"/>
  <c r="H307" i="59"/>
  <c r="A396" i="60"/>
  <c r="E306" i="59"/>
  <c r="A309" i="59"/>
  <c r="F308" i="59"/>
  <c r="G308" i="59" l="1"/>
  <c r="H308" i="59"/>
  <c r="A397" i="60"/>
  <c r="E307" i="59"/>
  <c r="A310" i="59"/>
  <c r="G309" i="59" l="1"/>
  <c r="H309" i="59"/>
  <c r="A398" i="60"/>
  <c r="E308" i="59"/>
  <c r="A311" i="59"/>
  <c r="G310" i="59" l="1"/>
  <c r="H310" i="59"/>
  <c r="A399" i="60"/>
  <c r="E309" i="59"/>
  <c r="A312" i="59"/>
  <c r="G311" i="59" l="1"/>
  <c r="H311" i="59"/>
  <c r="A400" i="60"/>
  <c r="E310" i="59"/>
  <c r="A313" i="59"/>
  <c r="G312" i="59" l="1"/>
  <c r="H312" i="59"/>
  <c r="A401" i="60"/>
  <c r="E311" i="59"/>
  <c r="A314" i="59"/>
  <c r="G313" i="59" l="1"/>
  <c r="H313" i="59"/>
  <c r="A402" i="60"/>
  <c r="E312" i="59"/>
  <c r="A315" i="59"/>
  <c r="G314" i="59" l="1"/>
  <c r="H314" i="59"/>
  <c r="A403" i="60"/>
  <c r="E313" i="59"/>
  <c r="A316" i="59"/>
  <c r="G315" i="59" l="1"/>
  <c r="H315" i="59"/>
  <c r="A404" i="60"/>
  <c r="A317" i="59"/>
  <c r="E314" i="59"/>
  <c r="G316" i="59" l="1"/>
  <c r="H316" i="59"/>
  <c r="A405" i="60"/>
  <c r="E315" i="59"/>
  <c r="A318" i="59"/>
  <c r="G317" i="59" l="1"/>
  <c r="H317" i="59"/>
  <c r="A406" i="60"/>
  <c r="E316" i="59"/>
  <c r="A319" i="59"/>
  <c r="G318" i="59" l="1"/>
  <c r="H318" i="59"/>
  <c r="A407" i="60"/>
  <c r="E317" i="59"/>
  <c r="A320" i="59"/>
  <c r="G319" i="59" l="1"/>
  <c r="A408" i="60"/>
  <c r="E318" i="59"/>
  <c r="H319" i="59"/>
  <c r="A321" i="59"/>
  <c r="G320" i="59" l="1"/>
  <c r="A409" i="60"/>
  <c r="E319" i="59"/>
  <c r="H320" i="59"/>
  <c r="A322" i="59"/>
  <c r="G321" i="59" l="1"/>
  <c r="H321" i="59"/>
  <c r="A410" i="60"/>
  <c r="E320" i="59"/>
  <c r="A323" i="59"/>
  <c r="G322" i="59" l="1"/>
  <c r="A411" i="60"/>
  <c r="E321" i="59"/>
  <c r="H322" i="59"/>
  <c r="A324" i="59"/>
  <c r="G323" i="59" l="1"/>
  <c r="H323" i="59"/>
  <c r="A412" i="60"/>
  <c r="E322" i="59"/>
  <c r="A325" i="59"/>
  <c r="G324" i="59" l="1"/>
  <c r="H324" i="59"/>
  <c r="A413" i="60"/>
  <c r="E323" i="59"/>
  <c r="A326" i="59"/>
  <c r="G325" i="59" l="1"/>
  <c r="H325" i="59"/>
  <c r="A414" i="60"/>
  <c r="E324" i="59"/>
  <c r="A327" i="59"/>
  <c r="G326" i="59" l="1"/>
  <c r="H326" i="59"/>
  <c r="A415" i="60"/>
  <c r="E325" i="59"/>
  <c r="A328" i="59"/>
  <c r="G327" i="59" l="1"/>
  <c r="H327" i="59"/>
  <c r="A416" i="60"/>
  <c r="E326" i="59"/>
  <c r="A329" i="59"/>
  <c r="G328" i="59" l="1"/>
  <c r="H328" i="59"/>
  <c r="A417" i="60"/>
  <c r="E327" i="59"/>
  <c r="A330" i="59"/>
  <c r="G329" i="59" l="1"/>
  <c r="H329" i="59"/>
  <c r="A418" i="60"/>
  <c r="E328" i="59"/>
  <c r="A331" i="59"/>
  <c r="G330" i="59" l="1"/>
  <c r="H330" i="59"/>
  <c r="A419" i="60"/>
  <c r="E329" i="59"/>
  <c r="A332" i="59"/>
  <c r="G331" i="59" l="1"/>
  <c r="H331" i="59"/>
  <c r="A420" i="60"/>
  <c r="E330" i="59"/>
  <c r="A333" i="59"/>
  <c r="G332" i="59" l="1"/>
  <c r="H332" i="59"/>
  <c r="A421" i="60"/>
  <c r="E331" i="59"/>
  <c r="A334" i="59"/>
  <c r="G333" i="59" l="1"/>
  <c r="H333" i="59"/>
  <c r="A422" i="60"/>
  <c r="E332" i="59"/>
  <c r="A335" i="59"/>
  <c r="G334" i="59" l="1"/>
  <c r="H334" i="59"/>
  <c r="A423" i="60"/>
  <c r="E333" i="59"/>
  <c r="A336" i="59"/>
  <c r="G335" i="59" l="1"/>
  <c r="H335" i="59"/>
  <c r="A424" i="60"/>
  <c r="E334" i="59"/>
  <c r="A337" i="59"/>
  <c r="G336" i="59" l="1"/>
  <c r="H336" i="59"/>
  <c r="A425" i="60"/>
  <c r="E335" i="59"/>
  <c r="A338" i="59"/>
  <c r="G337" i="59" l="1"/>
  <c r="H337" i="59"/>
  <c r="A426" i="60"/>
  <c r="E336" i="59"/>
  <c r="A339" i="59"/>
  <c r="G338" i="59" l="1"/>
  <c r="H338" i="59"/>
  <c r="A427" i="60"/>
  <c r="E337" i="59"/>
  <c r="A340" i="59"/>
  <c r="G339" i="59" l="1"/>
  <c r="H339" i="59"/>
  <c r="A428" i="60"/>
  <c r="E338" i="59"/>
  <c r="A341" i="59"/>
  <c r="G340" i="59" l="1"/>
  <c r="H340" i="59"/>
  <c r="A429" i="60"/>
  <c r="E339" i="59"/>
  <c r="A342" i="59"/>
  <c r="G341" i="59" l="1"/>
  <c r="H341" i="59"/>
  <c r="A430" i="60"/>
  <c r="E340" i="59"/>
  <c r="A343" i="59"/>
  <c r="G342" i="59" l="1"/>
  <c r="H342" i="59"/>
  <c r="A431" i="60"/>
  <c r="E341" i="59"/>
  <c r="A344" i="59"/>
  <c r="H343" i="59" l="1"/>
  <c r="G343" i="59"/>
  <c r="A432" i="60"/>
  <c r="E342" i="59"/>
  <c r="A345" i="59"/>
  <c r="H344" i="59" l="1"/>
  <c r="G344" i="59"/>
  <c r="A433" i="60"/>
  <c r="E343" i="59"/>
  <c r="A346" i="59"/>
  <c r="G345" i="59" l="1"/>
  <c r="H345" i="59"/>
  <c r="A434" i="60"/>
  <c r="E344" i="59"/>
  <c r="A347" i="59"/>
  <c r="G346" i="59" l="1"/>
  <c r="H346" i="59"/>
  <c r="A435" i="60"/>
  <c r="E345" i="59"/>
  <c r="A348" i="59"/>
  <c r="G347" i="59" l="1"/>
  <c r="H347" i="59"/>
  <c r="A436" i="60"/>
  <c r="E346" i="59"/>
  <c r="A349" i="59"/>
  <c r="G348" i="59" l="1"/>
  <c r="H348" i="59"/>
  <c r="A437" i="60"/>
  <c r="E347" i="59"/>
  <c r="A350" i="59"/>
  <c r="G349" i="59" l="1"/>
  <c r="H349" i="59"/>
  <c r="A438" i="60"/>
  <c r="E348" i="59"/>
  <c r="A351" i="59"/>
  <c r="G350" i="59" l="1"/>
  <c r="A439" i="60"/>
  <c r="E349" i="59"/>
  <c r="H350" i="59"/>
  <c r="A352" i="59"/>
  <c r="G351" i="59" l="1"/>
  <c r="A440" i="60"/>
  <c r="E350" i="59"/>
  <c r="H351" i="59"/>
  <c r="A353" i="59"/>
  <c r="G352" i="59" l="1"/>
  <c r="H352" i="59"/>
  <c r="A441" i="60"/>
  <c r="E351" i="59"/>
  <c r="A354" i="59"/>
  <c r="G353" i="59" l="1"/>
  <c r="A442" i="60"/>
  <c r="E352" i="59"/>
  <c r="H353" i="59"/>
  <c r="A355" i="59"/>
  <c r="G354" i="59" l="1"/>
  <c r="H354" i="59"/>
  <c r="A443" i="60"/>
  <c r="E353" i="59"/>
  <c r="A356" i="59"/>
  <c r="H355" i="59" l="1"/>
  <c r="G355" i="59"/>
  <c r="A444" i="60"/>
  <c r="E354" i="59"/>
  <c r="A357" i="59"/>
  <c r="G356" i="59" l="1"/>
  <c r="H356" i="59"/>
  <c r="A445" i="60"/>
  <c r="E355" i="59"/>
  <c r="A358" i="59"/>
  <c r="G357" i="59" l="1"/>
  <c r="H357" i="59"/>
  <c r="A446" i="60"/>
  <c r="E356" i="59"/>
  <c r="A359" i="59"/>
  <c r="G358" i="59" l="1"/>
  <c r="H358" i="59"/>
  <c r="A447" i="60"/>
  <c r="E357" i="59"/>
  <c r="A360" i="59"/>
  <c r="H359" i="59" l="1"/>
  <c r="G359" i="59"/>
  <c r="A448" i="60"/>
  <c r="E358" i="59"/>
  <c r="A361" i="59"/>
  <c r="H360" i="59" l="1"/>
  <c r="G360" i="59"/>
  <c r="A449" i="60"/>
  <c r="E359" i="59"/>
  <c r="A362" i="59"/>
  <c r="G361" i="59" l="1"/>
  <c r="H361" i="59"/>
  <c r="A450" i="60"/>
  <c r="E360" i="59"/>
  <c r="A363" i="59"/>
  <c r="G362" i="59" l="1"/>
  <c r="H362" i="59"/>
  <c r="A451" i="60"/>
  <c r="E361" i="59"/>
  <c r="A364" i="59"/>
  <c r="G363" i="59" l="1"/>
  <c r="H363" i="59"/>
  <c r="A452" i="60"/>
  <c r="E362" i="59"/>
  <c r="A365" i="59"/>
  <c r="G364" i="59" l="1"/>
  <c r="H364" i="59"/>
  <c r="A453" i="60"/>
  <c r="E363" i="59"/>
  <c r="A366" i="59"/>
  <c r="G365" i="59" l="1"/>
  <c r="H365" i="59"/>
  <c r="A454" i="60"/>
  <c r="E364" i="59"/>
  <c r="A367" i="59"/>
  <c r="G366" i="59" l="1"/>
  <c r="H366" i="59"/>
  <c r="A455" i="60"/>
  <c r="E365" i="59"/>
  <c r="A368" i="59"/>
  <c r="G367" i="59" l="1"/>
  <c r="H367" i="59"/>
  <c r="A456" i="60"/>
  <c r="E366" i="59"/>
  <c r="A369" i="59"/>
  <c r="H368" i="59" l="1"/>
  <c r="G368" i="59"/>
  <c r="A457" i="60"/>
  <c r="E367" i="59"/>
  <c r="A370" i="59"/>
  <c r="G369" i="59" l="1"/>
  <c r="H369" i="59"/>
  <c r="A458" i="60"/>
  <c r="E368" i="59"/>
  <c r="A371" i="59"/>
  <c r="G370" i="59" l="1"/>
  <c r="H370" i="59"/>
  <c r="A459" i="60"/>
  <c r="E369" i="59"/>
  <c r="A372" i="59"/>
  <c r="G371" i="59" l="1"/>
  <c r="H371" i="59"/>
  <c r="A460" i="60"/>
  <c r="E370" i="59"/>
  <c r="A373" i="59"/>
  <c r="G372" i="59" l="1"/>
  <c r="H372" i="59"/>
  <c r="A461" i="60"/>
  <c r="E371" i="59"/>
  <c r="A374" i="59"/>
  <c r="G373" i="59" l="1"/>
  <c r="H373" i="59"/>
  <c r="A462" i="60"/>
  <c r="E372" i="59"/>
  <c r="A375" i="59"/>
  <c r="G374" i="59" l="1"/>
  <c r="H374" i="59"/>
  <c r="A463" i="60"/>
  <c r="E373" i="59"/>
  <c r="A376" i="59"/>
  <c r="G375" i="59" l="1"/>
  <c r="H375" i="59"/>
  <c r="A464" i="60"/>
  <c r="E374" i="59"/>
  <c r="A377" i="59"/>
  <c r="G376" i="59" l="1"/>
  <c r="H376" i="59"/>
  <c r="A465" i="60"/>
  <c r="E375" i="59"/>
  <c r="A378" i="59"/>
  <c r="H377" i="59" l="1"/>
  <c r="G377" i="59"/>
  <c r="A466" i="60"/>
  <c r="E376" i="59"/>
  <c r="A379" i="59"/>
  <c r="G378" i="59" l="1"/>
  <c r="H378" i="59"/>
  <c r="A467" i="60"/>
  <c r="E377" i="59"/>
  <c r="A380" i="59"/>
  <c r="G379" i="59" l="1"/>
  <c r="H379" i="59"/>
  <c r="A468" i="60"/>
  <c r="E378" i="59"/>
  <c r="A381" i="59"/>
  <c r="G380" i="59" l="1"/>
  <c r="H380" i="59"/>
  <c r="A469" i="60"/>
  <c r="E379" i="59"/>
  <c r="A382" i="59"/>
  <c r="G381" i="59" l="1"/>
  <c r="A470" i="60"/>
  <c r="E380" i="59"/>
  <c r="H381" i="59"/>
  <c r="A383" i="59"/>
  <c r="A471" i="60" l="1"/>
  <c r="E381" i="59"/>
  <c r="A384" i="59"/>
  <c r="A472" i="60" l="1"/>
  <c r="A385" i="59"/>
  <c r="A473" i="60" l="1"/>
  <c r="A386" i="59"/>
  <c r="A474" i="60" l="1"/>
  <c r="A387" i="59"/>
  <c r="A475" i="60" l="1"/>
  <c r="A388" i="59"/>
  <c r="A476" i="60" l="1"/>
  <c r="A477" i="60" s="1"/>
  <c r="A478" i="60" s="1"/>
  <c r="A479" i="60" s="1"/>
  <c r="A480" i="60" s="1"/>
  <c r="A481" i="60" s="1"/>
  <c r="A482" i="60" s="1"/>
  <c r="A483" i="60" s="1"/>
  <c r="A484" i="60" s="1"/>
  <c r="A485" i="60" s="1"/>
  <c r="A486" i="60" s="1"/>
  <c r="A487" i="60" s="1"/>
  <c r="A488" i="60" s="1"/>
  <c r="A489" i="60" s="1"/>
  <c r="A490" i="60" s="1"/>
  <c r="A491" i="60" s="1"/>
  <c r="A492" i="60" s="1"/>
  <c r="A493" i="60" s="1"/>
  <c r="A494" i="60" s="1"/>
  <c r="A495" i="60" s="1"/>
  <c r="A496" i="60" s="1"/>
  <c r="A497" i="60" s="1"/>
  <c r="A498" i="60" s="1"/>
  <c r="A499" i="60" s="1"/>
  <c r="A500" i="60" s="1"/>
  <c r="A501" i="60" s="1"/>
  <c r="A502" i="60" s="1"/>
  <c r="A503" i="60" s="1"/>
  <c r="A504" i="60" s="1"/>
  <c r="A505" i="60" s="1"/>
  <c r="A506" i="60" s="1"/>
  <c r="A507" i="60" s="1"/>
  <c r="A508" i="60" s="1"/>
  <c r="A509" i="60" s="1"/>
  <c r="A510" i="60" s="1"/>
  <c r="A511" i="60" s="1"/>
  <c r="A512" i="60" s="1"/>
  <c r="A513" i="60" s="1"/>
  <c r="A514" i="60" s="1"/>
  <c r="A515" i="60" s="1"/>
  <c r="A516" i="60" s="1"/>
  <c r="A517" i="60" s="1"/>
  <c r="A518" i="60" s="1"/>
  <c r="A519" i="60" s="1"/>
  <c r="A520" i="60" s="1"/>
  <c r="A521" i="60" s="1"/>
  <c r="A522" i="60" s="1"/>
  <c r="A523" i="60" s="1"/>
  <c r="A524" i="60" s="1"/>
  <c r="A525" i="60" s="1"/>
  <c r="A526" i="60" s="1"/>
  <c r="A527" i="60" s="1"/>
  <c r="A528" i="60" s="1"/>
  <c r="A529" i="60" s="1"/>
  <c r="A530" i="60" s="1"/>
  <c r="A531" i="60" s="1"/>
  <c r="A532" i="60" s="1"/>
  <c r="A533" i="60" s="1"/>
  <c r="A534" i="60" s="1"/>
  <c r="A535" i="60" s="1"/>
  <c r="A536" i="60" s="1"/>
  <c r="A537" i="60" s="1"/>
  <c r="A538" i="60" s="1"/>
  <c r="A539" i="60" s="1"/>
  <c r="A540" i="60" s="1"/>
  <c r="A541" i="60" s="1"/>
  <c r="A542" i="60" s="1"/>
  <c r="A543" i="60" s="1"/>
  <c r="A544" i="60" s="1"/>
  <c r="A545" i="60" s="1"/>
  <c r="A546" i="60" s="1"/>
  <c r="A547" i="60" s="1"/>
  <c r="A548" i="60" s="1"/>
  <c r="A549" i="60" s="1"/>
  <c r="A550" i="60" s="1"/>
  <c r="A551" i="60" s="1"/>
  <c r="A552" i="60" s="1"/>
  <c r="A553" i="60" s="1"/>
  <c r="A554" i="60" s="1"/>
  <c r="A555" i="60" s="1"/>
  <c r="A556" i="60" s="1"/>
  <c r="A557" i="60" s="1"/>
  <c r="A558" i="60" s="1"/>
  <c r="A559" i="60" s="1"/>
  <c r="A560" i="60" s="1"/>
  <c r="A561" i="60" s="1"/>
  <c r="A562" i="60" s="1"/>
  <c r="A563" i="60" s="1"/>
  <c r="A564" i="60" s="1"/>
  <c r="A565" i="60" s="1"/>
  <c r="A566" i="60" s="1"/>
  <c r="A567" i="60" s="1"/>
  <c r="A568" i="60" s="1"/>
  <c r="A569" i="60" s="1"/>
  <c r="A570" i="60" s="1"/>
  <c r="A571" i="60" s="1"/>
  <c r="A572" i="60" s="1"/>
  <c r="A573" i="60" s="1"/>
  <c r="A574" i="60" s="1"/>
  <c r="A575" i="60" s="1"/>
  <c r="A576" i="60" s="1"/>
  <c r="A577" i="60" s="1"/>
  <c r="A578" i="60" s="1"/>
  <c r="A579" i="60" s="1"/>
  <c r="A580" i="60" s="1"/>
  <c r="A581" i="60" s="1"/>
  <c r="A582" i="60" s="1"/>
  <c r="A583" i="60" s="1"/>
  <c r="A584" i="60" s="1"/>
  <c r="A585" i="60" s="1"/>
  <c r="A586" i="60" s="1"/>
  <c r="A587" i="60" s="1"/>
  <c r="A588" i="60" s="1"/>
  <c r="A589" i="60" s="1"/>
  <c r="A590" i="60" s="1"/>
  <c r="A591" i="60" s="1"/>
  <c r="A592" i="60" s="1"/>
  <c r="A593" i="60" s="1"/>
  <c r="A594" i="60" s="1"/>
  <c r="A595" i="60" s="1"/>
  <c r="A596" i="60" s="1"/>
  <c r="A597" i="60" s="1"/>
  <c r="A598" i="60" s="1"/>
  <c r="A599" i="60" s="1"/>
  <c r="A600" i="60" s="1"/>
  <c r="A601" i="60" s="1"/>
  <c r="A602" i="60" s="1"/>
  <c r="A603" i="60" s="1"/>
  <c r="A604" i="60" s="1"/>
  <c r="A605" i="60" s="1"/>
  <c r="A606" i="60" s="1"/>
  <c r="A607" i="60" s="1"/>
  <c r="A608" i="60" s="1"/>
  <c r="A609" i="60" s="1"/>
  <c r="A610" i="60" s="1"/>
  <c r="A611" i="60" s="1"/>
  <c r="A612" i="60" s="1"/>
  <c r="A613" i="60" s="1"/>
  <c r="A614" i="60" s="1"/>
  <c r="A615" i="60" s="1"/>
  <c r="A616" i="60" s="1"/>
  <c r="A617" i="60" s="1"/>
  <c r="A618" i="60" s="1"/>
  <c r="A619" i="60" s="1"/>
  <c r="A620" i="60" s="1"/>
  <c r="A621" i="60" s="1"/>
  <c r="A622" i="60" s="1"/>
  <c r="A623" i="60" s="1"/>
  <c r="A624" i="60" s="1"/>
  <c r="A625" i="60" s="1"/>
  <c r="A626" i="60" s="1"/>
  <c r="A627" i="60" s="1"/>
  <c r="A628" i="60" s="1"/>
  <c r="A629" i="60" s="1"/>
  <c r="A630" i="60" s="1"/>
  <c r="A631" i="60" s="1"/>
  <c r="A632" i="60" s="1"/>
  <c r="A633" i="60" s="1"/>
  <c r="A634" i="60" s="1"/>
  <c r="A635" i="60" s="1"/>
  <c r="A636" i="60" s="1"/>
  <c r="A637" i="60" s="1"/>
  <c r="A638" i="60" s="1"/>
  <c r="A639" i="60" s="1"/>
  <c r="A640" i="60" s="1"/>
  <c r="A641" i="60" s="1"/>
  <c r="A642" i="60" s="1"/>
  <c r="A643" i="60" s="1"/>
  <c r="A644" i="60" s="1"/>
  <c r="A645" i="60" s="1"/>
  <c r="A646" i="60" s="1"/>
  <c r="A647" i="60" s="1"/>
  <c r="A648" i="60" s="1"/>
  <c r="A649" i="60" s="1"/>
  <c r="A650" i="60" s="1"/>
  <c r="A651" i="60" s="1"/>
  <c r="A652" i="60" s="1"/>
  <c r="A653" i="60" s="1"/>
  <c r="A654" i="60" s="1"/>
  <c r="A655" i="60" s="1"/>
  <c r="A656" i="60" s="1"/>
  <c r="A657" i="60" s="1"/>
  <c r="A658" i="60" s="1"/>
  <c r="A659" i="60" s="1"/>
  <c r="A660" i="60" s="1"/>
  <c r="A661" i="60" s="1"/>
  <c r="A662" i="60" s="1"/>
  <c r="A663" i="60" s="1"/>
  <c r="A664" i="60" s="1"/>
  <c r="A665" i="60" s="1"/>
  <c r="A666" i="60" s="1"/>
  <c r="A667" i="60" s="1"/>
  <c r="A668" i="60" s="1"/>
  <c r="A669" i="60" s="1"/>
  <c r="A670" i="60" s="1"/>
  <c r="A671" i="60" s="1"/>
  <c r="A672" i="60" s="1"/>
  <c r="A673" i="60" s="1"/>
  <c r="A674" i="60" s="1"/>
  <c r="A675" i="60" s="1"/>
  <c r="A676" i="60" s="1"/>
  <c r="A677" i="60" s="1"/>
  <c r="A678" i="60" s="1"/>
  <c r="A679" i="60" s="1"/>
  <c r="A680" i="60" s="1"/>
  <c r="A681" i="60" s="1"/>
  <c r="A682" i="60" s="1"/>
  <c r="A683" i="60" s="1"/>
  <c r="A684" i="60" s="1"/>
  <c r="A685" i="60" s="1"/>
  <c r="A686" i="60" s="1"/>
  <c r="A687" i="60" s="1"/>
  <c r="A688" i="60" s="1"/>
  <c r="A689" i="60" s="1"/>
  <c r="A690" i="60" s="1"/>
  <c r="A691" i="60" s="1"/>
  <c r="A692" i="60" s="1"/>
  <c r="A693" i="60" s="1"/>
  <c r="A694" i="60" s="1"/>
  <c r="A695" i="60" s="1"/>
  <c r="A696" i="60" s="1"/>
  <c r="A697" i="60" s="1"/>
  <c r="A698" i="60" s="1"/>
  <c r="A699" i="60" s="1"/>
  <c r="A700" i="60" s="1"/>
  <c r="A701" i="60" s="1"/>
  <c r="A702" i="60" s="1"/>
  <c r="A703" i="60" s="1"/>
  <c r="A704" i="60" s="1"/>
  <c r="A705" i="60" s="1"/>
  <c r="A706" i="60" s="1"/>
  <c r="A707" i="60" s="1"/>
  <c r="A708" i="60" s="1"/>
  <c r="A709" i="60" s="1"/>
  <c r="A710" i="60" s="1"/>
  <c r="A711" i="60" s="1"/>
  <c r="A712" i="60" s="1"/>
  <c r="A713" i="60" s="1"/>
  <c r="A714" i="60" s="1"/>
  <c r="A715" i="60" s="1"/>
  <c r="A716" i="60" s="1"/>
  <c r="A717" i="60" s="1"/>
  <c r="A718" i="60" s="1"/>
  <c r="A719" i="60" s="1"/>
  <c r="A720" i="60" s="1"/>
  <c r="A721" i="60" s="1"/>
  <c r="A722" i="60" s="1"/>
  <c r="A723" i="60" s="1"/>
  <c r="A724" i="60" s="1"/>
  <c r="A725" i="60" s="1"/>
  <c r="A726" i="60" s="1"/>
  <c r="A727" i="60" s="1"/>
  <c r="A728" i="60" s="1"/>
  <c r="A729" i="60" s="1"/>
  <c r="A730" i="60" s="1"/>
  <c r="A731" i="60" s="1"/>
  <c r="A732" i="60" s="1"/>
  <c r="A733" i="60" s="1"/>
  <c r="A734" i="60" s="1"/>
  <c r="A735" i="60" s="1"/>
  <c r="A736" i="60" s="1"/>
  <c r="A737" i="60" s="1"/>
  <c r="A738" i="60" s="1"/>
  <c r="A739" i="60" s="1"/>
  <c r="A740" i="60" s="1"/>
  <c r="A741" i="60" s="1"/>
  <c r="A742" i="60" s="1"/>
  <c r="A743" i="60" s="1"/>
  <c r="A744" i="60" s="1"/>
  <c r="A745" i="60" s="1"/>
  <c r="A746" i="60" s="1"/>
  <c r="A747" i="60" s="1"/>
  <c r="A748" i="60" s="1"/>
  <c r="A749" i="60" s="1"/>
  <c r="A750" i="60" s="1"/>
  <c r="A751" i="60" s="1"/>
  <c r="A752" i="60" s="1"/>
  <c r="A753" i="60" s="1"/>
  <c r="A754" i="60" s="1"/>
  <c r="A755" i="60" s="1"/>
  <c r="A756" i="60" s="1"/>
  <c r="A757" i="60" s="1"/>
  <c r="A758" i="60" s="1"/>
  <c r="A759" i="60" s="1"/>
  <c r="A760" i="60" s="1"/>
  <c r="A389" i="59"/>
  <c r="A390" i="59" l="1"/>
  <c r="A391" i="59" l="1"/>
  <c r="A392" i="59" l="1"/>
  <c r="A393" i="59" l="1"/>
  <c r="A394" i="59" l="1"/>
  <c r="A395" i="59" l="1"/>
  <c r="A396" i="59" l="1"/>
  <c r="A397" i="59" l="1"/>
</calcChain>
</file>

<file path=xl/sharedStrings.xml><?xml version="1.0" encoding="utf-8"?>
<sst xmlns="http://schemas.openxmlformats.org/spreadsheetml/2006/main" count="749" uniqueCount="256">
  <si>
    <t>GWh</t>
  </si>
  <si>
    <t>Boletín mensual</t>
  </si>
  <si>
    <t>Hidráulica</t>
  </si>
  <si>
    <t>Nuclear</t>
  </si>
  <si>
    <t>Carbón</t>
  </si>
  <si>
    <t>Eólica</t>
  </si>
  <si>
    <t>Solar fotovoltaica</t>
  </si>
  <si>
    <t>Solar térmica</t>
  </si>
  <si>
    <t>Otras renovables</t>
  </si>
  <si>
    <t>Cogeneración</t>
  </si>
  <si>
    <t>Generación</t>
  </si>
  <si>
    <t>Ciclo combinado</t>
  </si>
  <si>
    <t>Consumos en bombeo</t>
  </si>
  <si>
    <t>Demanda (b.c.)</t>
  </si>
  <si>
    <t>%</t>
  </si>
  <si>
    <t>Total</t>
  </si>
  <si>
    <t>No renovables</t>
  </si>
  <si>
    <t>Renovables</t>
  </si>
  <si>
    <t>-</t>
  </si>
  <si>
    <t>Sin emisiones CO2 (GWh)</t>
  </si>
  <si>
    <t>Con emisiones CO2 (GWh)</t>
  </si>
  <si>
    <t>Máximo</t>
  </si>
  <si>
    <t>Generación eólica (GWh)</t>
  </si>
  <si>
    <t>Generación eólica/Generación (%)</t>
  </si>
  <si>
    <t>Generación eólica diaria peninsular</t>
  </si>
  <si>
    <t>Máximos de generación de energía eólica peninsular</t>
  </si>
  <si>
    <t>Energía producible hidráulica diaria comparada con el producible medio histórico</t>
  </si>
  <si>
    <t>Histórica</t>
  </si>
  <si>
    <t>Potencia (MW)</t>
  </si>
  <si>
    <t>Cobertura de la demanda (%)</t>
  </si>
  <si>
    <t>Mes</t>
  </si>
  <si>
    <t>Día</t>
  </si>
  <si>
    <t>Producible diario</t>
  </si>
  <si>
    <t>Producible medio</t>
  </si>
  <si>
    <t>Producible</t>
  </si>
  <si>
    <t xml:space="preserve">Capacidad </t>
  </si>
  <si>
    <t>Estadístico</t>
  </si>
  <si>
    <t>Reservas (GWh)</t>
  </si>
  <si>
    <t>máxima (GWh)</t>
  </si>
  <si>
    <t>Mínimo</t>
  </si>
  <si>
    <t>% Llenado</t>
  </si>
  <si>
    <t>Reservas hidroeléctricas</t>
  </si>
  <si>
    <t>Anual</t>
  </si>
  <si>
    <t>Hiperanual</t>
  </si>
  <si>
    <t>Conjunto</t>
  </si>
  <si>
    <t>Reservas</t>
  </si>
  <si>
    <t>Norte</t>
  </si>
  <si>
    <t>Duero</t>
  </si>
  <si>
    <t>Tajo + Júcar +Segura</t>
  </si>
  <si>
    <t>Guadiana</t>
  </si>
  <si>
    <t>Guadalquivir</t>
  </si>
  <si>
    <t>Ebro</t>
  </si>
  <si>
    <t>Total </t>
  </si>
  <si>
    <t>Capacidad</t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</si>
  <si>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Asignación de unidades de producción según combustible principal.</t>
    </r>
  </si>
  <si>
    <t xml:space="preserve">Evolución de la generación renovable peninsular </t>
  </si>
  <si>
    <t>Estructura de potencia instalada mensual peninsular</t>
  </si>
  <si>
    <t>MW</t>
  </si>
  <si>
    <t>Estructura de potencia instalada peninsular</t>
  </si>
  <si>
    <t>Estructura de generacion mensual de energía eléctrica peninsular</t>
  </si>
  <si>
    <t>Estructura de generación mensual peninsular</t>
  </si>
  <si>
    <t xml:space="preserve">Evolución de la generación no renovable peninsular </t>
  </si>
  <si>
    <t>Evolución del peso de la generación renovable y no renovable peninsular</t>
  </si>
  <si>
    <r>
      <t xml:space="preserve">Balance de energía eléctrica peninsular </t>
    </r>
    <r>
      <rPr>
        <b/>
        <vertAlign val="superscript"/>
        <sz val="8"/>
        <color rgb="FF004563"/>
        <rFont val="Arial"/>
        <family val="2"/>
      </rPr>
      <t>(1)</t>
    </r>
  </si>
  <si>
    <t>Acumulado anual</t>
  </si>
  <si>
    <t xml:space="preserve"> </t>
  </si>
  <si>
    <t xml:space="preserve">• </t>
  </si>
  <si>
    <t>Producción</t>
  </si>
  <si>
    <t>Media estadística (GWh)</t>
  </si>
  <si>
    <t>Residuos renovables</t>
  </si>
  <si>
    <t>Residuos no renovables</t>
  </si>
  <si>
    <r>
      <t xml:space="preserve">Año móvil </t>
    </r>
    <r>
      <rPr>
        <b/>
        <vertAlign val="superscript"/>
        <sz val="8"/>
        <color indexed="9"/>
        <rFont val="Geneva"/>
      </rPr>
      <t>(2)</t>
    </r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</si>
  <si>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Año móvil: valor acumulado en los últimos 365 días o 366 días en años bisiestos.</t>
    </r>
  </si>
  <si>
    <t xml:space="preserve">Estructura de generación diaria del día de máxima generación de energía renovable peninsular
</t>
  </si>
  <si>
    <r>
      <rPr>
        <vertAlign val="superscript"/>
        <sz val="8"/>
        <color rgb="FF004563"/>
        <rFont val="Arial"/>
        <family val="2"/>
      </rPr>
      <t>(6)</t>
    </r>
    <r>
      <rPr>
        <sz val="8"/>
        <color rgb="FF004563"/>
        <rFont val="Arial"/>
        <family val="2"/>
      </rPr>
      <t xml:space="preserve"> Valor positivo: entrada de energía en el sistema; valor negativo: salida de energía del sistema.</t>
    </r>
  </si>
  <si>
    <r>
      <t xml:space="preserve">Enlace Península-Baleares </t>
    </r>
    <r>
      <rPr>
        <vertAlign val="superscript"/>
        <sz val="8"/>
        <color rgb="FF004563"/>
        <rFont val="Arial"/>
        <family val="2"/>
      </rPr>
      <t>(6)</t>
    </r>
  </si>
  <si>
    <r>
      <t xml:space="preserve">Saldo intercambios internacionales </t>
    </r>
    <r>
      <rPr>
        <vertAlign val="superscript"/>
        <sz val="8"/>
        <color rgb="FF004563"/>
        <rFont val="Arial"/>
        <family val="2"/>
      </rPr>
      <t>(7)</t>
    </r>
  </si>
  <si>
    <t>Reservas hidroeléctricas a finales de mes por cuencas hidrográficas</t>
  </si>
  <si>
    <t>Balance de energía eléctrica peninsular</t>
  </si>
  <si>
    <r>
      <rPr>
        <vertAlign val="superscript"/>
        <sz val="8"/>
        <color rgb="FF004563"/>
        <rFont val="Arial"/>
        <family val="2"/>
      </rPr>
      <t>(7)</t>
    </r>
    <r>
      <rPr>
        <sz val="8"/>
        <color rgb="FF004563"/>
        <rFont val="Arial"/>
        <family val="2"/>
      </rPr>
      <t xml:space="preserve"> Valor positivo: saldo importador; valor negativo: saldo exportador. Los valores de incrementos no se calculan cuando los saldos de intercambios tienen distinto signo.</t>
    </r>
  </si>
  <si>
    <t>Potencia</t>
  </si>
  <si>
    <t>Turbinación bombeo</t>
  </si>
  <si>
    <t xml:space="preserve">Residuos renovables </t>
  </si>
  <si>
    <t>Nota: Todos los porcentajes de variación están refereridos al mismo período del año anterior.</t>
  </si>
  <si>
    <t>Renovables: hidráulica, eólica, solar fotovoltaica, solar térmica, otras renovables y residuos renovables.</t>
  </si>
  <si>
    <t>No renovables: turbinación bombeo, nuclear, carbón, fuel/gas, ciclo combinado, cogeneración y residuos no renovables.</t>
  </si>
  <si>
    <t>F</t>
  </si>
  <si>
    <t>M</t>
  </si>
  <si>
    <t>A</t>
  </si>
  <si>
    <t>J</t>
  </si>
  <si>
    <t>S</t>
  </si>
  <si>
    <t>O</t>
  </si>
  <si>
    <t>N</t>
  </si>
  <si>
    <t>D</t>
  </si>
  <si>
    <t>E</t>
  </si>
  <si>
    <t>Fuel+Gas</t>
  </si>
  <si>
    <t>Total generación</t>
  </si>
  <si>
    <t>Enlace Península-Baleares</t>
  </si>
  <si>
    <t>Península</t>
  </si>
  <si>
    <t>Mes (MWh)</t>
  </si>
  <si>
    <t>% Incr. Mes</t>
  </si>
  <si>
    <t>Año (MWh)</t>
  </si>
  <si>
    <t>% Incr. Año</t>
  </si>
  <si>
    <t>Año móvil (MWh)</t>
  </si>
  <si>
    <t>% Incr. Año móvil</t>
  </si>
  <si>
    <t>Sistema Eléctrico</t>
  </si>
  <si>
    <t>Indicadores</t>
  </si>
  <si>
    <t>Balance</t>
  </si>
  <si>
    <t>Último día mes</t>
  </si>
  <si>
    <t>Demanda B.C. (GWh)</t>
  </si>
  <si>
    <t>Balance Máx.Renov.Mes</t>
  </si>
  <si>
    <t>Últimos 13 meses</t>
  </si>
  <si>
    <t>Sin emisiones CO2 (%)</t>
  </si>
  <si>
    <t>Con emisiones CO2 (%)</t>
  </si>
  <si>
    <t>Renovables (GWh)</t>
  </si>
  <si>
    <t>No renovables (GWh)</t>
  </si>
  <si>
    <t>Renovables (%)</t>
  </si>
  <si>
    <t>No renovables (%)</t>
  </si>
  <si>
    <t>Demanda B.C. (MWh)</t>
  </si>
  <si>
    <t>Hora</t>
  </si>
  <si>
    <t>Demanda B.C. Horaria (GWh)</t>
  </si>
  <si>
    <t>Consumo de bombeo</t>
  </si>
  <si>
    <t>Saldos intercambios internacionales</t>
  </si>
  <si>
    <t>Demanda transporte (b.c.)</t>
  </si>
  <si>
    <t>Generación eólica / total generación (%)</t>
  </si>
  <si>
    <t>Calculadas pdte BDE</t>
  </si>
  <si>
    <t>Con emisiones CO2: carbón, fuel/gas, ciclo combinado, cogeneración y residuos no renovables.</t>
  </si>
  <si>
    <t>Estructura de generacion mensual de energía eléctrica peninsular 20/03/2018</t>
  </si>
  <si>
    <t>Fuel-Gas</t>
  </si>
  <si>
    <t>Ciclo Combinado</t>
  </si>
  <si>
    <t>Solar Fotovoltaica</t>
  </si>
  <si>
    <t>Solar Térmica</t>
  </si>
  <si>
    <t>Residuos No Renovables</t>
  </si>
  <si>
    <t>Residuos Renovables</t>
  </si>
  <si>
    <t>Otras Renovables</t>
  </si>
  <si>
    <t>Generación Neta</t>
  </si>
  <si>
    <t>Consumos Bombeo</t>
  </si>
  <si>
    <t>E. Peninsula Baleares</t>
  </si>
  <si>
    <t>Saldo Interc. Internacionales</t>
  </si>
  <si>
    <t>Demanda Transporte</t>
  </si>
  <si>
    <t xml:space="preserve">Evolución de la generación renovable y no renovable peninsular </t>
  </si>
  <si>
    <t>Fecha</t>
  </si>
  <si>
    <t>Dia</t>
  </si>
  <si>
    <t>Maximo</t>
  </si>
  <si>
    <t>Generación horaria el día de máxima generación de energía eólica peninsular</t>
  </si>
  <si>
    <t>Estructura de generacion mensual de energía eléctrica peninsular 18/08/2018</t>
  </si>
  <si>
    <t>Informes Actividad Consejo</t>
  </si>
  <si>
    <t>(GWh)</t>
  </si>
  <si>
    <t xml:space="preserve">  </t>
  </si>
  <si>
    <t>Generación renovable</t>
  </si>
  <si>
    <t>Generación no renovable</t>
  </si>
  <si>
    <r>
      <t xml:space="preserve">Otras renovables </t>
    </r>
    <r>
      <rPr>
        <vertAlign val="superscript"/>
        <sz val="8"/>
        <color rgb="FF004563"/>
        <rFont val="Arial"/>
        <family val="2"/>
      </rPr>
      <t>(3)</t>
    </r>
  </si>
  <si>
    <r>
      <rPr>
        <vertAlign val="superscript"/>
        <sz val="8"/>
        <color rgb="FF004563"/>
        <rFont val="Arial"/>
        <family val="2"/>
      </rPr>
      <t>(3)</t>
    </r>
    <r>
      <rPr>
        <sz val="8"/>
        <color rgb="FF004563"/>
        <rFont val="Arial"/>
        <family val="2"/>
      </rPr>
      <t xml:space="preserve"> Incluye biogás, biomasa, hidráulica marina y geotérmica.</t>
    </r>
  </si>
  <si>
    <r>
      <t xml:space="preserve">Turbinación bombeo </t>
    </r>
    <r>
      <rPr>
        <vertAlign val="superscript"/>
        <sz val="8"/>
        <color rgb="FF004563"/>
        <rFont val="Arial"/>
        <family val="2"/>
      </rPr>
      <t>(4)</t>
    </r>
  </si>
  <si>
    <r>
      <rPr>
        <vertAlign val="superscript"/>
        <sz val="8"/>
        <color rgb="FF004563"/>
        <rFont val="Arial"/>
        <family val="2"/>
      </rPr>
      <t>(4)</t>
    </r>
    <r>
      <rPr>
        <sz val="8"/>
        <color rgb="FF004563"/>
        <rFont val="Arial"/>
        <family val="2"/>
      </rPr>
      <t xml:space="preserve"> Turbinación de bombeo puro + estimación de turbinación de bombeo mixto.</t>
    </r>
  </si>
  <si>
    <r>
      <t xml:space="preserve">Ciclo combinado </t>
    </r>
    <r>
      <rPr>
        <vertAlign val="superscript"/>
        <sz val="8"/>
        <color rgb="FF004563"/>
        <rFont val="Arial"/>
        <family val="2"/>
      </rPr>
      <t>(5)</t>
    </r>
  </si>
  <si>
    <r>
      <rPr>
        <vertAlign val="superscript"/>
        <sz val="8"/>
        <color rgb="FF004563"/>
        <rFont val="Arial"/>
        <family val="2"/>
      </rPr>
      <t>(5)</t>
    </r>
    <r>
      <rPr>
        <sz val="8"/>
        <color rgb="FF004563"/>
        <rFont val="Arial"/>
        <family val="2"/>
      </rPr>
      <t xml:space="preserve"> Incluye funcionamiento en ciclo abierto</t>
    </r>
  </si>
  <si>
    <t>Año anterior (MWh)</t>
  </si>
  <si>
    <t>HUI</t>
  </si>
  <si>
    <t>HUN</t>
  </si>
  <si>
    <t>GAS</t>
  </si>
  <si>
    <t>GFP</t>
  </si>
  <si>
    <t>GSN</t>
  </si>
  <si>
    <t>SPI</t>
  </si>
  <si>
    <t>MIN</t>
  </si>
  <si>
    <t>RSU</t>
  </si>
  <si>
    <t>RSVN</t>
  </si>
  <si>
    <t>Emisiones CO2 balance</t>
  </si>
  <si>
    <t>Combustible Desglose Evolución UP</t>
  </si>
  <si>
    <t>Mes Año anterior (MWh)</t>
  </si>
  <si>
    <t>Año móvil Año anterior (MWh)</t>
  </si>
  <si>
    <t>FUE</t>
  </si>
  <si>
    <t>Producible Eólico Diario (GWh)</t>
  </si>
  <si>
    <t>La producción neta de las instalaciones no renovables e hidráulicas UGH tienen descontados sus consumos propios. En dichos tipos de producción una generación negativa indica que la electricidad consumida para los usos de la planta excede su producción bruta.</t>
  </si>
  <si>
    <t>Emisión (tCO2 eq.)</t>
  </si>
  <si>
    <t>Energía producible eólica comparada con el producible eólico medio histórico</t>
  </si>
  <si>
    <r>
      <t>Evolución de las emisiones de CO</t>
    </r>
    <r>
      <rPr>
        <b/>
        <vertAlign val="subscript"/>
        <sz val="8"/>
        <color rgb="FF004563"/>
        <rFont val="Arial"/>
        <family val="2"/>
      </rPr>
      <t>2</t>
    </r>
    <r>
      <rPr>
        <b/>
        <sz val="8"/>
        <color rgb="FF004563"/>
        <rFont val="Arial"/>
        <family val="2"/>
      </rPr>
      <t xml:space="preserve"> equivalente y peso de la generación libre de CO</t>
    </r>
    <r>
      <rPr>
        <b/>
        <vertAlign val="subscript"/>
        <sz val="8"/>
        <color rgb="FF004563"/>
        <rFont val="Arial"/>
        <family val="2"/>
      </rPr>
      <t>2</t>
    </r>
    <r>
      <rPr>
        <b/>
        <sz val="8"/>
        <color rgb="FF004563"/>
        <rFont val="Arial"/>
        <family val="2"/>
      </rPr>
      <t xml:space="preserve"> peninsular</t>
    </r>
  </si>
  <si>
    <t>Fuel/Gas</t>
  </si>
  <si>
    <t>2021 Mayo</t>
  </si>
  <si>
    <t>Residuos no Renovables</t>
  </si>
  <si>
    <t>Potencia instalada CIL</t>
  </si>
  <si>
    <t>Combustible</t>
  </si>
  <si>
    <t>Fuel+gas</t>
  </si>
  <si>
    <t>Martes 28/12/2021 (03:03 h)</t>
  </si>
  <si>
    <t>2022 Enero</t>
  </si>
  <si>
    <t>2021 Junio</t>
  </si>
  <si>
    <t>2021 Julio</t>
  </si>
  <si>
    <t>2021 Agosto</t>
  </si>
  <si>
    <t>2021 Septiembre</t>
  </si>
  <si>
    <t>2021 Octubre</t>
  </si>
  <si>
    <t>2021 Noviembre</t>
  </si>
  <si>
    <t>2021 Diciembre</t>
  </si>
  <si>
    <t>Marzo 2022</t>
  </si>
  <si>
    <t>Abril 2022</t>
  </si>
  <si>
    <t>2022 Abril</t>
  </si>
  <si>
    <t>Sin emisiones CO2: hidráulica, nuclear, eólica, solar fotovoltaica, solar térmica, otras renovables y residuos renovables.</t>
  </si>
  <si>
    <t>Mayo 2022</t>
  </si>
  <si>
    <t>2022 Mayo</t>
  </si>
  <si>
    <t>2022 Febrero</t>
  </si>
  <si>
    <t>2022 Marzo</t>
  </si>
  <si>
    <t>Junio 2022</t>
  </si>
  <si>
    <t>Julio 2022</t>
  </si>
  <si>
    <t>Agosto 2022</t>
  </si>
  <si>
    <t>Septiembre 2022</t>
  </si>
  <si>
    <t>Octubre 2022</t>
  </si>
  <si>
    <t>Noviembre 2022</t>
  </si>
  <si>
    <t>Diciembre 2022</t>
  </si>
  <si>
    <t>Enero 2023</t>
  </si>
  <si>
    <t>27/01/2023</t>
  </si>
  <si>
    <t>Febrero 2023</t>
  </si>
  <si>
    <t>Marzo 2023</t>
  </si>
  <si>
    <t>Balance Máx.Renov.Histórico</t>
  </si>
  <si>
    <t>Jueves 09/03/2023 (20:35 h)</t>
  </si>
  <si>
    <t>Abril 2023</t>
  </si>
  <si>
    <t>Producible Solar Diario (GWh)</t>
  </si>
  <si>
    <t>Producible Solar Medio 10 dia (GWh)</t>
  </si>
  <si>
    <t>Generación solar fotovoltaica (GWh)</t>
  </si>
  <si>
    <t>Generación solar fotovoltaica/Generación (%)</t>
  </si>
  <si>
    <t>Generación solar fotovoltaica diaria peninsular</t>
  </si>
  <si>
    <t>Máximos de generación de energía solar fotovoltaica peninsular</t>
  </si>
  <si>
    <t>Energía producible solar fotovoltaica comparada con el producible solar fotovoltaico medio histórico</t>
  </si>
  <si>
    <t>Mayo 2023</t>
  </si>
  <si>
    <t>Sábado 08/04/2023 (13:06 h)</t>
  </si>
  <si>
    <t>Junio 2023</t>
  </si>
  <si>
    <t>Julio 2023</t>
  </si>
  <si>
    <t>Agosto 2023</t>
  </si>
  <si>
    <t>Miércoles 02/08/2023 (13:27 h)</t>
  </si>
  <si>
    <t>Septiembre 2023</t>
  </si>
  <si>
    <t>Octubre 2023</t>
  </si>
  <si>
    <t>Noviembre 2023</t>
  </si>
  <si>
    <t>&lt;mi app="e" ver="22"&gt;&lt;rptloc guid="052ee096faf54fb1b5226c6993ad96e9" rank="0" ds="1"&gt;&lt;ri hasPG="0" name="Balance B.C. Mensual Sistema eléctrico" id="EFE74E0E480B5072ECEA02A9C0AB8EF7" path="Objetos públicos\Informes\Informes macros\Consejo\Balance B.C. Mensual Sistema eléctrico" cf="0" prompt="1" ve="0" vm="0" flashpth="d:\Usuarios\sevpenma\AppData\Local\Temp\" fimagepth="d:\Usuarios\sevpenma\AppData\Local\Temp\" swfn="DashboardViewer.swf" fvars="" dvis=""&gt;&lt;ans /&gt;&lt;ci ps="BI" srv="apcpr64b" prj="BDEbi" prjid="D066E1C611E6257C10D00080EF253B44" li="FUEPERRO" am="s" /&gt;&lt;lu ut="12/04/2023 18:08:50" si="2.000000019c605fabcb6f4f574e34fff9430f25b19905d2795fac065175c0f6314585eb17e8898eef4eec0d34efe79f311b4e2526d55c40e2e4881030a499be545f3fe166c9e3465c2aa88706c82b87697f28d50d9e203b774773117985956f707b884968d6a32aef5754cdf09b3a84336c146168b9895520aed9b9663242f2f6359a24628cb6ae7e070bb1ea1f1bba10e668f5ebaadf6ea45dd0d7d539cf585d4b40.p.3082.0.1.Europe/Madrid.upriv*_1*_pidn2*_9*_session*-lat*_1.00000001acc607f2c354f8ecc2592892769f3c32b5ee3e72cc1b87640ecdabd6bb3016ffd94bc02f932cff35c77ca293446ee9406a7b22ea.0000000185f3b328e47190968f8a2b01ead194eab5ee3e72bf804c5021c4041649256779b2a7de884429ac948f1d3bf06217f439feb97f9d.0.1.1.BDEbi.D066E1C611E6257C10D00080EF253B44.0-3082.1.1_-0.1.0_-3082.1.1_5.5.0.*0.000000016a987d4502ef9e2ac13c0b79d8f76ba3c911585a68388a8941dfc6627ce17f718d310216.0.23.11*.2*.0400*.31152J.e.000000019d83dd8569638adf7ba932ef642659b9c911585a6356f238b7adda154992d85dc961249a.0.10*.131*.122*.122.0.0" msgID="DFB0663C11EE92CC62F40080EF5510E9"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ews="Dat_04 CONSEJO" ece="A1" enr="MSTR.Balance_B.C._Mensual_Sistema_eléctrico" ptn="" qtn="" rows="27" cols="46" /&gt;&lt;esdo ews="" ece="" ptn="" /&gt;&lt;/excel&gt;&lt;pgs&gt;&lt;pg rows="23" cols="45" nrr="575" nrc="9225"&gt;&lt;pg /&gt;&lt;bls&gt;&lt;bl sr="1" sc="1" rfetch="23" cfetch="45" posid="1" darows="0" dacols="1"&gt;&lt;excel&gt;&lt;epo ews="Dat_04 CONSEJO" ece="A1" enr="MSTR.Balance_B.C._Mensual_Sistema_eléctrico" ptn="" qtn="" rows="27" cols="46" /&gt;&lt;esdo ews="" ece="" ptn="" /&gt;&lt;/excel&gt;&lt;gridRng&gt;&lt;sect id="TITLE_AREA" rngprop="1:1:4:1" /&gt;&lt;sect id="ROWHEADERS_AREA" rngprop="5:1:23:1" /&gt;&lt;sect id="COLUMNHEADERS_AREA" rngprop="1:2:4:45" /&gt;&lt;sect id="DATA_AREA" rngprop="5:2:23:45" /&gt;&lt;/gridRng&gt;&lt;shapes /&gt;&lt;/bl&gt;&lt;/bls&gt;&lt;/pg&gt;&lt;/pgs&gt;&lt;/rptloc&gt;&lt;/mi&gt;</t>
  </si>
  <si>
    <t>Diciembre 2023</t>
  </si>
  <si>
    <t>TERN</t>
  </si>
  <si>
    <t>Enero 2024</t>
  </si>
  <si>
    <t>Febrero 2024</t>
  </si>
  <si>
    <t>Marzo 2024</t>
  </si>
  <si>
    <t>31/03/2024</t>
  </si>
  <si>
    <t>&lt;mi app="e" ver="22"&gt;&lt;rptloc guid="8eda295ca0c44ed4b2c2697f05f1f12f"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ut="04/10/2024 09:51:50" si="2.000000013a499fdb11e6862a8db14d0a9b0752705c8cdea3df01711cdd97b05f28d142bab37f189384371681a5621a10386850b117e00c4d463aa68c7e9656ff1641e371cc79f4b4f19097883acd427e17f7755f22d7f7f143327941c64ebc2462f8759da94ba60d568bbe4f3dafe75ba2a52982e466943a87e6a037332e815e147f5ff1d983f6dd18c8bf716c31ef69f3b7b47bdd68bea222a5bbdbcb94e66e61cf.p.3082.0.1.Europe/Madrid.upriv*_1*_pidn2*_72*_session*-lat*_1.00000001f0899f88a8bb1faff8660a8dd0a85942bc6025e0e65b5109c2be9ba6fd88dddc4383afb668c25201043add9b23efa1d59d21601e.00000001615cf2b58ab3aa81a6d7d1a07cf184eabc6025e01188cdfb0d96b70a67cd06e79d4e1eb0193af630b83be919c98a0936660434e9.0.1.1.BDEbi.D066E1C611E6257C10D00080EF253B44.0-3082.1.1_-0.1.0_-3082.1.1_5.5.0.*0.00000001b6a49590a15f4734851623da898cb794c911585a69e2b5f250e8f3357b750ac594eaa799.0.23.11*.2*.0400*.31152J.e.000000014556c0e06c428f5cbca61889ea33bf08c911585ae9c90a4d05eba676780782adbf2333cb.0.10*.131*.122*.122.0.0" msgID="F0B2C68411EEF71F81490080EF658402"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nrr="114"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</si>
  <si>
    <t>&lt;mi app="e" ver="22"&gt;&lt;rptloc guid="5fe731c357db43efa2a5febd8fdb3582" rank="0" ds="1"&gt;&lt;ri hasPG="0" name="Balance B.C. Mensual Peninsular" id="72B518624D2DBF77003353B699115DFF" path="Objetos públicos\Informes\Informes macros\Boletín\Balance B.C. Mensual Peninsular"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ut="04/10/2024 10:08:30" si="2.000000013a499fdb11e6862a8db14d0a9b0752705c8cdea3df01711cdd97b05f28d142bab37f189384371681a5621a10386850b117e00c4d463aa68c7e9656ff1641e371cc79f4b4f19097883acd427e17f7755f22d7f7f143327941c64ebc2462f8759da94ba60d568bbe4f3dafe75ba2a52982e466943a87e6a037332e815e147f5ff1d983f6dd18c8bf716c31ef69f3b7b47bdd68bea222a5bbdbcb94e66e61cf.p.3082.0.1.Europe/Madrid.upriv*_1*_pidn2*_72*_session*-lat*_1.00000001f0899f88a8bb1faff8660a8dd0a85942bc6025e0e65b5109c2be9ba6fd88dddc4383afb668c25201043add9b23efa1d59d21601e.00000001615cf2b58ab3aa81a6d7d1a07cf184eabc6025e01188cdfb0d96b70a67cd06e79d4e1eb0193af630b83be919c98a0936660434e9.0.1.1.BDEbi.D066E1C611E6257C10D00080EF253B44.0-3082.1.1_-0.1.0_-3082.1.1_5.5.0.*0.00000001b6a49590a15f4734851623da898cb794c911585a69e2b5f250e8f3357b750ac594eaa799.0.23.11*.2*.0400*.31152J.e.000000014556c0e06c428f5cbca61889ea33bf08c911585ae9c90a4d05eba676780782adbf2333cb.0.10*.131*.122*.122.0.0" msgID="363D9C7411EEF72081490080EFA50402"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ece="A4" enr="MSTR.Balance_B.C._Mensual_Peninsular" ptn="" qtn="" rows="22" cols="10" /&gt;&lt;esdo ews="" ece="" ptn="" /&gt;&lt;/excel&gt;&lt;pgs&gt;&lt;pg rows="18" cols="9" nrr="1705" nrc="1077"&gt;&lt;pg /&gt;&lt;bls&gt;&lt;bl sr="1" sc="1" rfetch="18" cfetch="9" posid="1" darows="0" dacols="1"&gt;&lt;excel&gt;&lt;epo ews="Dat_01" ece="A4" enr="MSTR.Balance_B.C._Mensual_Peninsular" ptn="" qtn="" rows="22" cols="10" /&gt;&lt;esdo ews="" ece="" ptn="" /&gt;&lt;/excel&gt;&lt;gridRng&gt;&lt;sect id="TITLE_AREA" rngprop="1:1:4:1" /&gt;&lt;sect id="ROWHEADERS_AREA" rngprop="5:1:18:1" /&gt;&lt;sect id="COLUMNHEADERS_AREA" rngprop="1:2:4:9" /&gt;&lt;sect id="DATA_AREA" rngprop="5:2:18:9" /&gt;&lt;/gridRng&gt;&lt;shapes /&gt;&lt;/bl&gt;&lt;/bls&gt;&lt;/pg&gt;&lt;/pgs&gt;&lt;/rptloc&gt;&lt;/mi&gt;</t>
  </si>
  <si>
    <t>2024 Marzo</t>
  </si>
  <si>
    <t>&lt;mi app="e" ver="22"&gt;&lt;rptloc guid="5b83d63ba9314e82b555f84bc06c4937" rank="0" ds="1"&gt;&lt;ri hasPG="0" name="Potencia instalada" id="CCCD6AEF49D88879CD2CE99555E139E4" path="Objetos públicos\Informes\Informes Específicos\Estadística\INFORMES MACROS\NUEVO BOLETIN ELECTRONICO\Potencia instalada" cf="0" prompt="1" ve="0" vm="0" flashpth="C:\Users\FUEPERRO\AppData\Local\Temp\" fimagepth="C:\Users\FUEPERRO\AppData\Local\Temp\" swfn="DashboardViewer.swf" fvars="" dvis=""&gt;&lt;ans /&gt;&lt;ci ps="BI" srv="apcpr64b" prj="SIOSbi" prjid="A04572404A6ABF2446090B938515E87E" li="SEVPENMA" am="s" /&gt;&lt;lu ut="04/10/2024 10:36:56" si="2.000000014e669274744b3506d5494f4cbc8bad95ad608c77cffa86ae4ef48d16f2e8a2b6320d449e8a279f47db5e51d80fdf6c39ab64b44c28b4c9e6585e1b2cd3df7ca1ad3168cd5b5bf2407256a833dd770ad2cceafab589323815b7c3801c32d987f05b43d4f510d002518b861a280d2a363d27d948c07763d44f079f546aac9f3d6dd9a735c55bd3733e1b73f9bbd14fd9b499ccdec65b08961f7134cbf9c080.p.3082.0.1.Europe/Madrid.upriv*_1*_pidn2*_69*_session*-lat*_1.00000001698b95d4a579c9e25994947fde2019b4bc6025e0a0efa847e3ac46be66871c3be3ca71e7a2b3fc54a3aef88b2bb55a52e0c3b5b1.00000001e910df90631b5c486c4e17fca1a6fc39bc6025e06c4ca5d025ff2e3df910f4c0be599cb1a26a8529579319f1e3074f6e8a7b495d.0.1.1.SIOSbi.A04572404A6ABF2446090B938515E87E.0-3082.1.1_-0.1.0_-3082.1.1_5.5.0.*0.00000001b79ff997c021bf365ca1187379e19a5cc911585a5a11e690d4603f4ebd539d79bdd1510a.0.23.11*.2*.0400*.31152J.e.000000015c35023aba6d49c8d8a40919483a0df0c911585aed0230c71bd60c3576a80cc1678f0ceb.0.10*.131*.122*.122.0.0" msgID="3C06C1D511EEF72681490080EF95E504"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ece="L4" enr="MSTR.Potencia_instalada.1" ptn="" qtn="" rows="17" cols="2" /&gt;&lt;esdo ews="" ece="" ptn="" /&gt;&lt;/excel&gt;&lt;pgs&gt;&lt;pg rows="14" cols="1" nrr="574" nrc="65"&gt;&lt;pg /&gt;&lt;bls&gt;&lt;bl sr="1" sc="1" rfetch="14" cfetch="1" posid="1" darows="0" dacols="1"&gt;&lt;excel&gt;&lt;epo ews="Dat_01" ece="L4" enr="MSTR.Potencia_instalada.1" ptn="" qtn="" rows="17" cols="2" /&gt;&lt;esdo ews="" ece="" ptn="" /&gt;&lt;/excel&gt;&lt;gridRng&gt;&lt;sect id="TITLE_AREA" rngprop="1:1:3:1" /&gt;&lt;sect id="ROWHEADERS_AREA" rngprop="4:1:14:1" /&gt;&lt;sect id="COLUMNHEADERS_AREA" rngprop="1:2:3:1" /&gt;&lt;sect id="DATA_AREA" rngprop="4:2:14:1" /&gt;&lt;/gridRng&gt;&lt;shapes /&gt;&lt;/bl&gt;&lt;/bls&gt;&lt;/pg&gt;&lt;/pgs&gt;&lt;/rptloc&gt;&lt;/mi&gt;</t>
  </si>
  <si>
    <t>01/03/2024</t>
  </si>
  <si>
    <t>&lt;mi app="e" ver="22"&gt;&lt;rptloc guid="aa9a9fa9204e4914baeea8ad5cddd804" rank="0" ds="1"&gt;&lt;ri hasPG="0" name="Balance. Día máx generación renovable. Mes" id="F3E687E0455AF7372B8B8888677B9BF1" path="Objetos públicos\Informes\Informes macros\Boletín\Balance. Día máx generación renovable. Mes"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ut="04/10/2024 10:38:02" si="2.000000013a499fdb11e6862a8db14d0a9b0752705c8cdea3df01711cdd97b05f28d142bab37f189384371681a5621a10386850b117e00c4d463aa68c7e9656ff1641e371cc79f4b4f19097883acd427e17f7755f22d7f7f143327941c64ebc2462f8759da94ba60d568bbe4f3dafe75ba2a52982e466943a87e6a037332e815e147f5ff1d983f6dd18c8bf716c31ef69f3b7b47bdd68bea222a5bbdbcb94e66e61cf.p.3082.0.1.Europe/Madrid.upriv*_1*_pidn2*_72*_session*-lat*_1.00000001f0899f88a8bb1faff8660a8dd0a85942bc6025e0e65b5109c2be9ba6fd88dddc4383afb668c25201043add9b23efa1d59d21601e.00000001615cf2b58ab3aa81a6d7d1a07cf184eabc6025e01188cdfb0d96b70a67cd06e79d4e1eb0193af630b83be919c98a0936660434e9.0.1.1.BDEbi.D066E1C611E6257C10D00080EF253B44.0-3082.1.1_-0.1.0_-3082.1.1_5.5.0.*0.00000001b6a49590a15f4734851623da898cb794c911585a69e2b5f250e8f3357b750ac594eaa799.0.23.11*.2*.0400*.31152J.e.000000014556c0e06c428f5cbca61889ea33bf08c911585ae9c90a4d05eba676780782adbf2333cb.0.10*.131*.122*.122.0.0" msgID="5F3D84DA11EEF72681490080EFD56502"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ece="A66" enr="MSTR.Balance._Día_máx_generación_renovable._Mes" ptn="" qtn="" rows="21" cols="2" /&gt;&lt;esdo ews="" ece="" ptn="" /&gt;&lt;/excel&gt;&lt;pgs&gt;&lt;pg rows="18" cols="1" nrr="1603" nrc="89"&gt;&lt;pg /&gt;&lt;bls&gt;&lt;bl sr="1" sc="1" rfetch="18" cfetch="1" posid="1" darows="0" dacols="1"&gt;&lt;excel&gt;&lt;epo ews="Dat_01" ece="A66" enr="MSTR.Balance._Día_máx_generación_renovable._Mes" ptn="" qtn="" rows="21" cols="2" /&gt;&lt;esdo ews="" ece="" ptn="" /&gt;&lt;/excel&gt;&lt;gridRng&gt;&lt;sect id="TITLE_AREA" rngprop="1:1:3:1" /&gt;&lt;sect id="ROWHEADERS_AREA" rngprop="4:1:18:1" /&gt;&lt;sect id="COLUMNHEADERS_AREA" rngprop="1:2:3:1" /&gt;&lt;sect id="DATA_AREA" rngprop="4:2:18:1" /&gt;&lt;/gridRng&gt;&lt;shapes /&gt;&lt;/bl&gt;&lt;/bls&gt;&lt;/pg&gt;&lt;/pgs&gt;&lt;/rptloc&gt;&lt;/mi&gt;</t>
  </si>
  <si>
    <t>&lt;mi app="e" ver="22"&gt;&lt;rptloc guid="a68e02d555674c70be149cdb8817b376" rank="0" ds="1"&gt;&lt;ri hasPG="0" name="Balance. Día máx generación renovable. Histórico" id="ADDEE00E40BFE87CFA6740A4DC01E463" path="Objetos públicos\Informes\Informes macros\Boletín\Balance. Día máx generación renovable. Histórico"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ut="04/10/2024 10:56:53" si="2.000000013a499fdb11e6862a8db14d0a9b0752705c8cdea3df01711cdd97b05f28d142bab37f189384371681a5621a10386850b117e00c4d463aa68c7e9656ff1641e371cc79f4b4f19097883acd427e17f7755f22d7f7f143327941c64ebc2462f8759da94ba60d568bbe4f3dafe75ba2a52982e466943a87e6a037332e815e147f5ff1d983f6dd18c8bf716c31ef69f3b7b47bdd68bea222a5bbdbcb94e66e61cf.p.3082.0.1.Europe/Madrid.upriv*_1*_pidn2*_72*_session*-lat*_1.00000001f0899f88a8bb1faff8660a8dd0a85942bc6025e0e65b5109c2be9ba6fd88dddc4383afb668c25201043add9b23efa1d59d21601e.00000001615cf2b58ab3aa81a6d7d1a07cf184eabc6025e01188cdfb0d96b70a67cd06e79d4e1eb0193af630b83be919c98a0936660434e9.0.1.1.BDEbi.D066E1C611E6257C10D00080EF253B44.0-3082.1.1_-0.1.0_-3082.1.1_5.5.0.*0.00000001b6a49590a15f4734851623da898cb794c911585a69e2b5f250e8f3357b750ac594eaa799.0.23.11*.2*.0400*.31152J.e.000000014556c0e06c428f5cbca61889ea33bf08c911585ae9c90a4d05eba676780782adbf2333cb.0.10*.131*.122*.122.0.0" msgID="8312091211EEF72681490080EFD56706"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ece="G66" enr="MSTR.Balance._Día_máx_generación_renovable._Histórico" ptn="" qtn="" rows="21" cols="2" /&gt;&lt;esdo ews="" ece="" ptn="" /&gt;&lt;/excel&gt;&lt;pgs&gt;&lt;pg rows="18" cols="1" nrr="1641" nrc="90"&gt;&lt;pg /&gt;&lt;bls&gt;&lt;bl sr="1" sc="1" rfetch="18" cfetch="1" posid="1" darows="0" dacols="1"&gt;&lt;excel&gt;&lt;epo ews="Dat_01" ece="G66" enr="MSTR.Balance._Día_máx_generación_renovable._Histórico" ptn="" qtn="" rows="21" cols="2" /&gt;&lt;esdo ews="" ece="" ptn="" /&gt;&lt;/excel&gt;&lt;gridRng&gt;&lt;sect id="TITLE_AREA" rngprop="1:1:3:1" /&gt;&lt;sect id="ROWHEADERS_AREA" rngprop="4:1:18:1" /&gt;&lt;sect id="COLUMNHEADERS_AREA" rngprop="1:2:3:1" /&gt;&lt;sect id="DATA_AREA" rngprop="4:2:18:1" /&gt;&lt;/gridRng&gt;&lt;shapes /&gt;&lt;/bl&gt;&lt;/bls&gt;&lt;/pg&gt;&lt;/pgs&gt;&lt;/rptloc&gt;&lt;/mi&gt;</t>
  </si>
  <si>
    <t>&lt;mi app="e" ver="22"&gt;&lt;rptloc guid="b18b4e583bf24c259e1af372c80b52c0" rank="0" ds="1"&gt;&lt;ri hasPG="0" name="Serie Balance B.C. Mensual Peninsular" id="E61AF3854964BBD29B7553A35339E8D9" path="Objetos públicos\Informes\Informes macros\Boletín\Serie Balance B.C. Mensual Peninsular"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ut="04/10/2024 11:06:26" si="2.000000013a499fdb11e6862a8db14d0a9b0752705c8cdea3df01711cdd97b05f28d142bab37f189384371681a5621a10386850b117e00c4d463aa68c7e9656ff1641e371cc79f4b4f19097883acd427e17f7755f22d7f7f143327941c64ebc2462f8759da94ba60d568bbe4f3dafe75ba2a52982e466943a87e6a037332e815e147f5ff1d983f6dd18c8bf716c31ef69f3b7b47bdd68bea222a5bbdbcb94e66e61cf.p.3082.0.1.Europe/Madrid.upriv*_1*_pidn2*_72*_session*-lat*_1.00000001f0899f88a8bb1faff8660a8dd0a85942bc6025e0e65b5109c2be9ba6fd88dddc4383afb668c25201043add9b23efa1d59d21601e.00000001615cf2b58ab3aa81a6d7d1a07cf184eabc6025e01188cdfb0d96b70a67cd06e79d4e1eb0193af630b83be919c98a0936660434e9.0.1.1.BDEbi.D066E1C611E6257C10D00080EF253B44.0-3082.1.1_-0.1.0_-3082.1.1_5.5.0.*0.00000001b6a49590a15f4734851623da898cb794c911585a69e2b5f250e8f3357b750ac594eaa799.0.23.11*.2*.0400*.31152J.e.000000014556c0e06c428f5cbca61889ea33bf08c911585ae9c90a4d05eba676780782adbf2333cb.0.10*.131*.122*.122.0.0" msgID="1E1C290511EEF72981490080EFE58605"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ece="A115" enr="MSTR.Serie_Balance_B.C._Mensual_Peninsular" ptn="" qtn="" rows="22" cols="26" /&gt;&lt;esdo ews="" ece="" ptn="" /&gt;&lt;/excel&gt;&lt;pgs&gt;&lt;pg rows="18" cols="25" nrr="1647" nrc="2250"&gt;&lt;pg /&gt;&lt;bls&gt;&lt;bl sr="1" sc="1" rfetch="18" cfetch="25" posid="1" darows="0" dacols="1"&gt;&lt;excel&gt;&lt;epo ews="Dat_01" ece="A115" enr="MSTR.Serie_Balance_B.C._Mensual_Peninsular" ptn="" qtn="" rows="22" cols="26" /&gt;&lt;esdo ews="" ece="" ptn="" /&gt;&lt;/excel&gt;&lt;gridRng&gt;&lt;sect id="TITLE_AREA" rngprop="1:1:4:1" /&gt;&lt;sect id="ROWHEADERS_AREA" rngprop="5:1:18:1" /&gt;&lt;sect id="COLUMNHEADERS_AREA" rngprop="1:2:4:25" /&gt;&lt;sect id="DATA_AREA" rngprop="5:2:18:25" /&gt;&lt;/gridRng&gt;&lt;shapes /&gt;&lt;/bl&gt;&lt;/bls&gt;&lt;/pg&gt;&lt;/pgs&gt;&lt;/rptloc&gt;&lt;/mi&gt;</t>
  </si>
  <si>
    <t>&lt;mi app="e" ver="22"&gt;&lt;rptloc guid="7f8019c6911e4efa8fa690a470c3d5b0" rank="0" ds="1"&gt;&lt;ri hasPG="0" name="Balance B.C. Diario Peninsular" id="41519F0B41FAA38F537A41B227B45757" path="Objetos públicos\Informes\Informes macros\Boletín\Balance B.C. Diario Peninsular"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ut="04/10/2024 11:07:59" si="2.000000013a499fdb11e6862a8db14d0a9b0752705c8cdea3df01711cdd97b05f28d142bab37f189384371681a5621a10386850b117e00c4d463aa68c7e9656ff1641e371cc79f4b4f19097883acd427e17f7755f22d7f7f143327941c64ebc2462f8759da94ba60d568bbe4f3dafe75ba2a52982e466943a87e6a037332e815e147f5ff1d983f6dd18c8bf716c31ef69f3b7b47bdd68bea222a5bbdbcb94e66e61cf.p.3082.0.1.Europe/Madrid.upriv*_1*_pidn2*_72*_session*-lat*_1.00000001f0899f88a8bb1faff8660a8dd0a85942bc6025e0e65b5109c2be9ba6fd88dddc4383afb668c25201043add9b23efa1d59d21601e.00000001615cf2b58ab3aa81a6d7d1a07cf184eabc6025e01188cdfb0d96b70a67cd06e79d4e1eb0193af630b83be919c98a0936660434e9.0.1.1.BDEbi.D066E1C611E6257C10D00080EF253B44.0-3082.1.1_-0.1.0_-3082.1.1_5.5.0.*0.00000001b6a49590a15f4734851623da898cb794c911585a69e2b5f250e8f3357b750ac594eaa799.0.23.11*.2*.0400*.31152J.e.000000014556c0e06c428f5cbca61889ea33bf08c911585ae9c90a4d05eba676780782adbf2333cb.0.10*.131*.122*.122.0.0" msgID="837DEF4811EEF72A81490080EFA50606"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ece="A175" enr="MSTR.Balance_B.C._Diario_Peninsular" ptn="" qtn="" rows="36" cols="19" /&gt;&lt;esdo ews="" ece="" ptn="" /&gt;&lt;/excel&gt;&lt;pgs&gt;&lt;pg rows="31" cols="18" nrr="2842" nrc="2798"&gt;&lt;pg /&gt;&lt;bls&gt;&lt;bl sr="1" sc="1" rfetch="31" cfetch="18" posid="1" darows="0" dacols="1"&gt;&lt;excel&gt;&lt;epo ews="Dat_01" ece="A175" enr="MSTR.Balance_B.C._Diario_Peninsular" ptn="" qtn="" rows="36" cols="19" /&gt;&lt;esdo ews="" ece="" ptn="" /&gt;&lt;/excel&gt;&lt;gridRng&gt;&lt;sect id="TITLE_AREA" rngprop="1:1:5:1" /&gt;&lt;sect id="ROWHEADERS_AREA" rngprop="6:1:31:1" /&gt;&lt;sect id="COLUMNHEADERS_AREA" rngprop="1:2:5:18" /&gt;&lt;sect id="DATA_AREA" rngprop="6:2:31:18" /&gt;&lt;/gridRng&gt;&lt;shapes /&gt;&lt;/bl&gt;&lt;/bls&gt;&lt;/pg&gt;&lt;/pgs&gt;&lt;/rptloc&gt;&lt;/mi&gt;</t>
  </si>
  <si>
    <t>27/03/2024</t>
  </si>
  <si>
    <t>&lt;mi app="e" ver="22"&gt;&lt;rptloc guid="05e5cbe47227457eab63fd1212e0f540" rank="0" ds="1"&gt;&lt;ri hasPG="0" name="Balance B.C. Horario Eólico" id="002F08AD4EE551CE05505BAD5669B1C3" path="Objetos públicos\Informes\Informes macros\Boletín\Balance B.C. Horario Eólico"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ut="04/10/2024 12:07:10" si="2.000000013a499fdb11e6862a8db14d0a9b0752705c8cdea3df01711cdd97b05f28d142bab37f189384371681a5621a10386850b117e00c4d463aa68c7e9656ff1641e371cc79f4b4f19097883acd427e17f7755f22d7f7f143327941c64ebc2462f8759da94ba60d568bbe4f3dafe75ba2a52982e466943a87e6a037332e815e147f5ff1d983f6dd18c8bf716c31ef69f3b7b47bdd68bea222a5bbdbcb94e66e61cf.p.3082.0.1.Europe/Madrid.upriv*_1*_pidn2*_72*_session*-lat*_1.00000001f0899f88a8bb1faff8660a8dd0a85942bc6025e0e65b5109c2be9ba6fd88dddc4383afb668c25201043add9b23efa1d59d21601e.00000001615cf2b58ab3aa81a6d7d1a07cf184eabc6025e01188cdfb0d96b70a67cd06e79d4e1eb0193af630b83be919c98a0936660434e9.0.1.1.BDEbi.D066E1C611E6257C10D00080EF253B44.0-3082.1.1_-0.1.0_-3082.1.1_5.5.0.*0.00000001b6a49590a15f4734851623da898cb794c911585a69e2b5f250e8f3357b750ac594eaa799.0.23.11*.2*.0400*.31152J.e.000000014556c0e06c428f5cbca61889ea33bf08c911585ae9c90a4d05eba676780782adbf2333cb.0.10*.131*.122*.122.0.0" msgID="D7DDBCA111EEF73281490080EFF5A503"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ece="A215" enr="MSTR.Balance_B.C._Horario_Eólico" ptn="" qtn="" rows="29" cols="19" /&gt;&lt;esdo ews="" ece="" ptn="" /&gt;&lt;/excel&gt;&lt;pgs&gt;&lt;pg rows="24" cols="18" nrr="2266" nrc="1728"&gt;&lt;pg /&gt;&lt;bls&gt;&lt;bl sr="1" sc="1" rfetch="24" cfetch="18" posid="1" darows="0" dacols="1"&gt;&lt;excel&gt;&lt;epo ews="Dat_01" ece="A215" enr="MSTR.Balance_B.C._Horario_Eólico" ptn="" qtn="" rows="29" cols="19" /&gt;&lt;esdo ews="" ece="" ptn="" /&gt;&lt;/excel&gt;&lt;gridRng&gt;&lt;sect id="TITLE_AREA" rngprop="1:1:5:1" /&gt;&lt;sect id="ROWHEADERS_AREA" rngprop="6:1:24:1" /&gt;&lt;sect id="COLUMNHEADERS_AREA" rngprop="1:2:5:18" /&gt;&lt;sect id="DATA_AREA" rngprop="6:2:24:18" /&gt;&lt;/gridRng&gt;&lt;shapes /&gt;&lt;/bl&gt;&lt;/bls&gt;&lt;/pg&gt;&lt;/pgs&gt;&lt;/rptloc&gt;&lt;/mi&gt;</t>
  </si>
  <si>
    <t>&lt;mi app="e" ver="22"&gt;&lt;rptloc guid="3f512bdd06e0426286d397ec4d61e802" rank="0" ds="1"&gt;&lt;ri hasPG="0" name="Emisiones CO2" id="60ECEE0D4D3162DF98B8FEB4C976BFDE" path="Objetos públicos\Informes\Informes macros\Boletín\Emisiones CO2" cf="0" prompt="1" ve="0" vm="0" flashpth="d:\Usuarios\FUEPERRO\AppData\Local\Temp\" fimagepth="d:\Usuarios\FUEPERRO\AppData\Local\Temp\" swfn="DashboardViewer.swf" fvars="" dvis=""&gt;&lt;ans&gt;&lt;pan pk="B7C3BF0D4428274429E8B8B9E552B212@0@10" aid="" /&gt;&lt;pan pk="86BA8826468B4BC44041DF8DC3E31322@0@10" aid="" /&gt;&lt;/ans&gt;&lt;ci ps="BI" srv="apcpr65b" prj="BDEbi" prjid="D066E1C611E6257C10D00080EF253B44" li="SEVPENMA" am="s" /&gt;&lt;lu ut="04/10/2024 12:08:12" si="2.000000013a499fdb11e6862a8db14d0a9b0752705c8cdea3df01711cdd97b05f28d142bab37f189384371681a5621a10386850b117e00c4d463aa68c7e9656ff1641e371cc79f4b4f19097883acd427e17f7755f22d7f7f143327941c64ebc2462f8759da94ba60d568bbe4f3dafe75ba2a52982e466943a87e6a037332e815e147f5ff1d983f6dd18c8bf716c31ef69f3b7b47bdd68bea222a5bbdbcb94e66e61cf.p.3082.0.1.Europe/Madrid.upriv*_1*_pidn2*_72*_session*-lat*_1.00000001f0899f88a8bb1faff8660a8dd0a85942bc6025e0e65b5109c2be9ba6fd88dddc4383afb668c25201043add9b23efa1d59d21601e.00000001615cf2b58ab3aa81a6d7d1a07cf184eabc6025e01188cdfb0d96b70a67cd06e79d4e1eb0193af630b83be919c98a0936660434e9.0.1.1.BDEbi.D066E1C611E6257C10D00080EF253B44.0-3082.1.1_-0.1.0_-3082.1.1_5.5.0.*0.00000001b6a49590a15f4734851623da898cb794c911585a69e2b5f250e8f3357b750ac594eaa799.0.23.11*.2*.0400*.31152J.e.000000014556c0e06c428f5cbca61889ea33bf08c911585ae9c90a4d05eba676780782adbf2333cb.0.10*.131*.122*.122.0.0" msgID="EF2D6A7211EEF73281490080EFF5A605"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ece="A248" enr="MSTR.Emisiones_CO2.2" ptn="" qtn="" rows="15" cols="15" /&gt;&lt;esdo ews="" ece="" ptn="" /&gt;&lt;/excel&gt;&lt;pgs&gt;&lt;pg rows="12" cols="13" nrr="795" nrc="853"&gt;&lt;pg /&gt;&lt;bls&gt;&lt;bl sr="1" sc="1" rfetch="12" cfetch="13" posid="1" darows="0" dacols="1"&gt;&lt;excel&gt;&lt;epo ews="Dat_01" ece="A248" enr="MSTR.Emisiones_CO2.2" ptn="" qtn="" rows="15" cols="15" /&gt;&lt;esdo ews="" ece="" ptn="" /&gt;&lt;/excel&gt;&lt;gridRng&gt;&lt;sect id="TITLE_AREA" rngprop="1:1:3:2" /&gt;&lt;sect id="ROWHEADERS_AREA" rngprop="4:1:12:2" /&gt;&lt;sect id="COLUMNHEADERS_AREA" rngprop="1:3:3:13" /&gt;&lt;sect id="DATA_AREA" rngprop="4:3:12:13" /&gt;&lt;/gridRng&gt;&lt;shapes /&gt;&lt;/bl&gt;&lt;/bls&gt;&lt;/pg&gt;&lt;/pgs&gt;&lt;/rptloc&gt;&lt;/mi&gt;</t>
  </si>
  <si>
    <t>c7c641085b2b4667954659353b298459</t>
  </si>
  <si>
    <t>&lt;mi app="e" ver="22"&gt;&lt;rptloc guid="21d5937cff664e66a7673c77182def5f" rank="0" ds="1"&gt;&lt;ri hasPG="0" name="Emisiones CO2" id="60C53D34401EE43683AA2CB4B988F4AA" path="Objetos públicos\Informes\Informes macros\Consejo\Emisiones CO2" cf="0" prompt="1" ve="0" vm="0" flashpth="d:\Usuarios\sevpenma\AppData\Local\Temp\" fimagepth="d:\Usuarios\sevpenma\AppData\Local\Temp\" swfn="DashboardViewer.swf" fvars="" dvis=""&gt;&lt;ans&gt;&lt;pan pk="B7C3BF0D4428274429E8B8B9E552B212@0@10" aid="" /&gt;&lt;pan pk="86BA8826468B4BC44041DF8DC3E31322@0@10" aid="" /&gt;&lt;/ans&gt;&lt;ci ps="BI" srv="apcpr64b" prj="BDEbi" prjid="D066E1C611E6257C10D00080EF253B44" li="SEVPENMA" am="s" /&gt;&lt;lu ut="04/10/2024 12:09:17" si="2.00000001381c44169af69fdaac60592918e6a98d9e4fb63fc29b9107bf7c6ab7a81aa8843e898f8a9410b6652926572ddd34d0e9680ccc76b67caa40abe9de34433bbd5eaaeb24cf6e82585f0fb9f33039979a0a89bd64e50e84d8089814d13cee24ec3f050d320f6591259929fa8181f1d2d87ce3d94f2aa6d454851a2da2beeb2191018ee3523641236a27e6e9101b5428a9a13beebff2110c017c9ad0b8ec8310.p.3082.0.1.Europe/Madrid.upriv*_1*_pidn2*_69*_session*-lat*_1.000000018ba1233cef94d2958e68071d7a3407fbbc6025e05d6f57c9fce971fa75cc0e9e658d0f1cbc7fd678ad6a0448222eed0d51bf3385.0000000118a3898fdd18290ae5c82826d4a2482abc6025e0ad83c0e7b3c18a08a4e090b9b9e091d46b8a60c025a7ec9b724d779f2ee13239.0.1.1.BDEbi.D066E1C611E6257C10D00080EF253B44.0-3082.1.1_-0.1.0_-3082.1.1_5.5.0.*0.00000001819b1b0f9aa56b1d936ebfcc26df46f8c911585a74550f2348cb9dc7f8f488a2b986eb83.0.23.11*.2*.0400*.31152J.e.00000001a332185f286529af841574c7c40e5632c911585a4b4a8ef7dda8a685825704abd4ad10f8.0.10*.131*.122*.122.0.0" msgID="1E29613211EEF73384750080EFF5D3D2"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ews="Dat_04 CONSEJO" ece="A30" enr="MSTR.Emisiones_CO2" ptn="" qtn="" rows="15" cols="15" /&gt;&lt;esdo ews="" ece="" ptn="" /&gt;&lt;/excel&gt;&lt;pgs&gt;&lt;pg rows="12" cols="13" nrr="678" nrc="743"&gt;&lt;pg /&gt;&lt;bls&gt;&lt;bl sr="1" sc="1" rfetch="12" cfetch="13" posid="1" darows="0" dacols="1"&gt;&lt;excel&gt;&lt;epo ews="Dat_04 CONSEJO" ece="A30" enr="MSTR.Emisiones_CO2" ptn="" qtn="" rows="15" cols="15" /&gt;&lt;esdo ews="" ece="" ptn="" /&gt;&lt;/excel&gt;&lt;gridRng&gt;&lt;sect id="TITLE_AREA" rngprop="1:1:3:2" /&gt;&lt;sect id="ROWHEADERS_AREA" rngprop="4:1:12:2" /&gt;&lt;sect id="COLUMNHEADERS_AREA" rngprop="1:3:3:13" /&gt;&lt;sect id="DATA_AREA" rngprop="4:3:12:13" /&gt;&lt;/gridRng&gt;&lt;shapes /&gt;&lt;/bl&gt;&lt;/bls&gt;&lt;/pg&gt;&lt;/pgs&gt;&lt;/rptloc&gt;&lt;/mi&gt;</t>
  </si>
  <si>
    <t>Miércoles 27/03/2024 (20:37 h)</t>
  </si>
  <si>
    <t>Jueves 28/03/2024 (03:18 h)</t>
  </si>
  <si>
    <t>Miércoles 06/03/2024 (12:08 h)</t>
  </si>
  <si>
    <t>Domingo 17/03/2024 (14:29 h)</t>
  </si>
  <si>
    <t>Producible Eólico Medio 10 años (GWh)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</si>
</sst>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9">
    <numFmt numFmtId="164" formatCode="_-* #,##0.00\ _€_-;\-* #,##0.00\ _€_-;_-* &quot;-&quot;??\ _€_-;_-@_-"/>
    <numFmt numFmtId="165" formatCode="0_)"/>
    <numFmt numFmtId="166" formatCode="[$-C0A]mmmmm;@"/>
    <numFmt numFmtId="167" formatCode="#,##0.0"/>
    <numFmt numFmtId="168" formatCode="#,##0.000"/>
    <numFmt numFmtId="169" formatCode="0.0_)"/>
    <numFmt numFmtId="170" formatCode="[$-C0A]mmm\-yy;@"/>
    <numFmt numFmtId="171" formatCode="0.0"/>
    <numFmt numFmtId="172" formatCode="&quot;Día&quot;\ dd/mm/yyyy"/>
    <numFmt numFmtId="173" formatCode="0.000"/>
    <numFmt numFmtId="174" formatCode="mmm\-yyyy"/>
    <numFmt numFmtId="175" formatCode="#,##0\ _)"/>
    <numFmt numFmtId="176" formatCode="0.0;[Red]0.0"/>
    <numFmt numFmtId="177" formatCode="0.0%"/>
    <numFmt numFmtId="178" formatCode="_-* #,##0.0\ _€_-;\-* #,##0.0\ _€_-;_-* &quot;-&quot;??\ _€_-;_-@_-"/>
    <numFmt numFmtId="179" formatCode="#,##0.000;\(#,##0.000\)"/>
    <numFmt numFmtId="180" formatCode="0.00000_)"/>
    <numFmt numFmtId="181" formatCode="0.000_)"/>
    <numFmt numFmtId="182" formatCode="0.00_)"/>
  </numFmts>
  <fonts count="73">
    <font>
      <sz val="10"/>
      <name val="Genev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0"/>
      <name val="Geneva"/>
    </font>
    <font>
      <sz val="10"/>
      <color indexed="56"/>
      <name val="Geneva"/>
    </font>
    <font>
      <sz val="10"/>
      <color indexed="8"/>
      <name val="Geneva"/>
    </font>
    <font>
      <sz val="10"/>
      <color indexed="9"/>
      <name val="Geneva"/>
    </font>
    <font>
      <b/>
      <sz val="8"/>
      <color indexed="9"/>
      <name val="Arial"/>
      <family val="2"/>
    </font>
    <font>
      <b/>
      <sz val="8"/>
      <color indexed="9"/>
      <name val="Geneva"/>
    </font>
    <font>
      <sz val="8"/>
      <color indexed="9"/>
      <name val="Arial"/>
      <family val="2"/>
    </font>
    <font>
      <sz val="10"/>
      <color indexed="9"/>
      <name val="Arial"/>
      <family val="2"/>
    </font>
    <font>
      <sz val="10"/>
      <color indexed="32"/>
      <name val="Arial"/>
      <family val="2"/>
    </font>
    <font>
      <sz val="8"/>
      <color rgb="FF004563"/>
      <name val="Arial"/>
      <family val="2"/>
    </font>
    <font>
      <sz val="8"/>
      <color rgb="FF000000"/>
      <name val="Arial"/>
      <family val="2"/>
    </font>
    <font>
      <sz val="10"/>
      <color indexed="32"/>
      <name val="Avant Garde"/>
    </font>
    <font>
      <sz val="10"/>
      <name val="Geneva"/>
      <family val="2"/>
    </font>
    <font>
      <sz val="10"/>
      <color rgb="FFFF0000"/>
      <name val="Geneva"/>
    </font>
    <font>
      <sz val="11"/>
      <name val="Arial"/>
      <family val="2"/>
    </font>
    <font>
      <sz val="8"/>
      <name val="Calibri"/>
      <family val="2"/>
      <scheme val="minor"/>
    </font>
    <font>
      <sz val="8"/>
      <color indexed="10"/>
      <name val="Calibri"/>
      <family val="2"/>
      <scheme val="minor"/>
    </font>
    <font>
      <b/>
      <sz val="8"/>
      <color indexed="56"/>
      <name val="Calibri"/>
      <family val="2"/>
      <scheme val="minor"/>
    </font>
    <font>
      <sz val="8"/>
      <color indexed="56"/>
      <name val="Calibri"/>
      <family val="2"/>
      <scheme val="minor"/>
    </font>
    <font>
      <sz val="10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0"/>
      <name val="Avant Garde"/>
    </font>
    <font>
      <u/>
      <sz val="10"/>
      <color indexed="12"/>
      <name val="Geneva"/>
    </font>
    <font>
      <b/>
      <sz val="8"/>
      <color rgb="FF004563"/>
      <name val="Arial"/>
      <family val="2"/>
    </font>
    <font>
      <vertAlign val="superscript"/>
      <sz val="8"/>
      <color rgb="FF004563"/>
      <name val="Arial"/>
      <family val="2"/>
    </font>
    <font>
      <b/>
      <vertAlign val="superscript"/>
      <sz val="8"/>
      <color rgb="FF004563"/>
      <name val="Arial"/>
      <family val="2"/>
    </font>
    <font>
      <b/>
      <sz val="10"/>
      <color rgb="FF004563"/>
      <name val="Arial"/>
      <family val="2"/>
    </font>
    <font>
      <b/>
      <vertAlign val="subscript"/>
      <sz val="8"/>
      <color rgb="FF004563"/>
      <name val="Arial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sz val="10"/>
      <color indexed="21"/>
      <name val="Symbol"/>
      <family val="1"/>
      <charset val="2"/>
    </font>
    <font>
      <b/>
      <vertAlign val="superscript"/>
      <sz val="8"/>
      <color indexed="9"/>
      <name val="Geneva"/>
    </font>
    <font>
      <b/>
      <sz val="8"/>
      <color theme="0"/>
      <name val="Arial"/>
      <family val="2"/>
    </font>
    <font>
      <i/>
      <sz val="8"/>
      <color rgb="FF000000"/>
      <name val="Verdana"/>
      <family val="2"/>
    </font>
    <font>
      <b/>
      <sz val="8"/>
      <color rgb="FF000000"/>
      <name val="Verdana"/>
      <family val="2"/>
    </font>
    <font>
      <b/>
      <sz val="8"/>
      <color rgb="FFFFFFFF"/>
      <name val="Verdana"/>
      <family val="2"/>
    </font>
    <font>
      <sz val="8"/>
      <color rgb="FF000000"/>
      <name val="Verdana"/>
      <family val="2"/>
    </font>
    <font>
      <sz val="8"/>
      <color rgb="FF4E5E78"/>
      <name val="Verdana"/>
      <family val="2"/>
    </font>
    <font>
      <b/>
      <sz val="8"/>
      <color rgb="FF4E5E78"/>
      <name val="Verdana"/>
      <family val="2"/>
    </font>
    <font>
      <sz val="10"/>
      <color rgb="FF000000"/>
      <name val="Geneva"/>
    </font>
    <font>
      <sz val="9"/>
      <color indexed="32"/>
      <name val="Arial"/>
      <family val="2"/>
    </font>
    <font>
      <b/>
      <i/>
      <sz val="8"/>
      <color rgb="FF000000"/>
      <name val="Verdana"/>
      <family val="2"/>
    </font>
    <font>
      <b/>
      <i/>
      <sz val="8"/>
      <color rgb="FF3F3F3F"/>
      <name val="Verdana"/>
      <family val="2"/>
    </font>
    <font>
      <sz val="8"/>
      <color rgb="FFFF0000"/>
      <name val="Arial"/>
      <family val="2"/>
    </font>
    <font>
      <b/>
      <sz val="10"/>
      <color rgb="FF002060"/>
      <name val="Geneva"/>
    </font>
    <font>
      <sz val="9"/>
      <name val="Segoe UI"/>
      <family val="2"/>
    </font>
    <font>
      <sz val="9"/>
      <color rgb="FF4E5E78"/>
      <name val="Segoe UI"/>
      <family val="2"/>
    </font>
    <font>
      <sz val="9"/>
      <color rgb="FF004563"/>
      <name val="Segoe UI"/>
      <family val="2"/>
    </font>
    <font>
      <b/>
      <sz val="9"/>
      <color rgb="FF4E5E78"/>
      <name val="Segoe UI"/>
      <family val="2"/>
    </font>
    <font>
      <b/>
      <sz val="9"/>
      <color rgb="FF000000"/>
      <name val="Segoe UI"/>
      <family val="2"/>
    </font>
    <font>
      <b/>
      <sz val="9"/>
      <name val="Segoe UI"/>
      <family val="2"/>
    </font>
    <font>
      <b/>
      <sz val="8"/>
      <color rgb="FF002060"/>
      <name val="Segoe UI"/>
      <family val="2"/>
    </font>
    <font>
      <sz val="10"/>
      <color rgb="FF002060"/>
      <name val="Segoe UI"/>
      <family val="2"/>
    </font>
    <font>
      <sz val="8"/>
      <color theme="0"/>
      <name val="Arial"/>
      <family val="2"/>
    </font>
    <font>
      <b/>
      <sz val="8"/>
      <color rgb="FF25396E"/>
      <name val="Arial"/>
      <family val="2"/>
    </font>
    <font>
      <sz val="8"/>
      <color rgb="FF25396E"/>
      <name val="Arial"/>
      <family val="2"/>
    </font>
    <font>
      <sz val="9"/>
      <name val="Arial"/>
      <family val="2"/>
    </font>
    <font>
      <sz val="8"/>
      <name val="Geneva"/>
    </font>
    <font>
      <b/>
      <sz val="8"/>
      <color rgb="FF0B428E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rgb="FF00546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rgb="FFFFFFFF"/>
      </patternFill>
    </fill>
    <fill>
      <patternFill patternType="solid">
        <fgColor rgb="FF004563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0F0F0"/>
        <bgColor rgb="FFFFFFFF"/>
      </patternFill>
    </fill>
    <fill>
      <patternFill patternType="solid">
        <fgColor rgb="FFDFDFDF"/>
        <bgColor rgb="FFFFFFFF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3"/>
      </bottom>
      <diagonal/>
    </border>
    <border>
      <left/>
      <right/>
      <top/>
      <bottom style="thin">
        <color rgb="FFA6A6A6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/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/>
      <top/>
      <bottom style="thin">
        <color auto="1"/>
      </bottom>
      <diagonal/>
    </border>
    <border>
      <left/>
      <right style="thin">
        <color rgb="FF006699"/>
      </right>
      <top/>
      <bottom/>
      <diagonal/>
    </border>
    <border>
      <left/>
      <right/>
      <top/>
      <bottom style="thin">
        <color rgb="FF006699"/>
      </bottom>
      <diagonal/>
    </border>
    <border>
      <left/>
      <right style="thin">
        <color rgb="FF006699"/>
      </right>
      <top/>
      <bottom style="thin">
        <color rgb="FF006699"/>
      </bottom>
      <diagonal/>
    </border>
    <border>
      <left/>
      <right/>
      <top/>
      <bottom style="thin">
        <color rgb="FFC0C0C0"/>
      </bottom>
      <diagonal/>
    </border>
    <border>
      <left/>
      <right/>
      <top style="thin">
        <color indexed="63"/>
      </top>
      <bottom/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rgb="FFC0C0C0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6C3C6"/>
      </left>
      <right style="thin">
        <color rgb="FFC6C3C6"/>
      </right>
      <top/>
      <bottom/>
      <diagonal/>
    </border>
  </borders>
  <cellStyleXfs count="60">
    <xf numFmtId="165" fontId="0" fillId="0" borderId="0"/>
    <xf numFmtId="0" fontId="6" fillId="0" borderId="0"/>
    <xf numFmtId="0" fontId="6" fillId="0" borderId="0"/>
    <xf numFmtId="0" fontId="6" fillId="0" borderId="0"/>
    <xf numFmtId="165" fontId="10" fillId="0" borderId="0"/>
    <xf numFmtId="0" fontId="10" fillId="0" borderId="0"/>
    <xf numFmtId="0" fontId="6" fillId="0" borderId="0"/>
    <xf numFmtId="165" fontId="10" fillId="0" borderId="0"/>
    <xf numFmtId="0" fontId="10" fillId="0" borderId="0"/>
    <xf numFmtId="0" fontId="22" fillId="0" borderId="0"/>
    <xf numFmtId="0" fontId="24" fillId="0" borderId="0" applyNumberFormat="0" applyFont="0" applyBorder="0" applyAlignment="0" applyProtection="0">
      <alignment horizontal="centerContinuous"/>
    </xf>
    <xf numFmtId="0" fontId="6" fillId="0" borderId="0"/>
    <xf numFmtId="0" fontId="5" fillId="0" borderId="0"/>
    <xf numFmtId="9" fontId="10" fillId="0" borderId="0" applyFont="0" applyFill="0" applyBorder="0" applyAlignment="0" applyProtection="0"/>
    <xf numFmtId="0" fontId="22" fillId="0" borderId="0"/>
    <xf numFmtId="0" fontId="36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43" fillId="0" borderId="0" applyNumberFormat="0" applyFill="0" applyBorder="0" applyAlignment="0" applyProtection="0">
      <alignment vertical="top"/>
      <protection locked="0"/>
    </xf>
    <xf numFmtId="164" fontId="10" fillId="0" borderId="0" applyFont="0" applyFill="0" applyBorder="0" applyAlignment="0" applyProtection="0"/>
    <xf numFmtId="167" fontId="47" fillId="4" borderId="13">
      <alignment horizontal="right" vertical="center"/>
    </xf>
    <xf numFmtId="167" fontId="48" fillId="5" borderId="13">
      <alignment horizontal="right" vertical="center"/>
    </xf>
    <xf numFmtId="165" fontId="49" fillId="6" borderId="13">
      <alignment vertical="center" wrapText="1"/>
    </xf>
    <xf numFmtId="10" fontId="48" fillId="5" borderId="13">
      <alignment horizontal="right" vertical="center"/>
    </xf>
    <xf numFmtId="167" fontId="50" fillId="4" borderId="13">
      <alignment horizontal="right" vertical="center"/>
    </xf>
    <xf numFmtId="10" fontId="50" fillId="4" borderId="13">
      <alignment horizontal="right" vertical="center"/>
    </xf>
    <xf numFmtId="165" fontId="51" fillId="4" borderId="13">
      <alignment horizontal="left" vertical="center" wrapText="1"/>
    </xf>
    <xf numFmtId="165" fontId="49" fillId="6" borderId="13">
      <alignment horizontal="center" vertical="center" wrapText="1"/>
    </xf>
    <xf numFmtId="165" fontId="52" fillId="5" borderId="13">
      <alignment horizontal="left" vertical="center" wrapText="1"/>
    </xf>
    <xf numFmtId="165" fontId="53" fillId="7" borderId="16"/>
    <xf numFmtId="165" fontId="49" fillId="6" borderId="13">
      <alignment horizontal="center" wrapText="1"/>
    </xf>
    <xf numFmtId="165" fontId="49" fillId="6" borderId="16">
      <alignment vertical="center" wrapText="1"/>
    </xf>
    <xf numFmtId="167" fontId="55" fillId="4" borderId="13">
      <alignment horizontal="right" vertical="center"/>
    </xf>
    <xf numFmtId="167" fontId="56" fillId="4" borderId="13">
      <alignment horizontal="right" vertical="center"/>
    </xf>
    <xf numFmtId="165" fontId="49" fillId="5" borderId="13">
      <alignment horizontal="center" wrapText="1"/>
    </xf>
    <xf numFmtId="165" fontId="51" fillId="4" borderId="16">
      <alignment horizontal="left" vertical="center" wrapText="1"/>
    </xf>
    <xf numFmtId="168" fontId="48" fillId="5" borderId="13">
      <alignment horizontal="right" vertical="center"/>
    </xf>
    <xf numFmtId="0" fontId="10" fillId="0" borderId="0"/>
    <xf numFmtId="0" fontId="10" fillId="0" borderId="0"/>
    <xf numFmtId="0" fontId="10" fillId="0" borderId="0"/>
    <xf numFmtId="165" fontId="68" fillId="13" borderId="13">
      <alignment horizontal="center" wrapText="1"/>
    </xf>
    <xf numFmtId="179" fontId="20" fillId="4" borderId="13">
      <alignment horizontal="right" vertical="center"/>
    </xf>
    <xf numFmtId="165" fontId="68" fillId="13" borderId="13">
      <alignment vertical="center" wrapText="1"/>
    </xf>
    <xf numFmtId="165" fontId="69" fillId="4" borderId="13">
      <alignment horizontal="left" vertical="center" wrapText="1"/>
    </xf>
    <xf numFmtId="179" fontId="68" fillId="13" borderId="13">
      <alignment horizontal="right" vertical="center"/>
    </xf>
    <xf numFmtId="165" fontId="68" fillId="13" borderId="13">
      <alignment horizontal="left" vertical="center"/>
    </xf>
    <xf numFmtId="168" fontId="20" fillId="4" borderId="13">
      <alignment horizontal="right" vertical="center"/>
    </xf>
    <xf numFmtId="10" fontId="50" fillId="4" borderId="15">
      <alignment horizontal="right" vertical="center"/>
    </xf>
    <xf numFmtId="0" fontId="4" fillId="0" borderId="0"/>
    <xf numFmtId="165" fontId="72" fillId="14" borderId="13">
      <alignment vertical="center" wrapText="1"/>
    </xf>
    <xf numFmtId="165" fontId="72" fillId="13" borderId="13">
      <alignment horizontal="left" vertical="center"/>
    </xf>
    <xf numFmtId="165" fontId="72" fillId="14" borderId="13">
      <alignment horizontal="center" wrapText="1"/>
    </xf>
    <xf numFmtId="168" fontId="72" fillId="13" borderId="13">
      <alignment horizontal="right" vertical="center"/>
    </xf>
    <xf numFmtId="165" fontId="49" fillId="6" borderId="13">
      <alignment vertical="center" wrapText="1"/>
    </xf>
    <xf numFmtId="165" fontId="49" fillId="6" borderId="13">
      <alignment horizontal="center" wrapText="1"/>
    </xf>
    <xf numFmtId="165" fontId="51" fillId="4" borderId="13">
      <alignment horizontal="left" vertical="center" wrapText="1"/>
    </xf>
    <xf numFmtId="168" fontId="50" fillId="4" borderId="13">
      <alignment horizontal="right" vertical="center"/>
    </xf>
    <xf numFmtId="165" fontId="52" fillId="5" borderId="13">
      <alignment horizontal="left" vertical="center" wrapText="1"/>
    </xf>
    <xf numFmtId="168" fontId="48" fillId="5" borderId="13">
      <alignment horizontal="right" vertical="center"/>
    </xf>
    <xf numFmtId="10" fontId="48" fillId="5" borderId="13">
      <alignment horizontal="right" vertical="center"/>
    </xf>
    <xf numFmtId="0" fontId="3" fillId="0" borderId="0"/>
  </cellStyleXfs>
  <cellXfs count="332">
    <xf numFmtId="165" fontId="0" fillId="0" borderId="0" xfId="0"/>
    <xf numFmtId="0" fontId="7" fillId="0" borderId="0" xfId="1" applyFont="1" applyAlignment="1">
      <alignment horizontal="right"/>
    </xf>
    <xf numFmtId="3" fontId="0" fillId="0" borderId="0" xfId="0" applyNumberFormat="1"/>
    <xf numFmtId="166" fontId="0" fillId="0" borderId="0" xfId="0" applyNumberFormat="1"/>
    <xf numFmtId="0" fontId="8" fillId="0" borderId="0" xfId="3" applyFont="1" applyAlignment="1">
      <alignment horizontal="left"/>
    </xf>
    <xf numFmtId="165" fontId="10" fillId="0" borderId="0" xfId="4"/>
    <xf numFmtId="165" fontId="7" fillId="0" borderId="0" xfId="4" applyFont="1" applyAlignment="1">
      <alignment horizontal="right"/>
    </xf>
    <xf numFmtId="165" fontId="11" fillId="0" borderId="0" xfId="4" applyFont="1"/>
    <xf numFmtId="165" fontId="12" fillId="0" borderId="0" xfId="4" applyFont="1"/>
    <xf numFmtId="165" fontId="13" fillId="0" borderId="0" xfId="4" applyFont="1"/>
    <xf numFmtId="165" fontId="8" fillId="0" borderId="0" xfId="4" applyFont="1"/>
    <xf numFmtId="165" fontId="8" fillId="0" borderId="0" xfId="4" applyFont="1" applyAlignment="1">
      <alignment horizontal="left" vertical="center" indent="1"/>
    </xf>
    <xf numFmtId="165" fontId="11" fillId="0" borderId="0" xfId="4" applyFont="1" applyAlignment="1">
      <alignment horizontal="left" indent="1"/>
    </xf>
    <xf numFmtId="165" fontId="14" fillId="3" borderId="0" xfId="4" applyFont="1" applyFill="1" applyAlignment="1">
      <alignment horizontal="left"/>
    </xf>
    <xf numFmtId="167" fontId="16" fillId="3" borderId="1" xfId="4" applyNumberFormat="1" applyFont="1" applyFill="1" applyBorder="1"/>
    <xf numFmtId="1" fontId="14" fillId="3" borderId="1" xfId="4" applyNumberFormat="1" applyFont="1" applyFill="1" applyBorder="1" applyAlignment="1">
      <alignment horizontal="right" indent="1"/>
    </xf>
    <xf numFmtId="167" fontId="17" fillId="0" borderId="0" xfId="4" applyNumberFormat="1" applyFont="1"/>
    <xf numFmtId="167" fontId="18" fillId="0" borderId="0" xfId="4" applyNumberFormat="1" applyFont="1"/>
    <xf numFmtId="165" fontId="8" fillId="0" borderId="0" xfId="4" applyFont="1" applyAlignment="1">
      <alignment vertical="top" wrapText="1"/>
    </xf>
    <xf numFmtId="168" fontId="6" fillId="0" borderId="0" xfId="4" applyNumberFormat="1" applyFont="1"/>
    <xf numFmtId="165" fontId="9" fillId="0" borderId="0" xfId="4" applyFont="1"/>
    <xf numFmtId="167" fontId="19" fillId="0" borderId="0" xfId="4" applyNumberFormat="1" applyFont="1"/>
    <xf numFmtId="3" fontId="18" fillId="0" borderId="0" xfId="4" applyNumberFormat="1" applyFont="1"/>
    <xf numFmtId="3" fontId="19" fillId="0" borderId="0" xfId="4" applyNumberFormat="1" applyFont="1"/>
    <xf numFmtId="165" fontId="7" fillId="0" borderId="0" xfId="4" applyFont="1"/>
    <xf numFmtId="1" fontId="14" fillId="3" borderId="1" xfId="4" quotePrefix="1" applyNumberFormat="1" applyFont="1" applyFill="1" applyBorder="1" applyAlignment="1">
      <alignment horizontal="right" indent="1"/>
    </xf>
    <xf numFmtId="0" fontId="6" fillId="0" borderId="0" xfId="6"/>
    <xf numFmtId="165" fontId="7" fillId="0" borderId="0" xfId="7" applyFont="1" applyAlignment="1">
      <alignment horizontal="right"/>
    </xf>
    <xf numFmtId="0" fontId="12" fillId="0" borderId="0" xfId="6" applyFont="1"/>
    <xf numFmtId="0" fontId="11" fillId="0" borderId="0" xfId="6" applyFont="1"/>
    <xf numFmtId="0" fontId="8" fillId="0" borderId="0" xfId="6" applyFont="1"/>
    <xf numFmtId="0" fontId="8" fillId="0" borderId="0" xfId="6" applyFont="1" applyAlignment="1">
      <alignment horizontal="left" vertical="center" indent="1"/>
    </xf>
    <xf numFmtId="0" fontId="11" fillId="0" borderId="0" xfId="6" applyFont="1" applyAlignment="1">
      <alignment horizontal="left" indent="1"/>
    </xf>
    <xf numFmtId="0" fontId="9" fillId="0" borderId="0" xfId="6" applyFont="1"/>
    <xf numFmtId="0" fontId="8" fillId="0" borderId="0" xfId="8" applyFont="1" applyAlignment="1">
      <alignment vertical="center"/>
    </xf>
    <xf numFmtId="0" fontId="9" fillId="0" borderId="0" xfId="6" applyFont="1" applyAlignment="1">
      <alignment horizontal="left" vertical="top"/>
    </xf>
    <xf numFmtId="0" fontId="21" fillId="0" borderId="0" xfId="6" applyFont="1"/>
    <xf numFmtId="0" fontId="9" fillId="0" borderId="0" xfId="6" applyFont="1" applyAlignment="1">
      <alignment vertical="center" wrapText="1"/>
    </xf>
    <xf numFmtId="0" fontId="9" fillId="0" borderId="0" xfId="6" applyFont="1" applyAlignment="1">
      <alignment horizontal="justify" vertical="center" wrapText="1"/>
    </xf>
    <xf numFmtId="0" fontId="8" fillId="0" borderId="0" xfId="6" applyFont="1" applyAlignment="1">
      <alignment horizontal="left"/>
    </xf>
    <xf numFmtId="0" fontId="8" fillId="0" borderId="0" xfId="6" applyFont="1" applyAlignment="1">
      <alignment vertical="top" wrapText="1"/>
    </xf>
    <xf numFmtId="165" fontId="20" fillId="0" borderId="0" xfId="7" applyFont="1" applyAlignment="1">
      <alignment horizontal="left" readingOrder="1"/>
    </xf>
    <xf numFmtId="0" fontId="0" fillId="0" borderId="0" xfId="0" applyNumberFormat="1"/>
    <xf numFmtId="0" fontId="8" fillId="0" borderId="0" xfId="2" applyFont="1" applyAlignment="1">
      <alignment vertical="top" wrapText="1"/>
    </xf>
    <xf numFmtId="169" fontId="0" fillId="0" borderId="0" xfId="0" applyNumberFormat="1"/>
    <xf numFmtId="170" fontId="0" fillId="0" borderId="0" xfId="0" applyNumberFormat="1"/>
    <xf numFmtId="14" fontId="0" fillId="0" borderId="0" xfId="0" applyNumberFormat="1"/>
    <xf numFmtId="165" fontId="0" fillId="0" borderId="0" xfId="0" applyAlignment="1">
      <alignment horizontal="left" indent="1"/>
    </xf>
    <xf numFmtId="14" fontId="23" fillId="0" borderId="0" xfId="0" applyNumberFormat="1" applyFont="1"/>
    <xf numFmtId="165" fontId="0" fillId="0" borderId="0" xfId="0" applyAlignment="1">
      <alignment wrapText="1"/>
    </xf>
    <xf numFmtId="0" fontId="25" fillId="0" borderId="0" xfId="11" applyFont="1"/>
    <xf numFmtId="1" fontId="26" fillId="0" borderId="0" xfId="11" applyNumberFormat="1" applyFont="1"/>
    <xf numFmtId="0" fontId="27" fillId="0" borderId="0" xfId="11" applyFont="1"/>
    <xf numFmtId="0" fontId="28" fillId="0" borderId="0" xfId="11" applyFont="1"/>
    <xf numFmtId="1" fontId="25" fillId="0" borderId="0" xfId="11" applyNumberFormat="1" applyFont="1"/>
    <xf numFmtId="168" fontId="25" fillId="0" borderId="0" xfId="11" applyNumberFormat="1" applyFont="1"/>
    <xf numFmtId="173" fontId="25" fillId="0" borderId="0" xfId="11" applyNumberFormat="1" applyFont="1"/>
    <xf numFmtId="4" fontId="25" fillId="0" borderId="0" xfId="11" applyNumberFormat="1" applyFont="1"/>
    <xf numFmtId="171" fontId="25" fillId="0" borderId="0" xfId="11" applyNumberFormat="1" applyFont="1"/>
    <xf numFmtId="1" fontId="29" fillId="0" borderId="0" xfId="11" applyNumberFormat="1" applyFont="1"/>
    <xf numFmtId="170" fontId="29" fillId="0" borderId="0" xfId="11" applyNumberFormat="1" applyFont="1"/>
    <xf numFmtId="171" fontId="29" fillId="0" borderId="0" xfId="11" applyNumberFormat="1" applyFont="1"/>
    <xf numFmtId="0" fontId="29" fillId="0" borderId="0" xfId="11" applyFont="1" applyAlignment="1">
      <alignment horizontal="right"/>
    </xf>
    <xf numFmtId="172" fontId="29" fillId="0" borderId="0" xfId="11" applyNumberFormat="1" applyFont="1"/>
    <xf numFmtId="176" fontId="25" fillId="0" borderId="0" xfId="11" applyNumberFormat="1" applyFont="1"/>
    <xf numFmtId="0" fontId="30" fillId="0" borderId="0" xfId="12" applyFont="1" applyAlignment="1">
      <alignment horizontal="left" vertical="top" wrapText="1"/>
    </xf>
    <xf numFmtId="0" fontId="31" fillId="0" borderId="0" xfId="11" applyFont="1"/>
    <xf numFmtId="171" fontId="31" fillId="0" borderId="0" xfId="11" applyNumberFormat="1" applyFont="1"/>
    <xf numFmtId="175" fontId="31" fillId="0" borderId="0" xfId="11" applyNumberFormat="1" applyFont="1" applyAlignment="1">
      <alignment horizontal="right"/>
    </xf>
    <xf numFmtId="0" fontId="10" fillId="0" borderId="0" xfId="8"/>
    <xf numFmtId="0" fontId="33" fillId="0" borderId="0" xfId="8" applyFont="1"/>
    <xf numFmtId="0" fontId="34" fillId="0" borderId="0" xfId="8" applyFont="1"/>
    <xf numFmtId="0" fontId="8" fillId="0" borderId="0" xfId="8" applyFont="1"/>
    <xf numFmtId="0" fontId="8" fillId="0" borderId="0" xfId="8" applyFont="1" applyAlignment="1">
      <alignment horizontal="left" vertical="center" indent="1"/>
    </xf>
    <xf numFmtId="0" fontId="34" fillId="0" borderId="0" xfId="8" applyFont="1" applyAlignment="1">
      <alignment horizontal="left" indent="1"/>
    </xf>
    <xf numFmtId="0" fontId="8" fillId="2" borderId="0" xfId="8" applyFont="1" applyFill="1" applyAlignment="1">
      <alignment horizontal="left"/>
    </xf>
    <xf numFmtId="0" fontId="22" fillId="0" borderId="0" xfId="14" applyAlignment="1">
      <alignment horizontal="center"/>
    </xf>
    <xf numFmtId="0" fontId="22" fillId="0" borderId="0" xfId="14" applyAlignment="1">
      <alignment horizontal="right"/>
    </xf>
    <xf numFmtId="171" fontId="22" fillId="0" borderId="0" xfId="14" applyNumberFormat="1"/>
    <xf numFmtId="0" fontId="34" fillId="2" borderId="0" xfId="8" applyFont="1" applyFill="1" applyAlignment="1">
      <alignment horizontal="left" indent="1"/>
    </xf>
    <xf numFmtId="3" fontId="22" fillId="0" borderId="0" xfId="8" applyNumberFormat="1" applyFont="1"/>
    <xf numFmtId="0" fontId="22" fillId="0" borderId="0" xfId="8" applyFont="1"/>
    <xf numFmtId="0" fontId="10" fillId="2" borderId="0" xfId="8" applyFill="1"/>
    <xf numFmtId="0" fontId="35" fillId="0" borderId="0" xfId="8" applyFont="1"/>
    <xf numFmtId="1" fontId="35" fillId="0" borderId="0" xfId="8" applyNumberFormat="1" applyFont="1"/>
    <xf numFmtId="0" fontId="8" fillId="0" borderId="0" xfId="8" applyFont="1" applyAlignment="1">
      <alignment vertical="top" wrapText="1"/>
    </xf>
    <xf numFmtId="1" fontId="37" fillId="2" borderId="6" xfId="4" applyNumberFormat="1" applyFont="1" applyFill="1" applyBorder="1" applyAlignment="1">
      <alignment horizontal="right" indent="1"/>
    </xf>
    <xf numFmtId="165" fontId="19" fillId="2" borderId="0" xfId="4" applyFont="1" applyFill="1" applyAlignment="1">
      <alignment horizontal="left"/>
    </xf>
    <xf numFmtId="3" fontId="19" fillId="2" borderId="0" xfId="4" applyNumberFormat="1" applyFont="1" applyFill="1" applyAlignment="1">
      <alignment horizontal="right" indent="1"/>
    </xf>
    <xf numFmtId="167" fontId="19" fillId="2" borderId="0" xfId="4" applyNumberFormat="1" applyFont="1" applyFill="1" applyAlignment="1">
      <alignment horizontal="right" indent="1"/>
    </xf>
    <xf numFmtId="167" fontId="37" fillId="2" borderId="2" xfId="4" applyNumberFormat="1" applyFont="1" applyFill="1" applyBorder="1"/>
    <xf numFmtId="3" fontId="37" fillId="2" borderId="2" xfId="4" applyNumberFormat="1" applyFont="1" applyFill="1" applyBorder="1" applyAlignment="1">
      <alignment horizontal="right" indent="1"/>
    </xf>
    <xf numFmtId="167" fontId="37" fillId="2" borderId="2" xfId="4" applyNumberFormat="1" applyFont="1" applyFill="1" applyBorder="1" applyAlignment="1">
      <alignment horizontal="right" indent="1"/>
    </xf>
    <xf numFmtId="167" fontId="19" fillId="2" borderId="0" xfId="4" applyNumberFormat="1" applyFont="1" applyFill="1" applyAlignment="1">
      <alignment horizontal="left"/>
    </xf>
    <xf numFmtId="3" fontId="19" fillId="2" borderId="2" xfId="4" applyNumberFormat="1" applyFont="1" applyFill="1" applyBorder="1" applyAlignment="1">
      <alignment horizontal="right" indent="1"/>
    </xf>
    <xf numFmtId="167" fontId="19" fillId="2" borderId="2" xfId="4" applyNumberFormat="1" applyFont="1" applyFill="1" applyBorder="1" applyAlignment="1">
      <alignment horizontal="right" indent="1"/>
    </xf>
    <xf numFmtId="167" fontId="37" fillId="2" borderId="3" xfId="4" applyNumberFormat="1" applyFont="1" applyFill="1" applyBorder="1"/>
    <xf numFmtId="3" fontId="37" fillId="2" borderId="4" xfId="4" applyNumberFormat="1" applyFont="1" applyFill="1" applyBorder="1" applyAlignment="1">
      <alignment horizontal="right" indent="1"/>
    </xf>
    <xf numFmtId="167" fontId="37" fillId="2" borderId="4" xfId="4" applyNumberFormat="1" applyFont="1" applyFill="1" applyBorder="1" applyAlignment="1">
      <alignment horizontal="right" indent="1"/>
    </xf>
    <xf numFmtId="165" fontId="40" fillId="0" borderId="0" xfId="0" applyFont="1"/>
    <xf numFmtId="0" fontId="40" fillId="0" borderId="0" xfId="1" applyFont="1" applyAlignment="1">
      <alignment horizontal="right"/>
    </xf>
    <xf numFmtId="165" fontId="40" fillId="0" borderId="0" xfId="0" quotePrefix="1" applyFont="1" applyAlignment="1">
      <alignment horizontal="right"/>
    </xf>
    <xf numFmtId="165" fontId="37" fillId="0" borderId="0" xfId="0" applyFont="1"/>
    <xf numFmtId="165" fontId="19" fillId="2" borderId="6" xfId="0" applyFont="1" applyFill="1" applyBorder="1" applyAlignment="1">
      <alignment horizontal="left"/>
    </xf>
    <xf numFmtId="165" fontId="19" fillId="0" borderId="0" xfId="0" applyFont="1"/>
    <xf numFmtId="0" fontId="19" fillId="2" borderId="0" xfId="0" applyNumberFormat="1" applyFont="1" applyFill="1" applyAlignment="1">
      <alignment horizontal="left"/>
    </xf>
    <xf numFmtId="167" fontId="19" fillId="2" borderId="0" xfId="9" applyNumberFormat="1" applyFont="1" applyFill="1" applyAlignment="1">
      <alignment horizontal="right" indent="1"/>
    </xf>
    <xf numFmtId="165" fontId="37" fillId="2" borderId="6" xfId="0" applyFont="1" applyFill="1" applyBorder="1" applyAlignment="1">
      <alignment horizontal="left"/>
    </xf>
    <xf numFmtId="167" fontId="37" fillId="2" borderId="6" xfId="9" applyNumberFormat="1" applyFont="1" applyFill="1" applyBorder="1" applyAlignment="1">
      <alignment horizontal="right" indent="1"/>
    </xf>
    <xf numFmtId="165" fontId="40" fillId="0" borderId="0" xfId="0" applyFont="1" applyAlignment="1">
      <alignment horizontal="right"/>
    </xf>
    <xf numFmtId="165" fontId="19" fillId="0" borderId="0" xfId="7" applyFont="1" applyAlignment="1">
      <alignment horizontal="left" readingOrder="1"/>
    </xf>
    <xf numFmtId="0" fontId="37" fillId="2" borderId="0" xfId="10" applyNumberFormat="1" applyFont="1" applyFill="1" applyBorder="1" applyAlignment="1">
      <alignment vertical="center"/>
    </xf>
    <xf numFmtId="165" fontId="37" fillId="0" borderId="0" xfId="0" applyFont="1" applyAlignment="1">
      <alignment horizontal="left" vertical="center" wrapText="1" readingOrder="1"/>
    </xf>
    <xf numFmtId="165" fontId="37" fillId="0" borderId="9" xfId="0" applyFont="1" applyBorder="1" applyAlignment="1">
      <alignment horizontal="left" vertical="center" wrapText="1" readingOrder="1"/>
    </xf>
    <xf numFmtId="0" fontId="37" fillId="0" borderId="0" xfId="2" applyFont="1" applyAlignment="1">
      <alignment vertical="top" wrapText="1"/>
    </xf>
    <xf numFmtId="165" fontId="19" fillId="0" borderId="1" xfId="0" applyFont="1" applyBorder="1"/>
    <xf numFmtId="165" fontId="37" fillId="2" borderId="0" xfId="0" applyFont="1" applyFill="1"/>
    <xf numFmtId="165" fontId="37" fillId="2" borderId="1" xfId="0" applyFont="1" applyFill="1" applyBorder="1"/>
    <xf numFmtId="165" fontId="37" fillId="2" borderId="1" xfId="0" applyFont="1" applyFill="1" applyBorder="1" applyAlignment="1">
      <alignment horizontal="right"/>
    </xf>
    <xf numFmtId="165" fontId="37" fillId="2" borderId="1" xfId="0" applyFont="1" applyFill="1" applyBorder="1" applyAlignment="1">
      <alignment horizontal="right" wrapText="1"/>
    </xf>
    <xf numFmtId="165" fontId="19" fillId="2" borderId="0" xfId="0" applyFont="1" applyFill="1"/>
    <xf numFmtId="3" fontId="19" fillId="2" borderId="0" xfId="0" applyNumberFormat="1" applyFont="1" applyFill="1" applyAlignment="1">
      <alignment horizontal="right" vertical="center"/>
    </xf>
    <xf numFmtId="3" fontId="37" fillId="2" borderId="1" xfId="0" applyNumberFormat="1" applyFont="1" applyFill="1" applyBorder="1"/>
    <xf numFmtId="3" fontId="19" fillId="2" borderId="0" xfId="9" applyNumberFormat="1" applyFont="1" applyFill="1" applyAlignment="1">
      <alignment horizontal="right" indent="1"/>
    </xf>
    <xf numFmtId="3" fontId="37" fillId="2" borderId="6" xfId="9" applyNumberFormat="1" applyFont="1" applyFill="1" applyBorder="1" applyAlignment="1">
      <alignment horizontal="right" indent="1"/>
    </xf>
    <xf numFmtId="169" fontId="19" fillId="0" borderId="0" xfId="0" applyNumberFormat="1" applyFont="1"/>
    <xf numFmtId="0" fontId="37" fillId="0" borderId="0" xfId="6" applyFont="1" applyAlignment="1">
      <alignment vertical="top" wrapText="1"/>
    </xf>
    <xf numFmtId="165" fontId="19" fillId="2" borderId="0" xfId="0" applyFont="1" applyFill="1" applyAlignment="1">
      <alignment horizontal="left"/>
    </xf>
    <xf numFmtId="0" fontId="19" fillId="0" borderId="0" xfId="6" applyFont="1" applyAlignment="1">
      <alignment horizontal="left" vertical="top" wrapText="1"/>
    </xf>
    <xf numFmtId="0" fontId="32" fillId="0" borderId="0" xfId="11" applyFont="1" applyAlignment="1">
      <alignment horizontal="right"/>
    </xf>
    <xf numFmtId="0" fontId="10" fillId="0" borderId="0" xfId="16"/>
    <xf numFmtId="0" fontId="22" fillId="0" borderId="0" xfId="16" applyFont="1"/>
    <xf numFmtId="0" fontId="33" fillId="0" borderId="0" xfId="16" applyFont="1"/>
    <xf numFmtId="0" fontId="34" fillId="0" borderId="0" xfId="16" applyFont="1"/>
    <xf numFmtId="0" fontId="8" fillId="0" borderId="0" xfId="16" applyFont="1"/>
    <xf numFmtId="0" fontId="8" fillId="0" borderId="0" xfId="16" applyFont="1" applyAlignment="1">
      <alignment horizontal="right" vertical="center"/>
    </xf>
    <xf numFmtId="0" fontId="34" fillId="2" borderId="0" xfId="16" applyFont="1" applyFill="1" applyAlignment="1">
      <alignment horizontal="left" indent="1"/>
    </xf>
    <xf numFmtId="0" fontId="42" fillId="2" borderId="0" xfId="16" applyFont="1" applyFill="1" applyAlignment="1">
      <alignment horizontal="right" vertical="center"/>
    </xf>
    <xf numFmtId="0" fontId="37" fillId="2" borderId="0" xfId="17" applyFont="1" applyFill="1" applyBorder="1" applyAlignment="1" applyProtection="1">
      <alignment horizontal="left"/>
    </xf>
    <xf numFmtId="0" fontId="44" fillId="0" borderId="0" xfId="16" applyFont="1" applyAlignment="1">
      <alignment horizontal="right"/>
    </xf>
    <xf numFmtId="0" fontId="25" fillId="0" borderId="0" xfId="11" applyFont="1" applyAlignment="1">
      <alignment horizontal="right"/>
    </xf>
    <xf numFmtId="0" fontId="25" fillId="0" borderId="0" xfId="11" applyFont="1" applyAlignment="1">
      <alignment horizontal="left"/>
    </xf>
    <xf numFmtId="3" fontId="25" fillId="0" borderId="0" xfId="11" applyNumberFormat="1" applyFont="1"/>
    <xf numFmtId="165" fontId="37" fillId="0" borderId="0" xfId="0" quotePrefix="1" applyFont="1"/>
    <xf numFmtId="177" fontId="19" fillId="2" borderId="0" xfId="13" applyNumberFormat="1" applyFont="1" applyFill="1" applyAlignment="1" applyProtection="1">
      <alignment horizontal="right" vertical="center"/>
    </xf>
    <xf numFmtId="177" fontId="37" fillId="2" borderId="1" xfId="13" applyNumberFormat="1" applyFont="1" applyFill="1" applyBorder="1" applyAlignment="1" applyProtection="1">
      <alignment horizontal="right"/>
    </xf>
    <xf numFmtId="0" fontId="37" fillId="0" borderId="5" xfId="11" applyFont="1" applyBorder="1" applyAlignment="1">
      <alignment horizontal="center"/>
    </xf>
    <xf numFmtId="0" fontId="37" fillId="0" borderId="5" xfId="11" applyFont="1" applyBorder="1" applyAlignment="1">
      <alignment horizontal="right"/>
    </xf>
    <xf numFmtId="0" fontId="19" fillId="0" borderId="0" xfId="11" applyFont="1"/>
    <xf numFmtId="0" fontId="37" fillId="0" borderId="4" xfId="11" applyFont="1" applyBorder="1" applyAlignment="1">
      <alignment horizontal="center"/>
    </xf>
    <xf numFmtId="0" fontId="37" fillId="0" borderId="4" xfId="11" applyFont="1" applyBorder="1" applyAlignment="1">
      <alignment horizontal="right"/>
    </xf>
    <xf numFmtId="3" fontId="19" fillId="0" borderId="0" xfId="11" applyNumberFormat="1" applyFont="1" applyAlignment="1">
      <alignment horizontal="right"/>
    </xf>
    <xf numFmtId="175" fontId="19" fillId="0" borderId="0" xfId="11" applyNumberFormat="1" applyFont="1" applyAlignment="1">
      <alignment horizontal="right"/>
    </xf>
    <xf numFmtId="171" fontId="19" fillId="0" borderId="0" xfId="11" applyNumberFormat="1" applyFont="1"/>
    <xf numFmtId="1" fontId="19" fillId="0" borderId="0" xfId="12" applyNumberFormat="1" applyFont="1"/>
    <xf numFmtId="174" fontId="19" fillId="0" borderId="0" xfId="11" quotePrefix="1" applyNumberFormat="1" applyFont="1" applyAlignment="1">
      <alignment horizontal="left"/>
    </xf>
    <xf numFmtId="165" fontId="46" fillId="0" borderId="0" xfId="4" applyFont="1" applyAlignment="1">
      <alignment horizontal="left" vertical="center" indent="1"/>
    </xf>
    <xf numFmtId="0" fontId="19" fillId="0" borderId="0" xfId="6" applyFont="1"/>
    <xf numFmtId="165" fontId="19" fillId="0" borderId="0" xfId="0" quotePrefix="1" applyFont="1"/>
    <xf numFmtId="0" fontId="19" fillId="0" borderId="0" xfId="0" applyNumberFormat="1" applyFont="1" applyAlignment="1">
      <alignment horizontal="left"/>
    </xf>
    <xf numFmtId="167" fontId="19" fillId="0" borderId="0" xfId="9" applyNumberFormat="1" applyFont="1" applyAlignment="1">
      <alignment horizontal="right" indent="1"/>
    </xf>
    <xf numFmtId="165" fontId="19" fillId="0" borderId="6" xfId="0" applyFont="1" applyBorder="1" applyAlignment="1">
      <alignment horizontal="left"/>
    </xf>
    <xf numFmtId="1" fontId="37" fillId="0" borderId="6" xfId="4" applyNumberFormat="1" applyFont="1" applyBorder="1" applyAlignment="1">
      <alignment horizontal="right" indent="1"/>
    </xf>
    <xf numFmtId="0" fontId="19" fillId="0" borderId="7" xfId="0" applyNumberFormat="1" applyFont="1" applyBorder="1" applyAlignment="1">
      <alignment horizontal="left"/>
    </xf>
    <xf numFmtId="167" fontId="19" fillId="0" borderId="7" xfId="9" applyNumberFormat="1" applyFont="1" applyBorder="1" applyAlignment="1">
      <alignment horizontal="right" indent="1"/>
    </xf>
    <xf numFmtId="1" fontId="19" fillId="2" borderId="0" xfId="4" applyNumberFormat="1" applyFont="1" applyFill="1" applyAlignment="1">
      <alignment horizontal="right" indent="1"/>
    </xf>
    <xf numFmtId="165" fontId="49" fillId="6" borderId="13" xfId="21" applyAlignment="1">
      <alignment vertical="center"/>
    </xf>
    <xf numFmtId="165" fontId="49" fillId="6" borderId="13" xfId="26" quotePrefix="1" applyAlignment="1">
      <alignment horizontal="center" vertical="center"/>
    </xf>
    <xf numFmtId="165" fontId="49" fillId="6" borderId="13" xfId="26" applyAlignment="1">
      <alignment horizontal="center" vertical="center"/>
    </xf>
    <xf numFmtId="167" fontId="50" fillId="4" borderId="13" xfId="23">
      <alignment horizontal="right" vertical="center"/>
    </xf>
    <xf numFmtId="165" fontId="49" fillId="6" borderId="16" xfId="30" applyAlignment="1">
      <alignment vertical="center"/>
    </xf>
    <xf numFmtId="167" fontId="54" fillId="0" borderId="0" xfId="4" applyNumberFormat="1" applyFont="1"/>
    <xf numFmtId="177" fontId="54" fillId="0" borderId="0" xfId="13" applyNumberFormat="1" applyFont="1" applyFill="1" applyBorder="1" applyProtection="1"/>
    <xf numFmtId="178" fontId="19" fillId="2" borderId="0" xfId="18" applyNumberFormat="1" applyFont="1" applyFill="1" applyBorder="1" applyAlignment="1" applyProtection="1">
      <alignment horizontal="right" indent="1"/>
    </xf>
    <xf numFmtId="0" fontId="57" fillId="0" borderId="0" xfId="6" applyFont="1"/>
    <xf numFmtId="165" fontId="58" fillId="0" borderId="0" xfId="0" applyFont="1" applyAlignment="1">
      <alignment horizontal="center"/>
    </xf>
    <xf numFmtId="165" fontId="59" fillId="0" borderId="0" xfId="0" applyFont="1" applyAlignment="1">
      <alignment horizontal="center"/>
    </xf>
    <xf numFmtId="165" fontId="60" fillId="4" borderId="13" xfId="25" quotePrefix="1" applyFont="1" applyAlignment="1">
      <alignment horizontal="left" vertical="center"/>
    </xf>
    <xf numFmtId="167" fontId="61" fillId="0" borderId="0" xfId="0" applyNumberFormat="1" applyFont="1"/>
    <xf numFmtId="165" fontId="59" fillId="0" borderId="0" xfId="0" applyFont="1"/>
    <xf numFmtId="165" fontId="62" fillId="5" borderId="13" xfId="27" quotePrefix="1" applyFont="1" applyAlignment="1">
      <alignment horizontal="left" vertical="center"/>
    </xf>
    <xf numFmtId="167" fontId="63" fillId="5" borderId="13" xfId="20" applyFont="1">
      <alignment horizontal="right" vertical="center"/>
    </xf>
    <xf numFmtId="165" fontId="64" fillId="8" borderId="17" xfId="0" applyFont="1" applyFill="1" applyBorder="1" applyAlignment="1">
      <alignment horizontal="center"/>
    </xf>
    <xf numFmtId="165" fontId="61" fillId="0" borderId="0" xfId="0" applyFont="1"/>
    <xf numFmtId="171" fontId="61" fillId="0" borderId="0" xfId="0" applyNumberFormat="1" applyFont="1"/>
    <xf numFmtId="165" fontId="49" fillId="5" borderId="13" xfId="33" quotePrefix="1" applyAlignment="1">
      <alignment horizontal="center"/>
    </xf>
    <xf numFmtId="165" fontId="49" fillId="5" borderId="13" xfId="33" applyAlignment="1">
      <alignment horizontal="center"/>
    </xf>
    <xf numFmtId="165" fontId="65" fillId="9" borderId="18" xfId="33" applyFont="1" applyFill="1" applyBorder="1" applyAlignment="1">
      <alignment horizontal="center"/>
    </xf>
    <xf numFmtId="165" fontId="66" fillId="8" borderId="0" xfId="0" applyFont="1" applyFill="1"/>
    <xf numFmtId="169" fontId="66" fillId="8" borderId="0" xfId="0" applyNumberFormat="1" applyFont="1" applyFill="1"/>
    <xf numFmtId="165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65" fontId="49" fillId="10" borderId="13" xfId="29" quotePrefix="1" applyFill="1" applyAlignment="1">
      <alignment horizontal="center"/>
    </xf>
    <xf numFmtId="3" fontId="61" fillId="0" borderId="0" xfId="0" applyNumberFormat="1" applyFont="1"/>
    <xf numFmtId="0" fontId="19" fillId="2" borderId="7" xfId="0" applyNumberFormat="1" applyFont="1" applyFill="1" applyBorder="1" applyAlignment="1">
      <alignment horizontal="left"/>
    </xf>
    <xf numFmtId="167" fontId="19" fillId="2" borderId="7" xfId="9" applyNumberFormat="1" applyFont="1" applyFill="1" applyBorder="1" applyAlignment="1">
      <alignment horizontal="right" indent="1"/>
    </xf>
    <xf numFmtId="0" fontId="67" fillId="0" borderId="0" xfId="6" applyFont="1"/>
    <xf numFmtId="0" fontId="19" fillId="0" borderId="0" xfId="0" applyNumberFormat="1" applyFont="1" applyAlignment="1">
      <alignment horizontal="center"/>
    </xf>
    <xf numFmtId="165" fontId="37" fillId="2" borderId="19" xfId="0" quotePrefix="1" applyFont="1" applyFill="1" applyBorder="1"/>
    <xf numFmtId="0" fontId="19" fillId="2" borderId="19" xfId="0" applyNumberFormat="1" applyFont="1" applyFill="1" applyBorder="1" applyAlignment="1">
      <alignment horizontal="center"/>
    </xf>
    <xf numFmtId="165" fontId="19" fillId="0" borderId="0" xfId="0" applyFont="1" applyAlignment="1">
      <alignment horizontal="center"/>
    </xf>
    <xf numFmtId="3" fontId="19" fillId="2" borderId="0" xfId="0" applyNumberFormat="1" applyFont="1" applyFill="1"/>
    <xf numFmtId="165" fontId="19" fillId="2" borderId="7" xfId="0" applyFont="1" applyFill="1" applyBorder="1"/>
    <xf numFmtId="3" fontId="19" fillId="2" borderId="7" xfId="0" applyNumberFormat="1" applyFont="1" applyFill="1" applyBorder="1"/>
    <xf numFmtId="165" fontId="19" fillId="2" borderId="20" xfId="0" applyFont="1" applyFill="1" applyBorder="1"/>
    <xf numFmtId="3" fontId="19" fillId="2" borderId="20" xfId="0" applyNumberFormat="1" applyFont="1" applyFill="1" applyBorder="1"/>
    <xf numFmtId="169" fontId="19" fillId="2" borderId="20" xfId="0" applyNumberFormat="1" applyFont="1" applyFill="1" applyBorder="1"/>
    <xf numFmtId="165" fontId="19" fillId="0" borderId="0" xfId="0" applyFont="1" applyAlignment="1">
      <alignment horizontal="left" indent="1"/>
    </xf>
    <xf numFmtId="169" fontId="19" fillId="0" borderId="0" xfId="0" applyNumberFormat="1" applyFont="1" applyAlignment="1">
      <alignment horizontal="center"/>
    </xf>
    <xf numFmtId="165" fontId="19" fillId="0" borderId="0" xfId="0" applyFont="1" applyAlignment="1">
      <alignment horizontal="right"/>
    </xf>
    <xf numFmtId="14" fontId="19" fillId="2" borderId="0" xfId="0" applyNumberFormat="1" applyFont="1" applyFill="1"/>
    <xf numFmtId="167" fontId="19" fillId="2" borderId="0" xfId="0" applyNumberFormat="1" applyFont="1" applyFill="1"/>
    <xf numFmtId="165" fontId="19" fillId="2" borderId="0" xfId="0" applyFont="1" applyFill="1" applyAlignment="1">
      <alignment horizontal="left" indent="1"/>
    </xf>
    <xf numFmtId="169" fontId="19" fillId="2" borderId="7" xfId="0" applyNumberFormat="1" applyFont="1" applyFill="1" applyBorder="1"/>
    <xf numFmtId="165" fontId="19" fillId="2" borderId="19" xfId="0" quotePrefix="1" applyFont="1" applyFill="1" applyBorder="1"/>
    <xf numFmtId="0" fontId="19" fillId="2" borderId="19" xfId="0" applyNumberFormat="1" applyFont="1" applyFill="1" applyBorder="1"/>
    <xf numFmtId="0" fontId="19" fillId="2" borderId="19" xfId="0" quotePrefix="1" applyNumberFormat="1" applyFont="1" applyFill="1" applyBorder="1"/>
    <xf numFmtId="171" fontId="19" fillId="2" borderId="7" xfId="13" applyNumberFormat="1" applyFont="1" applyFill="1" applyBorder="1"/>
    <xf numFmtId="0" fontId="19" fillId="0" borderId="0" xfId="0" applyNumberFormat="1" applyFont="1"/>
    <xf numFmtId="0" fontId="19" fillId="2" borderId="3" xfId="11" applyFont="1" applyFill="1" applyBorder="1" applyAlignment="1">
      <alignment horizontal="center"/>
    </xf>
    <xf numFmtId="0" fontId="19" fillId="2" borderId="3" xfId="11" applyFont="1" applyFill="1" applyBorder="1" applyAlignment="1">
      <alignment horizontal="right"/>
    </xf>
    <xf numFmtId="0" fontId="19" fillId="2" borderId="3" xfId="11" applyFont="1" applyFill="1" applyBorder="1" applyAlignment="1">
      <alignment horizontal="right" wrapText="1"/>
    </xf>
    <xf numFmtId="0" fontId="19" fillId="0" borderId="0" xfId="11" applyFont="1" applyAlignment="1">
      <alignment horizontal="right"/>
    </xf>
    <xf numFmtId="170" fontId="19" fillId="0" borderId="0" xfId="11" applyNumberFormat="1" applyFont="1" applyAlignment="1">
      <alignment horizontal="right"/>
    </xf>
    <xf numFmtId="0" fontId="19" fillId="2" borderId="0" xfId="11" applyFont="1" applyFill="1"/>
    <xf numFmtId="172" fontId="19" fillId="2" borderId="0" xfId="11" applyNumberFormat="1" applyFont="1" applyFill="1"/>
    <xf numFmtId="3" fontId="19" fillId="2" borderId="0" xfId="11" applyNumberFormat="1" applyFont="1" applyFill="1"/>
    <xf numFmtId="0" fontId="19" fillId="0" borderId="0" xfId="3" applyFont="1"/>
    <xf numFmtId="170" fontId="19" fillId="0" borderId="0" xfId="11" applyNumberFormat="1" applyFont="1"/>
    <xf numFmtId="0" fontId="19" fillId="2" borderId="11" xfId="11" applyFont="1" applyFill="1" applyBorder="1"/>
    <xf numFmtId="172" fontId="19" fillId="2" borderId="11" xfId="11" applyNumberFormat="1" applyFont="1" applyFill="1" applyBorder="1"/>
    <xf numFmtId="0" fontId="19" fillId="2" borderId="4" xfId="11" applyFont="1" applyFill="1" applyBorder="1"/>
    <xf numFmtId="3" fontId="19" fillId="0" borderId="0" xfId="11" applyNumberFormat="1" applyFont="1"/>
    <xf numFmtId="1" fontId="19" fillId="0" borderId="0" xfId="11" applyNumberFormat="1" applyFont="1"/>
    <xf numFmtId="17" fontId="19" fillId="2" borderId="3" xfId="11" quotePrefix="1" applyNumberFormat="1" applyFont="1" applyFill="1" applyBorder="1" applyAlignment="1">
      <alignment horizontal="right"/>
    </xf>
    <xf numFmtId="169" fontId="59" fillId="0" borderId="0" xfId="0" applyNumberFormat="1" applyFont="1"/>
    <xf numFmtId="3" fontId="37" fillId="0" borderId="1" xfId="0" applyNumberFormat="1" applyFont="1" applyBorder="1"/>
    <xf numFmtId="3" fontId="19" fillId="0" borderId="1" xfId="0" applyNumberFormat="1" applyFont="1" applyBorder="1"/>
    <xf numFmtId="3" fontId="19" fillId="12" borderId="0" xfId="0" applyNumberFormat="1" applyFont="1" applyFill="1" applyAlignment="1">
      <alignment horizontal="right" vertical="center"/>
    </xf>
    <xf numFmtId="177" fontId="19" fillId="12" borderId="0" xfId="13" applyNumberFormat="1" applyFont="1" applyFill="1" applyAlignment="1" applyProtection="1">
      <alignment horizontal="right" vertical="center"/>
    </xf>
    <xf numFmtId="177" fontId="37" fillId="12" borderId="1" xfId="13" applyNumberFormat="1" applyFont="1" applyFill="1" applyBorder="1" applyAlignment="1" applyProtection="1">
      <alignment horizontal="right"/>
    </xf>
    <xf numFmtId="165" fontId="68" fillId="13" borderId="13" xfId="41" applyAlignment="1">
      <alignment vertical="center"/>
    </xf>
    <xf numFmtId="165" fontId="68" fillId="13" borderId="13" xfId="39" quotePrefix="1" applyAlignment="1">
      <alignment horizontal="center"/>
    </xf>
    <xf numFmtId="165" fontId="68" fillId="13" borderId="13" xfId="39" applyAlignment="1">
      <alignment horizontal="center"/>
    </xf>
    <xf numFmtId="165" fontId="69" fillId="4" borderId="13" xfId="42" quotePrefix="1" applyAlignment="1">
      <alignment horizontal="left" vertical="center"/>
    </xf>
    <xf numFmtId="0" fontId="19" fillId="0" borderId="0" xfId="4" applyNumberFormat="1" applyFont="1" applyAlignment="1">
      <alignment horizontal="left" wrapText="1"/>
    </xf>
    <xf numFmtId="171" fontId="19" fillId="0" borderId="9" xfId="0" applyNumberFormat="1" applyFont="1" applyBorder="1" applyAlignment="1">
      <alignment horizontal="right" vertical="center" wrapText="1" readingOrder="1"/>
    </xf>
    <xf numFmtId="171" fontId="57" fillId="11" borderId="0" xfId="0" applyNumberFormat="1" applyFont="1" applyFill="1" applyAlignment="1">
      <alignment horizontal="right" vertical="center" wrapText="1"/>
    </xf>
    <xf numFmtId="165" fontId="57" fillId="11" borderId="0" xfId="0" applyFont="1" applyFill="1" applyAlignment="1">
      <alignment horizontal="right" vertical="center" wrapText="1"/>
    </xf>
    <xf numFmtId="171" fontId="19" fillId="11" borderId="9" xfId="0" applyNumberFormat="1" applyFont="1" applyFill="1" applyBorder="1" applyAlignment="1">
      <alignment horizontal="right" vertical="center" wrapText="1"/>
    </xf>
    <xf numFmtId="165" fontId="19" fillId="11" borderId="10" xfId="0" applyFont="1" applyFill="1" applyBorder="1" applyAlignment="1">
      <alignment horizontal="right" vertical="center" wrapText="1"/>
    </xf>
    <xf numFmtId="3" fontId="57" fillId="11" borderId="0" xfId="0" applyNumberFormat="1" applyFont="1" applyFill="1" applyAlignment="1">
      <alignment horizontal="right" vertical="center" wrapText="1"/>
    </xf>
    <xf numFmtId="0" fontId="57" fillId="0" borderId="0" xfId="6" applyFont="1" applyAlignment="1">
      <alignment horizontal="left" vertical="top" wrapText="1"/>
    </xf>
    <xf numFmtId="165" fontId="37" fillId="0" borderId="0" xfId="7" applyFont="1" applyAlignment="1">
      <alignment horizontal="left" readingOrder="1"/>
    </xf>
    <xf numFmtId="0" fontId="4" fillId="0" borderId="0" xfId="47" applyAlignment="1">
      <alignment horizontal="center" vertical="center" wrapText="1"/>
    </xf>
    <xf numFmtId="0" fontId="4" fillId="0" borderId="0" xfId="47"/>
    <xf numFmtId="14" fontId="4" fillId="0" borderId="0" xfId="47" applyNumberFormat="1"/>
    <xf numFmtId="3" fontId="70" fillId="0" borderId="24" xfId="47" applyNumberFormat="1" applyFont="1" applyBorder="1" applyAlignment="1">
      <alignment horizontal="right" vertical="center"/>
    </xf>
    <xf numFmtId="167" fontId="70" fillId="0" borderId="24" xfId="47" applyNumberFormat="1" applyFont="1" applyBorder="1" applyAlignment="1">
      <alignment horizontal="right" vertical="center"/>
    </xf>
    <xf numFmtId="171" fontId="4" fillId="0" borderId="0" xfId="47" applyNumberFormat="1"/>
    <xf numFmtId="1" fontId="4" fillId="0" borderId="0" xfId="47" applyNumberFormat="1"/>
    <xf numFmtId="180" fontId="19" fillId="0" borderId="0" xfId="0" applyNumberFormat="1" applyFont="1"/>
    <xf numFmtId="0" fontId="19" fillId="0" borderId="0" xfId="4" applyNumberFormat="1" applyFont="1" applyAlignment="1">
      <alignment horizontal="justify"/>
    </xf>
    <xf numFmtId="3" fontId="70" fillId="0" borderId="0" xfId="47" applyNumberFormat="1" applyFont="1" applyAlignment="1">
      <alignment horizontal="right" vertical="center"/>
    </xf>
    <xf numFmtId="0" fontId="19" fillId="0" borderId="0" xfId="4" applyNumberFormat="1" applyFont="1" applyAlignment="1">
      <alignment wrapText="1"/>
    </xf>
    <xf numFmtId="0" fontId="19" fillId="0" borderId="0" xfId="4" applyNumberFormat="1" applyFont="1"/>
    <xf numFmtId="171" fontId="19" fillId="2" borderId="7" xfId="0" applyNumberFormat="1" applyFont="1" applyFill="1" applyBorder="1"/>
    <xf numFmtId="3" fontId="19" fillId="11" borderId="0" xfId="0" applyNumberFormat="1" applyFont="1" applyFill="1" applyAlignment="1">
      <alignment horizontal="right" vertical="center" wrapText="1"/>
    </xf>
    <xf numFmtId="165" fontId="19" fillId="11" borderId="8" xfId="0" applyFont="1" applyFill="1" applyBorder="1" applyAlignment="1">
      <alignment horizontal="right" vertical="center" wrapText="1"/>
    </xf>
    <xf numFmtId="165" fontId="72" fillId="14" borderId="13" xfId="48" applyAlignment="1">
      <alignment vertical="center"/>
    </xf>
    <xf numFmtId="165" fontId="72" fillId="14" borderId="13" xfId="50" quotePrefix="1" applyAlignment="1">
      <alignment horizontal="center"/>
    </xf>
    <xf numFmtId="165" fontId="72" fillId="14" borderId="13" xfId="50" applyAlignment="1">
      <alignment horizontal="center"/>
    </xf>
    <xf numFmtId="165" fontId="51" fillId="4" borderId="13" xfId="54" quotePrefix="1" applyAlignment="1">
      <alignment horizontal="left" vertical="center"/>
    </xf>
    <xf numFmtId="165" fontId="52" fillId="5" borderId="13" xfId="56" quotePrefix="1" applyAlignment="1">
      <alignment horizontal="left" vertical="center"/>
    </xf>
    <xf numFmtId="165" fontId="49" fillId="6" borderId="13" xfId="53" applyAlignment="1">
      <alignment horizontal="center"/>
    </xf>
    <xf numFmtId="165" fontId="51" fillId="4" borderId="13" xfId="54" applyAlignment="1">
      <alignment horizontal="left" vertical="center"/>
    </xf>
    <xf numFmtId="165" fontId="37" fillId="2" borderId="0" xfId="0" quotePrefix="1" applyFont="1" applyFill="1"/>
    <xf numFmtId="0" fontId="19" fillId="2" borderId="0" xfId="0" applyNumberFormat="1" applyFont="1" applyFill="1" applyAlignment="1">
      <alignment horizontal="center"/>
    </xf>
    <xf numFmtId="169" fontId="19" fillId="2" borderId="0" xfId="0" applyNumberFormat="1" applyFont="1" applyFill="1"/>
    <xf numFmtId="171" fontId="19" fillId="2" borderId="0" xfId="0" applyNumberFormat="1" applyFont="1" applyFill="1"/>
    <xf numFmtId="181" fontId="0" fillId="0" borderId="0" xfId="0" applyNumberFormat="1"/>
    <xf numFmtId="168" fontId="50" fillId="4" borderId="13" xfId="55" applyAlignment="1">
      <alignment horizontal="right" vertical="center"/>
    </xf>
    <xf numFmtId="10" fontId="50" fillId="4" borderId="13" xfId="24" applyAlignment="1">
      <alignment horizontal="right" vertical="center"/>
    </xf>
    <xf numFmtId="168" fontId="48" fillId="5" borderId="13" xfId="57" applyAlignment="1">
      <alignment horizontal="right" vertical="center"/>
    </xf>
    <xf numFmtId="10" fontId="48" fillId="5" borderId="13" xfId="58" applyAlignment="1">
      <alignment horizontal="right" vertical="center"/>
    </xf>
    <xf numFmtId="168" fontId="20" fillId="4" borderId="13" xfId="45" applyAlignment="1">
      <alignment horizontal="right" vertical="center"/>
    </xf>
    <xf numFmtId="165" fontId="72" fillId="13" borderId="13" xfId="49" quotePrefix="1" applyAlignment="1">
      <alignment horizontal="left" vertical="center"/>
    </xf>
    <xf numFmtId="168" fontId="72" fillId="13" borderId="13" xfId="51" applyAlignment="1">
      <alignment horizontal="right" vertical="center"/>
    </xf>
    <xf numFmtId="167" fontId="50" fillId="4" borderId="13" xfId="23" applyAlignment="1">
      <alignment horizontal="right" vertical="center"/>
    </xf>
    <xf numFmtId="167" fontId="48" fillId="5" borderId="13" xfId="20" applyAlignment="1">
      <alignment horizontal="right" vertical="center"/>
    </xf>
    <xf numFmtId="179" fontId="20" fillId="4" borderId="13" xfId="40" applyAlignment="1">
      <alignment horizontal="right" vertical="center"/>
    </xf>
    <xf numFmtId="165" fontId="68" fillId="13" borderId="13" xfId="44" quotePrefix="1" applyAlignment="1">
      <alignment horizontal="left" vertical="center"/>
    </xf>
    <xf numFmtId="165" fontId="68" fillId="13" borderId="13" xfId="44" applyAlignment="1">
      <alignment horizontal="left" vertical="center"/>
    </xf>
    <xf numFmtId="179" fontId="68" fillId="13" borderId="13" xfId="43" applyAlignment="1">
      <alignment horizontal="right" vertical="center"/>
    </xf>
    <xf numFmtId="0" fontId="2" fillId="0" borderId="0" xfId="47" applyFont="1" applyAlignment="1">
      <alignment horizontal="center" vertical="center" wrapText="1"/>
    </xf>
    <xf numFmtId="1" fontId="19" fillId="0" borderId="0" xfId="3" applyNumberFormat="1" applyFont="1"/>
    <xf numFmtId="165" fontId="0" fillId="0" borderId="0" xfId="0" applyFill="1"/>
    <xf numFmtId="165" fontId="66" fillId="0" borderId="0" xfId="0" applyFont="1" applyFill="1"/>
    <xf numFmtId="182" fontId="66" fillId="0" borderId="0" xfId="0" applyNumberFormat="1" applyFont="1" applyFill="1"/>
    <xf numFmtId="165" fontId="66" fillId="8" borderId="0" xfId="0" applyNumberFormat="1" applyFont="1" applyFill="1"/>
    <xf numFmtId="165" fontId="49" fillId="6" borderId="13" xfId="53" quotePrefix="1" applyAlignment="1">
      <alignment horizontal="center"/>
    </xf>
    <xf numFmtId="0" fontId="1" fillId="0" borderId="0" xfId="47" applyFont="1" applyAlignment="1">
      <alignment horizontal="center" vertical="center" wrapText="1"/>
    </xf>
    <xf numFmtId="0" fontId="19" fillId="0" borderId="0" xfId="4" applyNumberFormat="1" applyFont="1" applyAlignment="1">
      <alignment horizontal="justify"/>
    </xf>
    <xf numFmtId="0" fontId="19" fillId="0" borderId="0" xfId="4" applyNumberFormat="1" applyFont="1" applyAlignment="1">
      <alignment horizontal="left" wrapText="1"/>
    </xf>
    <xf numFmtId="0" fontId="19" fillId="0" borderId="5" xfId="4" applyNumberFormat="1" applyFont="1" applyBorder="1" applyAlignment="1">
      <alignment horizontal="justify" wrapText="1"/>
    </xf>
    <xf numFmtId="0" fontId="19" fillId="0" borderId="5" xfId="4" applyNumberFormat="1" applyFont="1" applyBorder="1" applyAlignment="1">
      <alignment horizontal="justify"/>
    </xf>
    <xf numFmtId="0" fontId="19" fillId="0" borderId="0" xfId="4" applyNumberFormat="1" applyFont="1" applyAlignment="1">
      <alignment horizontal="left"/>
    </xf>
    <xf numFmtId="165" fontId="37" fillId="0" borderId="0" xfId="4" applyFont="1" applyAlignment="1">
      <alignment horizontal="left" vertical="top" wrapText="1"/>
    </xf>
    <xf numFmtId="165" fontId="15" fillId="3" borderId="2" xfId="4" quotePrefix="1" applyFont="1" applyFill="1" applyBorder="1" applyAlignment="1">
      <alignment horizontal="right" indent="1"/>
    </xf>
    <xf numFmtId="0" fontId="15" fillId="3" borderId="2" xfId="4" applyNumberFormat="1" applyFont="1" applyFill="1" applyBorder="1" applyAlignment="1">
      <alignment horizontal="right" indent="1"/>
    </xf>
    <xf numFmtId="165" fontId="15" fillId="3" borderId="2" xfId="4" applyFont="1" applyFill="1" applyBorder="1" applyAlignment="1">
      <alignment horizontal="right" indent="1"/>
    </xf>
    <xf numFmtId="0" fontId="37" fillId="0" borderId="0" xfId="6" applyFont="1" applyAlignment="1">
      <alignment horizontal="left" vertical="top" wrapText="1"/>
    </xf>
    <xf numFmtId="0" fontId="37" fillId="0" borderId="0" xfId="2" applyFont="1" applyAlignment="1">
      <alignment horizontal="left" vertical="top" wrapText="1"/>
    </xf>
    <xf numFmtId="165" fontId="37" fillId="2" borderId="0" xfId="10" quotePrefix="1" applyNumberFormat="1" applyFont="1" applyFill="1" applyBorder="1" applyAlignment="1">
      <alignment horizontal="center" vertical="center"/>
    </xf>
    <xf numFmtId="0" fontId="37" fillId="2" borderId="8" xfId="10" applyNumberFormat="1" applyFont="1" applyFill="1" applyBorder="1" applyAlignment="1">
      <alignment horizontal="center" vertical="center"/>
    </xf>
    <xf numFmtId="0" fontId="37" fillId="2" borderId="0" xfId="10" applyNumberFormat="1" applyFont="1" applyFill="1" applyBorder="1" applyAlignment="1">
      <alignment horizontal="center" vertical="center"/>
    </xf>
    <xf numFmtId="165" fontId="19" fillId="2" borderId="20" xfId="0" applyFont="1" applyFill="1" applyBorder="1" applyAlignment="1">
      <alignment horizontal="center" wrapText="1"/>
    </xf>
    <xf numFmtId="165" fontId="19" fillId="2" borderId="7" xfId="0" applyFont="1" applyFill="1" applyBorder="1" applyAlignment="1">
      <alignment horizontal="center" wrapText="1"/>
    </xf>
    <xf numFmtId="165" fontId="69" fillId="4" borderId="21" xfId="42" quotePrefix="1" applyBorder="1" applyAlignment="1">
      <alignment horizontal="left" vertical="center"/>
    </xf>
    <xf numFmtId="165" fontId="0" fillId="0" borderId="22" xfId="0" applyBorder="1" applyAlignment="1">
      <alignment horizontal="left" vertical="center"/>
    </xf>
    <xf numFmtId="165" fontId="0" fillId="0" borderId="23" xfId="0" applyBorder="1" applyAlignment="1">
      <alignment horizontal="left" vertical="center"/>
    </xf>
    <xf numFmtId="165" fontId="69" fillId="4" borderId="22" xfId="42" quotePrefix="1" applyBorder="1" applyAlignment="1">
      <alignment horizontal="left" vertical="center"/>
    </xf>
    <xf numFmtId="165" fontId="49" fillId="6" borderId="15" xfId="26" quotePrefix="1" applyBorder="1" applyAlignment="1">
      <alignment horizontal="center" vertical="center"/>
    </xf>
    <xf numFmtId="165" fontId="0" fillId="0" borderId="14" xfId="0" applyBorder="1" applyAlignment="1">
      <alignment horizontal="center" vertical="center"/>
    </xf>
    <xf numFmtId="165" fontId="49" fillId="6" borderId="15" xfId="53" quotePrefix="1" applyBorder="1" applyAlignment="1">
      <alignment horizontal="center"/>
    </xf>
    <xf numFmtId="165" fontId="0" fillId="0" borderId="14" xfId="0" applyBorder="1" applyAlignment="1">
      <alignment horizontal="center"/>
    </xf>
    <xf numFmtId="165" fontId="49" fillId="6" borderId="13" xfId="53" quotePrefix="1" applyAlignment="1">
      <alignment horizontal="center"/>
    </xf>
    <xf numFmtId="165" fontId="0" fillId="0" borderId="11" xfId="0" applyBorder="1" applyAlignment="1">
      <alignment horizontal="center"/>
    </xf>
    <xf numFmtId="165" fontId="49" fillId="10" borderId="15" xfId="29" applyFill="1" applyBorder="1" applyAlignment="1">
      <alignment horizontal="center"/>
    </xf>
    <xf numFmtId="165" fontId="49" fillId="10" borderId="14" xfId="29" applyFill="1" applyBorder="1" applyAlignment="1">
      <alignment horizontal="center"/>
    </xf>
    <xf numFmtId="165" fontId="37" fillId="2" borderId="12" xfId="0" applyFont="1" applyFill="1" applyBorder="1" applyAlignment="1">
      <alignment horizontal="center"/>
    </xf>
    <xf numFmtId="0" fontId="37" fillId="0" borderId="3" xfId="11" applyFont="1" applyBorder="1" applyAlignment="1">
      <alignment horizontal="center"/>
    </xf>
  </cellXfs>
  <cellStyles count="60">
    <cellStyle name="consejo" xfId="10" xr:uid="{00000000-0005-0000-0000-000000000000}"/>
    <cellStyle name="Hipervínculo 2" xfId="17" xr:uid="{00000000-0005-0000-0000-000001000000}"/>
    <cellStyle name="Hipervínculo 3" xfId="15" xr:uid="{00000000-0005-0000-0000-000002000000}"/>
    <cellStyle name="Millares" xfId="18" builtinId="3"/>
    <cellStyle name="MSTRStyle.Todos.c1_f233c5b5-8efc-40cc-a089-d6ee1d6d5aff" xfId="28" xr:uid="{00000000-0005-0000-0000-000004000000}"/>
    <cellStyle name="MSTRStyle.Todos.c12_41e5c802-0036-4296-98c2-7fda3afe8126" xfId="45" xr:uid="{67A0AA3A-AC11-4695-8802-88404AA6C089}"/>
    <cellStyle name="MSTRStyle.Todos.c12_7a1e8989-ce78-4d49-8f33-804e75eaa9ac" xfId="40" xr:uid="{00000000-0005-0000-0000-000005000000}"/>
    <cellStyle name="MSTRStyle.Todos.c13_1c857d04-1888-46ca-a093-da254b91b892" xfId="44" xr:uid="{00000000-0005-0000-0000-000006000000}"/>
    <cellStyle name="MSTRStyle.Todos.c13_7e420611-275d-473b-8f31-0e521fd83d09" xfId="26" xr:uid="{00000000-0005-0000-0000-000007000000}"/>
    <cellStyle name="MSTRStyle.Todos.c14_bd018b41-2aac-4afa-b128-186e0d2a0ba8" xfId="43" xr:uid="{00000000-0005-0000-0000-000008000000}"/>
    <cellStyle name="MSTRStyle.Todos.c15_15fbff46-fe6a-4e3e-a0de-d99014ad5935" xfId="55" xr:uid="{CBC9C65B-4B9A-4409-A2B6-9DC46AD977FB}"/>
    <cellStyle name="MSTRStyle.Todos.c16_a3abbdba-39c5-4475-8de4-e6135500e251" xfId="23" xr:uid="{00000000-0005-0000-0000-00000A000000}"/>
    <cellStyle name="MSTRStyle.Todos.c17_4d0c6726-016a-458a-8b38-aa05b0e7297c" xfId="46" xr:uid="{D18DF0AE-27F8-4B95-8BD1-57C13B7B04DF}"/>
    <cellStyle name="MSTRStyle.Todos.c18_19c4098a-8743-4bc4-b466-65d82a5a7505" xfId="24" xr:uid="{00000000-0005-0000-0000-00000B000000}"/>
    <cellStyle name="MSTRStyle.Todos.c19_15009b83-d662-472c-ae48-4df3fea471dd" xfId="35" xr:uid="{00000000-0005-0000-0000-00000C000000}"/>
    <cellStyle name="MSTRStyle.Todos.c19_5273395b-330c-4453-bb5e-3d097a5f9a38" xfId="57" xr:uid="{5089B4E7-27A2-4D31-918A-A7C85961DB86}"/>
    <cellStyle name="MSTRStyle.Todos.c2_3a581374-dd4c-4b65-a07e-d5e7fd3fec7a" xfId="52" xr:uid="{0E9F78D5-4D9A-4151-B054-A0EEE46EFED7}"/>
    <cellStyle name="MSTRStyle.Todos.c2_3c6e317f-bd39-4422-933b-ac144830b67b" xfId="21" xr:uid="{00000000-0005-0000-0000-00000D000000}"/>
    <cellStyle name="MSTRStyle.Todos.c2_c104d2fa-5300-418c-a569-abbb41344e9d" xfId="41" xr:uid="{00000000-0005-0000-0000-00000E000000}"/>
    <cellStyle name="MSTRStyle.Todos.c2_e153042f-707e-470f-9ae6-b2261dc537dd" xfId="48" xr:uid="{0C089A2F-1D42-4871-B3A0-B3855D13E552}"/>
    <cellStyle name="MSTRStyle.Todos.c20_17d38e15-bcc2-49f6-adb0-74fa24f73c0d" xfId="19" xr:uid="{00000000-0005-0000-0000-00000F000000}"/>
    <cellStyle name="MSTRStyle.Todos.c21_8e710c8e-e33a-4c2d-8e81-b7657ce67fb9" xfId="33" xr:uid="{00000000-0005-0000-0000-000010000000}"/>
    <cellStyle name="MSTRStyle.Todos.c22_8ff8ac70-2ad1-4e8d-b36a-325273c52159" xfId="56" xr:uid="{FFD0639C-6CE7-4D97-BF9A-C36F9456FA99}"/>
    <cellStyle name="MSTRStyle.Todos.c22_928c9b5c-8086-45a3-84f9-2dc5b737a557" xfId="27" xr:uid="{00000000-0005-0000-0000-000011000000}"/>
    <cellStyle name="MSTRStyle.Todos.c23_54a66e00-ce3a-4eb4-88c1-b8c753f0ebd7" xfId="32" xr:uid="{00000000-0005-0000-0000-000012000000}"/>
    <cellStyle name="MSTRStyle.Todos.c23_b4897d19-5129-427d-b27c-b6d10c22bb8b" xfId="20" xr:uid="{00000000-0005-0000-0000-000013000000}"/>
    <cellStyle name="MSTRStyle.Todos.c24_035038c2-2ddd-4b85-84d7-5bc27c6cfc1f" xfId="22" xr:uid="{00000000-0005-0000-0000-000014000000}"/>
    <cellStyle name="MSTRStyle.Todos.c24_08dad9a3-f282-4d8f-8754-383bda6f9464" xfId="58" xr:uid="{94577577-EA40-4777-8DFF-4664E10FBDE0}"/>
    <cellStyle name="MSTRStyle.Todos.c25_afaf7586-66ac-412d-9de1-4c2909e1f8f2" xfId="31" xr:uid="{00000000-0005-0000-0000-000015000000}"/>
    <cellStyle name="MSTRStyle.Todos.c3_12fa68d3-c457-4d25-994e-10345e19d365" xfId="54" xr:uid="{AADFEBED-E0AA-44F6-928D-83E8D7C60954}"/>
    <cellStyle name="MSTRStyle.Todos.c3_643e75d5-5bb6-4a8f-a153-5b2cbad6ca42" xfId="25" xr:uid="{00000000-0005-0000-0000-000016000000}"/>
    <cellStyle name="MSTRStyle.Todos.c3_c7acf525-e5b5-4332-9962-8db109e784ea" xfId="42" xr:uid="{00000000-0005-0000-0000-000017000000}"/>
    <cellStyle name="MSTRStyle.Todos.c6_81bfd3a6-0f47-492d-bc49-79c4fbba0499" xfId="34" xr:uid="{00000000-0005-0000-0000-000018000000}"/>
    <cellStyle name="MSTRStyle.Todos.c7_03c312d0-6154-48f1-b89c-a4374d2ac33b" xfId="50" xr:uid="{6BBFE342-F0F2-48F2-9896-0157F62CAB84}"/>
    <cellStyle name="MSTRStyle.Todos.c7_3e22e94e-2e1a-4be3-9466-931f06a0e26e" xfId="30" xr:uid="{00000000-0005-0000-0000-000019000000}"/>
    <cellStyle name="MSTRStyle.Todos.c7_4be24ddf-a144-4ef7-aea0-57f6cd34329f" xfId="39" xr:uid="{00000000-0005-0000-0000-00001A000000}"/>
    <cellStyle name="MSTRStyle.Todos.c9_4640f619-39fa-4d3e-98e7-beb9e4e71513" xfId="53" xr:uid="{56729557-3780-46F1-A18D-DBCA35551066}"/>
    <cellStyle name="MSTRStyle.Todos.c9_5a51e594-f96b-4da2-8e95-9c20ffe12f9e" xfId="29" xr:uid="{00000000-0005-0000-0000-00001B000000}"/>
    <cellStyle name="MSTRStyle.Todos.cEF9EF78311EBE4B100000080EFC544CB_941934bb-17c9-4476-9644-f6ead735be79" xfId="49" xr:uid="{76DD4D36-5A03-4E73-B3A4-6DA9693F0638}"/>
    <cellStyle name="MSTRStyle.Todos.cEF9EFC7911EBE4B100000080EFC544CB_fada1520-e799-4241-8aee-b007ed03b5f8" xfId="51" xr:uid="{267C298B-0156-4CEE-9019-4AEB8EB4CEAB}"/>
    <cellStyle name="Normal" xfId="0" builtinId="0"/>
    <cellStyle name="Normal 10" xfId="47" xr:uid="{7058EDDB-2C98-440F-B7DB-70A68D35EAE7}"/>
    <cellStyle name="Normal 11" xfId="59" xr:uid="{58FEF1AE-EFAA-4806-BFE1-A7F55B564B3A}"/>
    <cellStyle name="Normal 2" xfId="4" xr:uid="{00000000-0005-0000-0000-00001D000000}"/>
    <cellStyle name="Normal 2 2" xfId="11" xr:uid="{00000000-0005-0000-0000-00001E000000}"/>
    <cellStyle name="Normal 2 2 2" xfId="16" xr:uid="{00000000-0005-0000-0000-00001F000000}"/>
    <cellStyle name="Normal 3" xfId="3" xr:uid="{00000000-0005-0000-0000-000020000000}"/>
    <cellStyle name="Normal 3 2" xfId="8" xr:uid="{00000000-0005-0000-0000-000021000000}"/>
    <cellStyle name="Normal 4" xfId="5" xr:uid="{00000000-0005-0000-0000-000022000000}"/>
    <cellStyle name="Normal 4 2" xfId="7" xr:uid="{00000000-0005-0000-0000-000023000000}"/>
    <cellStyle name="Normal 5" xfId="12" xr:uid="{00000000-0005-0000-0000-000024000000}"/>
    <cellStyle name="Normal 6" xfId="36" xr:uid="{00000000-0005-0000-0000-000025000000}"/>
    <cellStyle name="Normal 7" xfId="2" xr:uid="{00000000-0005-0000-0000-000026000000}"/>
    <cellStyle name="Normal 8" xfId="37" xr:uid="{00000000-0005-0000-0000-000027000000}"/>
    <cellStyle name="Normal 9" xfId="38" xr:uid="{00000000-0005-0000-0000-000028000000}"/>
    <cellStyle name="Normal_3 Regimen Ordinario" xfId="14" xr:uid="{00000000-0005-0000-0000-000029000000}"/>
    <cellStyle name="Normal_5 Regimen Especial" xfId="6" xr:uid="{00000000-0005-0000-0000-00002A000000}"/>
    <cellStyle name="Normal_A1 Comparacion Internacional" xfId="1" xr:uid="{00000000-0005-0000-0000-00002B000000}"/>
    <cellStyle name="Normal_cuadro 1.1 2" xfId="9" xr:uid="{00000000-0005-0000-0000-00002C000000}"/>
    <cellStyle name="Porcentaje" xfId="13" builtinId="5"/>
  </cellStyles>
  <dxfs count="3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1" defaultTableStyle="TableStyleMedium2" defaultPivotStyle="PivotStyleLight16">
    <tableStyle name="Invisible" pivot="0" table="0" count="0" xr9:uid="{8B45C24D-6D9C-48B0-A0AE-0CE8249880B0}"/>
  </tableStyles>
  <colors>
    <mruColors>
      <color rgb="FFED7D31"/>
      <color rgb="FF44B114"/>
      <color rgb="FF385723"/>
      <color rgb="FF004563"/>
      <color rgb="FFDAACA8"/>
      <color rgb="FF6FB114"/>
      <color rgb="FFCCCCFF"/>
      <color rgb="FFF5F5F5"/>
      <color rgb="FF92D050"/>
      <color rgb="FFE9DBE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007CF9"/>
              </a:solidFill>
            </c:spPr>
            <c:extLst>
              <c:ext xmlns:c16="http://schemas.microsoft.com/office/drawing/2014/chart" uri="{C3380CC4-5D6E-409C-BE32-E72D297353CC}">
                <c16:uniqueId val="{00000001-32E5-4465-9654-3942BDE5BA0E}"/>
              </c:ext>
            </c:extLst>
          </c:dPt>
          <c:dPt>
            <c:idx val="1"/>
            <c:bubble3D val="0"/>
            <c:spPr>
              <a:solidFill>
                <a:srgbClr val="464394"/>
              </a:solidFill>
            </c:spPr>
            <c:extLst>
              <c:ext xmlns:c16="http://schemas.microsoft.com/office/drawing/2014/chart" uri="{C3380CC4-5D6E-409C-BE32-E72D297353CC}">
                <c16:uniqueId val="{00000003-32E5-4465-9654-3942BDE5BA0E}"/>
              </c:ext>
            </c:extLst>
          </c:dPt>
          <c:dPt>
            <c:idx val="2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5-32E5-4465-9654-3942BDE5BA0E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32E5-4465-9654-3942BDE5BA0E}"/>
              </c:ext>
            </c:extLst>
          </c:dPt>
          <c:dPt>
            <c:idx val="4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09-32E5-4465-9654-3942BDE5BA0E}"/>
              </c:ext>
            </c:extLst>
          </c:dPt>
          <c:dPt>
            <c:idx val="6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D-32E5-4465-9654-3942BDE5BA0E}"/>
              </c:ext>
            </c:extLst>
          </c:dPt>
          <c:dPt>
            <c:idx val="7"/>
            <c:bubble3D val="0"/>
            <c:spPr>
              <a:solidFill>
                <a:srgbClr val="A0A0A0"/>
              </a:solidFill>
            </c:spPr>
            <c:extLst>
              <c:ext xmlns:c16="http://schemas.microsoft.com/office/drawing/2014/chart" uri="{C3380CC4-5D6E-409C-BE32-E72D297353CC}">
                <c16:uniqueId val="{0000000F-32E5-4465-9654-3942BDE5BA0E}"/>
              </c:ext>
            </c:extLst>
          </c:dPt>
          <c:dPt>
            <c:idx val="8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11-32E5-4465-9654-3942BDE5BA0E}"/>
              </c:ext>
            </c:extLst>
          </c:dPt>
          <c:dPt>
            <c:idx val="9"/>
            <c:bubble3D val="0"/>
            <c:spPr>
              <a:solidFill>
                <a:srgbClr val="0090D1"/>
              </a:solidFill>
            </c:spPr>
            <c:extLst>
              <c:ext xmlns:c16="http://schemas.microsoft.com/office/drawing/2014/chart" uri="{C3380CC4-5D6E-409C-BE32-E72D297353CC}">
                <c16:uniqueId val="{00000013-32E5-4465-9654-3942BDE5BA0E}"/>
              </c:ext>
            </c:extLst>
          </c:dPt>
          <c:dPt>
            <c:idx val="10"/>
            <c:bubble3D val="0"/>
            <c:spPr>
              <a:solidFill>
                <a:srgbClr val="ED7D31"/>
              </a:solidFill>
            </c:spPr>
            <c:extLst>
              <c:ext xmlns:c16="http://schemas.microsoft.com/office/drawing/2014/chart" uri="{C3380CC4-5D6E-409C-BE32-E72D297353CC}">
                <c16:uniqueId val="{00000015-32E5-4465-9654-3942BDE5BA0E}"/>
              </c:ext>
            </c:extLst>
          </c:dPt>
          <c:dPt>
            <c:idx val="11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7-32E5-4465-9654-3942BDE5BA0E}"/>
              </c:ext>
            </c:extLst>
          </c:dPt>
          <c:dPt>
            <c:idx val="12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7-DEA1-4204-95F8-0C8E2B877CE9}"/>
              </c:ext>
            </c:extLst>
          </c:dPt>
          <c:dLbls>
            <c:dLbl>
              <c:idx val="0"/>
              <c:layout>
                <c:manualLayout>
                  <c:x val="0.13333333333333333"/>
                  <c:y val="-0.1261485255519530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2E5-4465-9654-3942BDE5BA0E}"/>
                </c:ext>
              </c:extLst>
            </c:dLbl>
            <c:dLbl>
              <c:idx val="1"/>
              <c:layout>
                <c:manualLayout>
                  <c:x val="0.20162601626016249"/>
                  <c:y val="-5.228758169934640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2E5-4465-9654-3942BDE5BA0E}"/>
                </c:ext>
              </c:extLst>
            </c:dLbl>
            <c:dLbl>
              <c:idx val="2"/>
              <c:layout>
                <c:manualLayout>
                  <c:x val="0.21788617886178849"/>
                  <c:y val="1.307189542483660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84552845528455"/>
                      <c:h val="0.123320467294529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32E5-4465-9654-3942BDE5BA0E}"/>
                </c:ext>
              </c:extLst>
            </c:dLbl>
            <c:dLbl>
              <c:idx val="3"/>
              <c:layout>
                <c:manualLayout>
                  <c:x val="0.19186991869918699"/>
                  <c:y val="3.66013071895424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134959349593495"/>
                      <c:h val="0.1285492254644640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32E5-4465-9654-3942BDE5BA0E}"/>
                </c:ext>
              </c:extLst>
            </c:dLbl>
            <c:dLbl>
              <c:idx val="4"/>
              <c:layout>
                <c:manualLayout>
                  <c:x val="0.21138211382113808"/>
                  <c:y val="2.091503267973846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2E5-4465-9654-3942BDE5BA0E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2E5-4465-9654-3942BDE5BA0E}"/>
                </c:ext>
              </c:extLst>
            </c:dLbl>
            <c:dLbl>
              <c:idx val="6"/>
              <c:layout>
                <c:manualLayout>
                  <c:x val="0.18997486742728587"/>
                  <c:y val="0.1190291801760074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592684207157032"/>
                      <c:h val="0.118091709124594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32E5-4465-9654-3942BDE5BA0E}"/>
                </c:ext>
              </c:extLst>
            </c:dLbl>
            <c:dLbl>
              <c:idx val="7"/>
              <c:layout>
                <c:manualLayout>
                  <c:x val="0.13325367186244563"/>
                  <c:y val="0.2248366013071895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240650406504068"/>
                      <c:h val="0.118091709124594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32E5-4465-9654-3942BDE5BA0E}"/>
                </c:ext>
              </c:extLst>
            </c:dLbl>
            <c:dLbl>
              <c:idx val="8"/>
              <c:layout>
                <c:manualLayout>
                  <c:x val="-0.19837398373983736"/>
                  <c:y val="8.888888888888889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2E5-4465-9654-3942BDE5BA0E}"/>
                </c:ext>
              </c:extLst>
            </c:dLbl>
            <c:dLbl>
              <c:idx val="9"/>
              <c:layout>
                <c:manualLayout>
                  <c:x val="-0.18852303740778048"/>
                  <c:y val="4.763400751376677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249236702555037"/>
                      <c:h val="0.1715296587926509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32E5-4465-9654-3942BDE5BA0E}"/>
                </c:ext>
              </c:extLst>
            </c:dLbl>
            <c:dLbl>
              <c:idx val="10"/>
              <c:layout>
                <c:manualLayout>
                  <c:x val="-0.26829268292682928"/>
                  <c:y val="2.365086717101538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146354266692274"/>
                      <c:h val="0.123320467294529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5-32E5-4465-9654-3942BDE5BA0E}"/>
                </c:ext>
              </c:extLst>
            </c:dLbl>
            <c:dLbl>
              <c:idx val="11"/>
              <c:layout>
                <c:manualLayout>
                  <c:x val="-0.2861788617886179"/>
                  <c:y val="-3.848356955380577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03739837398374"/>
                      <c:h val="0.1341963254593175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7-32E5-4465-9654-3942BDE5BA0E}"/>
                </c:ext>
              </c:extLst>
            </c:dLbl>
            <c:dLbl>
              <c:idx val="12"/>
              <c:layout>
                <c:manualLayout>
                  <c:x val="-0.1804878048780488"/>
                  <c:y val="-0.1171241994750656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3541463414634148"/>
                      <c:h val="0.1661963254593175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7-DEA1-4204-95F8-0C8E2B877CE9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Dat_01!$A$33:$A$45</c:f>
              <c:strCache>
                <c:ptCount val="13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Fuel+gas</c:v>
                </c:pt>
                <c:pt idx="6">
                  <c:v>Residuos no renovables</c:v>
                </c:pt>
                <c:pt idx="7">
                  <c:v>Residuos renovables</c:v>
                </c:pt>
                <c:pt idx="8">
                  <c:v>Eólica</c:v>
                </c:pt>
                <c:pt idx="9">
                  <c:v>Hidráulica</c:v>
                </c:pt>
                <c:pt idx="10">
                  <c:v>Solar fotovoltaica</c:v>
                </c:pt>
                <c:pt idx="11">
                  <c:v>Solar térmica</c:v>
                </c:pt>
                <c:pt idx="12">
                  <c:v>Otras renovables</c:v>
                </c:pt>
              </c:strCache>
            </c:strRef>
          </c:cat>
          <c:val>
            <c:numRef>
              <c:f>Dat_01!$C$33:$C$45</c:f>
              <c:numCache>
                <c:formatCode>#,##0.0</c:formatCode>
                <c:ptCount val="13"/>
                <c:pt idx="0">
                  <c:v>2.8023213835388403</c:v>
                </c:pt>
                <c:pt idx="1">
                  <c:v>5.9869526204740202</c:v>
                </c:pt>
                <c:pt idx="2">
                  <c:v>1.5309343999538032</c:v>
                </c:pt>
                <c:pt idx="3">
                  <c:v>20.661038441095801</c:v>
                </c:pt>
                <c:pt idx="4">
                  <c:v>4.6548973220711058</c:v>
                </c:pt>
                <c:pt idx="5">
                  <c:v>6.6874152005564555E-3</c:v>
                </c:pt>
                <c:pt idx="6">
                  <c:v>0.32568847625517583</c:v>
                </c:pt>
                <c:pt idx="7">
                  <c:v>0.11072298670581698</c:v>
                </c:pt>
                <c:pt idx="8">
                  <c:v>25.476357197032467</c:v>
                </c:pt>
                <c:pt idx="9">
                  <c:v>14.380792638846938</c:v>
                </c:pt>
                <c:pt idx="10">
                  <c:v>21.210845800988395</c:v>
                </c:pt>
                <c:pt idx="11">
                  <c:v>1.9380995671043626</c:v>
                </c:pt>
                <c:pt idx="12">
                  <c:v>0.91466175073271228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32E5-4465-9654-3942BDE5BA0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9852622507025586"/>
          <c:w val="0.89139096346862223"/>
          <c:h val="0.67007523509679123"/>
        </c:manualLayout>
      </c:layout>
      <c:barChart>
        <c:barDir val="col"/>
        <c:grouping val="stacked"/>
        <c:varyColors val="0"/>
        <c:ser>
          <c:idx val="4"/>
          <c:order val="0"/>
          <c:tx>
            <c:strRef>
              <c:f>Dat_01!$A$143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007CF9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Dat_01!$B$143:$N$143</c:f>
              <c:numCache>
                <c:formatCode>#,##0.0</c:formatCode>
                <c:ptCount val="13"/>
                <c:pt idx="0">
                  <c:v>540.07979424799998</c:v>
                </c:pt>
                <c:pt idx="1">
                  <c:v>611.59025412400001</c:v>
                </c:pt>
                <c:pt idx="2">
                  <c:v>482.56337790999999</c:v>
                </c:pt>
                <c:pt idx="3">
                  <c:v>288.68313398599997</c:v>
                </c:pt>
                <c:pt idx="4">
                  <c:v>317.62358116000001</c:v>
                </c:pt>
                <c:pt idx="5">
                  <c:v>417.21605209199998</c:v>
                </c:pt>
                <c:pt idx="6">
                  <c:v>351.92025856800001</c:v>
                </c:pt>
                <c:pt idx="7">
                  <c:v>486.13972009100002</c:v>
                </c:pt>
                <c:pt idx="8">
                  <c:v>450.50809918800002</c:v>
                </c:pt>
                <c:pt idx="9">
                  <c:v>445.30388932199997</c:v>
                </c:pt>
                <c:pt idx="10">
                  <c:v>451.57611214299999</c:v>
                </c:pt>
                <c:pt idx="11">
                  <c:v>539.383918204</c:v>
                </c:pt>
                <c:pt idx="12">
                  <c:v>576.58255640799996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70-4BE9-B18B-1E29E3BE3F83}"/>
            </c:ext>
          </c:extLst>
        </c:ser>
        <c:ser>
          <c:idx val="2"/>
          <c:order val="1"/>
          <c:tx>
            <c:strRef>
              <c:f>Dat_01!$A$144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rgbClr val="464394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Dat_01!$B$144:$N$144</c:f>
              <c:numCache>
                <c:formatCode>#,##0.0</c:formatCode>
                <c:ptCount val="13"/>
                <c:pt idx="0">
                  <c:v>5102.2896650000002</c:v>
                </c:pt>
                <c:pt idx="1">
                  <c:v>4567.2530120000001</c:v>
                </c:pt>
                <c:pt idx="2">
                  <c:v>3741.7683910000001</c:v>
                </c:pt>
                <c:pt idx="3">
                  <c:v>4008.7212100000002</c:v>
                </c:pt>
                <c:pt idx="4">
                  <c:v>5123.1471769999998</c:v>
                </c:pt>
                <c:pt idx="5">
                  <c:v>5008.274547</c:v>
                </c:pt>
                <c:pt idx="6">
                  <c:v>4546.8185190000004</c:v>
                </c:pt>
                <c:pt idx="7">
                  <c:v>3741.7340180000001</c:v>
                </c:pt>
                <c:pt idx="8">
                  <c:v>3761.317407</c:v>
                </c:pt>
                <c:pt idx="9">
                  <c:v>4990.0784999999996</c:v>
                </c:pt>
                <c:pt idx="10">
                  <c:v>5160.8013369999999</c:v>
                </c:pt>
                <c:pt idx="11">
                  <c:v>4509.5937249999997</c:v>
                </c:pt>
                <c:pt idx="12">
                  <c:v>3470.760636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70-4BE9-B18B-1E29E3BE3F83}"/>
            </c:ext>
          </c:extLst>
        </c:ser>
        <c:ser>
          <c:idx val="0"/>
          <c:order val="2"/>
          <c:tx>
            <c:strRef>
              <c:f>Dat_01!$A$145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Dat_01!$B$145:$N$145</c:f>
              <c:numCache>
                <c:formatCode>#,##0.0</c:formatCode>
                <c:ptCount val="13"/>
                <c:pt idx="0">
                  <c:v>424.61757399999999</c:v>
                </c:pt>
                <c:pt idx="1">
                  <c:v>250.49709999999999</c:v>
                </c:pt>
                <c:pt idx="2">
                  <c:v>240.394893</c:v>
                </c:pt>
                <c:pt idx="3">
                  <c:v>297.64954599999999</c:v>
                </c:pt>
                <c:pt idx="4">
                  <c:v>278.085915</c:v>
                </c:pt>
                <c:pt idx="5">
                  <c:v>405.98407800000001</c:v>
                </c:pt>
                <c:pt idx="6">
                  <c:v>401.51815299999998</c:v>
                </c:pt>
                <c:pt idx="7">
                  <c:v>373.47347600000001</c:v>
                </c:pt>
                <c:pt idx="8">
                  <c:v>221.507746</c:v>
                </c:pt>
                <c:pt idx="9">
                  <c:v>212.48337599999999</c:v>
                </c:pt>
                <c:pt idx="10">
                  <c:v>268.85188900000003</c:v>
                </c:pt>
                <c:pt idx="11">
                  <c:v>206.83761699999999</c:v>
                </c:pt>
                <c:pt idx="12">
                  <c:v>209.65913499999999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E70-4BE9-B18B-1E29E3BE3F83}"/>
            </c:ext>
          </c:extLst>
        </c:ser>
        <c:ser>
          <c:idx val="1"/>
          <c:order val="3"/>
          <c:tx>
            <c:strRef>
              <c:f>Dat_01!$A$146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C66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Dat_01!$B$146:$N$146</c:f>
              <c:numCache>
                <c:formatCode>#,##0.0</c:formatCode>
                <c:ptCount val="13"/>
                <c:pt idx="0">
                  <c:v>2596.2711089999998</c:v>
                </c:pt>
                <c:pt idx="1">
                  <c:v>2387.6938829999999</c:v>
                </c:pt>
                <c:pt idx="2">
                  <c:v>2826.458556</c:v>
                </c:pt>
                <c:pt idx="3">
                  <c:v>4052.7489780000001</c:v>
                </c:pt>
                <c:pt idx="4">
                  <c:v>4383.6223309999996</c:v>
                </c:pt>
                <c:pt idx="5">
                  <c:v>4368.1142330000002</c:v>
                </c:pt>
                <c:pt idx="6">
                  <c:v>4240.7922829999998</c:v>
                </c:pt>
                <c:pt idx="7">
                  <c:v>3454.1032340000002</c:v>
                </c:pt>
                <c:pt idx="8">
                  <c:v>2337.3704469999998</c:v>
                </c:pt>
                <c:pt idx="9">
                  <c:v>2614.9533230000002</c:v>
                </c:pt>
                <c:pt idx="10">
                  <c:v>2758.3653610000001</c:v>
                </c:pt>
                <c:pt idx="11">
                  <c:v>1582.038761</c:v>
                </c:pt>
                <c:pt idx="12">
                  <c:v>1658.3286880000001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E70-4BE9-B18B-1E29E3BE3F83}"/>
            </c:ext>
          </c:extLst>
        </c:ser>
        <c:ser>
          <c:idx val="5"/>
          <c:order val="4"/>
          <c:tx>
            <c:strRef>
              <c:f>Dat_01!$A$151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Dat_01!$B$151:$N$151</c:f>
              <c:numCache>
                <c:formatCode>#,##0.0</c:formatCode>
                <c:ptCount val="13"/>
                <c:pt idx="0">
                  <c:v>1726.7644049999999</c:v>
                </c:pt>
                <c:pt idx="1">
                  <c:v>1572.4450019999999</c:v>
                </c:pt>
                <c:pt idx="2">
                  <c:v>1702.635225</c:v>
                </c:pt>
                <c:pt idx="3">
                  <c:v>1724.8432869999999</c:v>
                </c:pt>
                <c:pt idx="4">
                  <c:v>1477.1990989999999</c:v>
                </c:pt>
                <c:pt idx="5">
                  <c:v>1302.218576</c:v>
                </c:pt>
                <c:pt idx="6">
                  <c:v>1430.8498970000001</c:v>
                </c:pt>
                <c:pt idx="7">
                  <c:v>1244.633681</c:v>
                </c:pt>
                <c:pt idx="8">
                  <c:v>964.46819100000005</c:v>
                </c:pt>
                <c:pt idx="9">
                  <c:v>1180.951693</c:v>
                </c:pt>
                <c:pt idx="10">
                  <c:v>1694.552316</c:v>
                </c:pt>
                <c:pt idx="11">
                  <c:v>1363.1187210000001</c:v>
                </c:pt>
                <c:pt idx="12">
                  <c:v>1165.9289080000001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E70-4BE9-B18B-1E29E3BE3F83}"/>
            </c:ext>
          </c:extLst>
        </c:ser>
        <c:ser>
          <c:idx val="3"/>
          <c:order val="5"/>
          <c:tx>
            <c:strRef>
              <c:f>Dat_01!$A$152</c:f>
              <c:strCache>
                <c:ptCount val="1"/>
                <c:pt idx="0">
                  <c:v>Residuos no renovables</c:v>
                </c:pt>
              </c:strCache>
            </c:strRef>
          </c:tx>
          <c:spPr>
            <a:solidFill>
              <a:srgbClr val="666666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Dat_01!$B$152:$N$152</c:f>
              <c:numCache>
                <c:formatCode>#,##0.0</c:formatCode>
                <c:ptCount val="13"/>
                <c:pt idx="0">
                  <c:v>110.360659</c:v>
                </c:pt>
                <c:pt idx="1">
                  <c:v>80.064349500000006</c:v>
                </c:pt>
                <c:pt idx="2">
                  <c:v>58.672222499999997</c:v>
                </c:pt>
                <c:pt idx="3">
                  <c:v>106.86346</c:v>
                </c:pt>
                <c:pt idx="4">
                  <c:v>113.404867</c:v>
                </c:pt>
                <c:pt idx="5">
                  <c:v>104.296549</c:v>
                </c:pt>
                <c:pt idx="6">
                  <c:v>106.0009465</c:v>
                </c:pt>
                <c:pt idx="7">
                  <c:v>108.36413899999999</c:v>
                </c:pt>
                <c:pt idx="8">
                  <c:v>89.150436999999997</c:v>
                </c:pt>
                <c:pt idx="9">
                  <c:v>102.220887</c:v>
                </c:pt>
                <c:pt idx="10">
                  <c:v>95.291753499999999</c:v>
                </c:pt>
                <c:pt idx="11">
                  <c:v>79.311832999999993</c:v>
                </c:pt>
                <c:pt idx="12">
                  <c:v>59.9403875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E70-4BE9-B18B-1E29E3BE3F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90943288"/>
        <c:axId val="690943680"/>
      </c:barChart>
      <c:catAx>
        <c:axId val="6909432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91793984487198343"/>
              <c:y val="0.936134907724122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3680"/>
        <c:crosses val="autoZero"/>
        <c:auto val="1"/>
        <c:lblAlgn val="ctr"/>
        <c:lblOffset val="100"/>
        <c:noMultiLvlLbl val="1"/>
      </c:catAx>
      <c:valAx>
        <c:axId val="690943680"/>
        <c:scaling>
          <c:orientation val="minMax"/>
          <c:max val="160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3.0705323611924532E-2"/>
              <c:y val="7.743627490397164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3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4101736308540291"/>
          <c:y val="3.1421838177533384E-2"/>
          <c:w val="0.81495555479072734"/>
          <c:h val="6.13580927926476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31300862004442E-2"/>
          <c:y val="0.18352005286750084"/>
          <c:w val="0.87861960913213566"/>
          <c:h val="0.70602926415670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Dat_01!$W$178</c:f>
              <c:strCache>
                <c:ptCount val="1"/>
                <c:pt idx="0">
                  <c:v>Generación eólica (GWh)</c:v>
                </c:pt>
              </c:strCache>
            </c:strRef>
          </c:tx>
          <c:spPr>
            <a:solidFill>
              <a:srgbClr val="44B114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C86-462B-82E6-5CB9BA0106B9}"/>
              </c:ext>
            </c:extLst>
          </c:dPt>
          <c:dPt>
            <c:idx val="1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6-FBE1-4447-9B95-6E000051BCCC}"/>
              </c:ext>
            </c:extLst>
          </c:dPt>
          <c:dPt>
            <c:idx val="4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2E9B-4267-9522-A9849656F051}"/>
              </c:ext>
            </c:extLst>
          </c:dPt>
          <c:dPt>
            <c:idx val="5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C86-462B-82E6-5CB9BA0106B9}"/>
              </c:ext>
            </c:extLst>
          </c:dPt>
          <c:dPt>
            <c:idx val="6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9-501F-43D6-B603-8EF2A12A26AE}"/>
              </c:ext>
            </c:extLst>
          </c:dPt>
          <c:dPt>
            <c:idx val="7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DA66-4769-BDF5-E92B1CE694E7}"/>
              </c:ext>
            </c:extLst>
          </c:dPt>
          <c:dPt>
            <c:idx val="8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C-4E5B-4A73-9497-A98ABCECEEB9}"/>
              </c:ext>
            </c:extLst>
          </c:dPt>
          <c:dPt>
            <c:idx val="9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C86-462B-82E6-5CB9BA0106B9}"/>
              </c:ext>
            </c:extLst>
          </c:dPt>
          <c:dPt>
            <c:idx val="11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2-8111-4A0E-B83D-1544EFB4B877}"/>
              </c:ext>
            </c:extLst>
          </c:dPt>
          <c:dPt>
            <c:idx val="12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C86-462B-82E6-5CB9BA0106B9}"/>
              </c:ext>
            </c:extLst>
          </c:dPt>
          <c:dPt>
            <c:idx val="13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8C86-462B-82E6-5CB9BA0106B9}"/>
              </c:ext>
            </c:extLst>
          </c:dPt>
          <c:dPt>
            <c:idx val="14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4-6080-43E7-A08E-993CB70CAE32}"/>
              </c:ext>
            </c:extLst>
          </c:dPt>
          <c:dPt>
            <c:idx val="15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8-77D3-414D-8244-F92ABFF5E3CB}"/>
              </c:ext>
            </c:extLst>
          </c:dPt>
          <c:dPt>
            <c:idx val="16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7-C8E6-4771-8112-A943A5618A71}"/>
              </c:ext>
            </c:extLst>
          </c:dPt>
          <c:dPt>
            <c:idx val="17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8C86-462B-82E6-5CB9BA0106B9}"/>
              </c:ext>
            </c:extLst>
          </c:dPt>
          <c:dPt>
            <c:idx val="18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D-1DB4-4D92-8E0D-9BF0ECF73E5F}"/>
              </c:ext>
            </c:extLst>
          </c:dPt>
          <c:dPt>
            <c:idx val="19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E-258D-4659-BF57-5B540963CCB1}"/>
              </c:ext>
            </c:extLst>
          </c:dPt>
          <c:dPt>
            <c:idx val="20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2-9A30-4373-86F0-F15C2256BC81}"/>
              </c:ext>
            </c:extLst>
          </c:dPt>
          <c:dPt>
            <c:idx val="21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F-3F99-419E-9E3F-9AEF48F7099D}"/>
              </c:ext>
            </c:extLst>
          </c:dPt>
          <c:dPt>
            <c:idx val="22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8C86-462B-82E6-5CB9BA0106B9}"/>
              </c:ext>
            </c:extLst>
          </c:dPt>
          <c:dPt>
            <c:idx val="23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8C86-462B-82E6-5CB9BA0106B9}"/>
              </c:ext>
            </c:extLst>
          </c:dPt>
          <c:dPt>
            <c:idx val="24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8C86-462B-82E6-5CB9BA0106B9}"/>
              </c:ext>
            </c:extLst>
          </c:dPt>
          <c:dPt>
            <c:idx val="25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B-1C2A-4BA6-9C88-854F59B3A1E3}"/>
              </c:ext>
            </c:extLst>
          </c:dPt>
          <c:dPt>
            <c:idx val="26"/>
            <c:invertIfNegative val="0"/>
            <c:bubble3D val="0"/>
            <c:spPr>
              <a:solidFill>
                <a:srgbClr val="38572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A-394B-47E8-B370-D3A158253148}"/>
              </c:ext>
            </c:extLst>
          </c:dPt>
          <c:dPt>
            <c:idx val="27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8-059D-47D1-ACBC-CCEF7EE67987}"/>
              </c:ext>
            </c:extLst>
          </c:dPt>
          <c:dPt>
            <c:idx val="28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0-9F42-499E-B56F-D4242A9F9E6F}"/>
              </c:ext>
            </c:extLst>
          </c:dPt>
          <c:cat>
            <c:numRef>
              <c:f>[0]!Eol_Fechas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Dat_01!$W$180:$W$210</c:f>
              <c:numCache>
                <c:formatCode>0_)</c:formatCode>
                <c:ptCount val="31"/>
                <c:pt idx="0">
                  <c:v>302.524857</c:v>
                </c:pt>
                <c:pt idx="1">
                  <c:v>308.22680099999997</c:v>
                </c:pt>
                <c:pt idx="2">
                  <c:v>270.08899099999996</c:v>
                </c:pt>
                <c:pt idx="3">
                  <c:v>301.84651700000001</c:v>
                </c:pt>
                <c:pt idx="4">
                  <c:v>139.309166</c:v>
                </c:pt>
                <c:pt idx="5">
                  <c:v>73.999161999999998</c:v>
                </c:pt>
                <c:pt idx="6">
                  <c:v>286.18137800000005</c:v>
                </c:pt>
                <c:pt idx="7">
                  <c:v>299.56321100000002</c:v>
                </c:pt>
                <c:pt idx="8">
                  <c:v>290.76631699999996</c:v>
                </c:pt>
                <c:pt idx="9">
                  <c:v>246.96331599999999</c:v>
                </c:pt>
                <c:pt idx="10">
                  <c:v>230.55006400000002</c:v>
                </c:pt>
                <c:pt idx="11">
                  <c:v>92.597411999999991</c:v>
                </c:pt>
                <c:pt idx="12">
                  <c:v>76.561442</c:v>
                </c:pt>
                <c:pt idx="13">
                  <c:v>155.15884199999999</c:v>
                </c:pt>
                <c:pt idx="14">
                  <c:v>123.780681</c:v>
                </c:pt>
                <c:pt idx="15">
                  <c:v>93.912283000000002</c:v>
                </c:pt>
                <c:pt idx="16">
                  <c:v>83.048638000000011</c:v>
                </c:pt>
                <c:pt idx="17">
                  <c:v>35.144297000000002</c:v>
                </c:pt>
                <c:pt idx="18">
                  <c:v>41.812383000000004</c:v>
                </c:pt>
                <c:pt idx="19">
                  <c:v>127.50763400000001</c:v>
                </c:pt>
                <c:pt idx="20">
                  <c:v>187.28439699999998</c:v>
                </c:pt>
                <c:pt idx="21">
                  <c:v>133.137472</c:v>
                </c:pt>
                <c:pt idx="22">
                  <c:v>252.14781299999999</c:v>
                </c:pt>
                <c:pt idx="23">
                  <c:v>191.59177199999999</c:v>
                </c:pt>
                <c:pt idx="24">
                  <c:v>194.72767999999999</c:v>
                </c:pt>
                <c:pt idx="25">
                  <c:v>258.82985000000002</c:v>
                </c:pt>
                <c:pt idx="26">
                  <c:v>330.57490799999999</c:v>
                </c:pt>
                <c:pt idx="27">
                  <c:v>291.58597100000003</c:v>
                </c:pt>
                <c:pt idx="28">
                  <c:v>207.19015400000001</c:v>
                </c:pt>
                <c:pt idx="29">
                  <c:v>184.87734599999999</c:v>
                </c:pt>
                <c:pt idx="30">
                  <c:v>225.72189900000001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8C86-462B-82E6-5CB9BA0106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0944464"/>
        <c:axId val="690944856"/>
      </c:barChart>
      <c:lineChart>
        <c:grouping val="standard"/>
        <c:varyColors val="0"/>
        <c:ser>
          <c:idx val="1"/>
          <c:order val="1"/>
          <c:tx>
            <c:strRef>
              <c:f>Dat_01!$V$178</c:f>
              <c:strCache>
                <c:ptCount val="1"/>
                <c:pt idx="0">
                  <c:v>Generación eólica/Generación (%)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[0]!Eol_Fechas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[0]!Eol_Porcentaje</c:f>
              <c:numCache>
                <c:formatCode>0.0_)</c:formatCode>
                <c:ptCount val="31"/>
                <c:pt idx="0">
                  <c:v>37.911733009489694</c:v>
                </c:pt>
                <c:pt idx="1">
                  <c:v>44.042935842295414</c:v>
                </c:pt>
                <c:pt idx="2">
                  <c:v>38.515398099984402</c:v>
                </c:pt>
                <c:pt idx="3">
                  <c:v>41.444130259049942</c:v>
                </c:pt>
                <c:pt idx="4">
                  <c:v>19.297256529409879</c:v>
                </c:pt>
                <c:pt idx="5">
                  <c:v>10.664347117708116</c:v>
                </c:pt>
                <c:pt idx="6">
                  <c:v>37.805954767838642</c:v>
                </c:pt>
                <c:pt idx="7">
                  <c:v>39.393047615207507</c:v>
                </c:pt>
                <c:pt idx="8">
                  <c:v>42.002891828173766</c:v>
                </c:pt>
                <c:pt idx="9">
                  <c:v>38.43376495018326</c:v>
                </c:pt>
                <c:pt idx="10">
                  <c:v>31.552332011231996</c:v>
                </c:pt>
                <c:pt idx="11">
                  <c:v>13.395743641941596</c:v>
                </c:pt>
                <c:pt idx="12">
                  <c:v>11.245819420282679</c:v>
                </c:pt>
                <c:pt idx="13">
                  <c:v>22.193123432300311</c:v>
                </c:pt>
                <c:pt idx="14">
                  <c:v>18.337414324650815</c:v>
                </c:pt>
                <c:pt idx="15">
                  <c:v>14.75201015494445</c:v>
                </c:pt>
                <c:pt idx="16">
                  <c:v>13.179934952452143</c:v>
                </c:pt>
                <c:pt idx="17">
                  <c:v>5.6058973392273312</c:v>
                </c:pt>
                <c:pt idx="18">
                  <c:v>6.2998755809679272</c:v>
                </c:pt>
                <c:pt idx="19">
                  <c:v>18.5570034283671</c:v>
                </c:pt>
                <c:pt idx="20">
                  <c:v>26.856198204914239</c:v>
                </c:pt>
                <c:pt idx="21">
                  <c:v>20.181367719413853</c:v>
                </c:pt>
                <c:pt idx="22">
                  <c:v>37.645016574584041</c:v>
                </c:pt>
                <c:pt idx="23">
                  <c:v>32.098560996412722</c:v>
                </c:pt>
                <c:pt idx="24">
                  <c:v>28.941729749372207</c:v>
                </c:pt>
                <c:pt idx="25">
                  <c:v>34.627045039773954</c:v>
                </c:pt>
                <c:pt idx="26">
                  <c:v>45.092182444428509</c:v>
                </c:pt>
                <c:pt idx="27">
                  <c:v>41.944872544120059</c:v>
                </c:pt>
                <c:pt idx="28">
                  <c:v>32.050109485015106</c:v>
                </c:pt>
                <c:pt idx="29">
                  <c:v>29.201126937359707</c:v>
                </c:pt>
                <c:pt idx="30">
                  <c:v>36.614196786458812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8C86-462B-82E6-5CB9BA0106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0945640"/>
        <c:axId val="690945248"/>
      </c:lineChart>
      <c:catAx>
        <c:axId val="6909444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4856"/>
        <c:crosses val="autoZero"/>
        <c:auto val="0"/>
        <c:lblAlgn val="ctr"/>
        <c:lblOffset val="100"/>
        <c:noMultiLvlLbl val="0"/>
      </c:catAx>
      <c:valAx>
        <c:axId val="690944856"/>
        <c:scaling>
          <c:orientation val="minMax"/>
          <c:max val="6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9.0309775329189806E-3"/>
              <c:y val="7.943508249117316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0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4464"/>
        <c:crosses val="autoZero"/>
        <c:crossBetween val="between"/>
      </c:valAx>
      <c:valAx>
        <c:axId val="690945248"/>
        <c:scaling>
          <c:orientation val="minMax"/>
          <c:max val="6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%</a:t>
                </a:r>
              </a:p>
            </c:rich>
          </c:tx>
          <c:layout>
            <c:manualLayout>
              <c:xMode val="edge"/>
              <c:yMode val="edge"/>
              <c:x val="0.94435111644215319"/>
              <c:y val="7.151742611745978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5640"/>
        <c:crosses val="max"/>
        <c:crossBetween val="between"/>
      </c:valAx>
      <c:catAx>
        <c:axId val="690945640"/>
        <c:scaling>
          <c:orientation val="minMax"/>
        </c:scaling>
        <c:delete val="1"/>
        <c:axPos val="b"/>
        <c:numFmt formatCode="0_)" sourceLinked="1"/>
        <c:majorTickMark val="out"/>
        <c:minorTickMark val="none"/>
        <c:tickLblPos val="nextTo"/>
        <c:crossAx val="690945248"/>
        <c:crosses val="autoZero"/>
        <c:auto val="0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6704125549645195"/>
          <c:y val="3.6949063077329113E-2"/>
          <c:w val="0.56574580087988746"/>
          <c:h val="7.83615230993987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790633608815426E-2"/>
          <c:y val="6.4971625915181658E-2"/>
          <c:w val="0.89118457300275478"/>
          <c:h val="0.74282612579186769"/>
        </c:manualLayout>
      </c:layout>
      <c:areaChart>
        <c:grouping val="standard"/>
        <c:varyColors val="0"/>
        <c:ser>
          <c:idx val="1"/>
          <c:order val="0"/>
          <c:tx>
            <c:v>HUMEDO</c:v>
          </c:tx>
          <c:spPr>
            <a:solidFill>
              <a:srgbClr val="008000"/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'Data 4'!$F$2:$G$761</c:f>
              <c:multiLvlStrCache>
                <c:ptCount val="746"/>
                <c:lvl>
                  <c:pt idx="14">
                    <c:v>M</c:v>
                  </c:pt>
                  <c:pt idx="45">
                    <c:v>A</c:v>
                  </c:pt>
                  <c:pt idx="75">
                    <c:v>M</c:v>
                  </c:pt>
                  <c:pt idx="106">
                    <c:v>J</c:v>
                  </c:pt>
                  <c:pt idx="136">
                    <c:v>J</c:v>
                  </c:pt>
                  <c:pt idx="167">
                    <c:v>A</c:v>
                  </c:pt>
                  <c:pt idx="198">
                    <c:v>S</c:v>
                  </c:pt>
                  <c:pt idx="228">
                    <c:v>O</c:v>
                  </c:pt>
                  <c:pt idx="259">
                    <c:v>N</c:v>
                  </c:pt>
                  <c:pt idx="289">
                    <c:v>D</c:v>
                  </c:pt>
                  <c:pt idx="320">
                    <c:v>E</c:v>
                  </c:pt>
                  <c:pt idx="351">
                    <c:v>F</c:v>
                  </c:pt>
                  <c:pt idx="379">
                    <c:v>M</c:v>
                  </c:pt>
                  <c:pt idx="410">
                    <c:v>A</c:v>
                  </c:pt>
                  <c:pt idx="440">
                    <c:v>M</c:v>
                  </c:pt>
                  <c:pt idx="471">
                    <c:v>J</c:v>
                  </c:pt>
                  <c:pt idx="501">
                    <c:v>J</c:v>
                  </c:pt>
                  <c:pt idx="532">
                    <c:v>A</c:v>
                  </c:pt>
                  <c:pt idx="563">
                    <c:v>S</c:v>
                  </c:pt>
                  <c:pt idx="593">
                    <c:v>O</c:v>
                  </c:pt>
                  <c:pt idx="624">
                    <c:v>N</c:v>
                  </c:pt>
                  <c:pt idx="654">
                    <c:v>D</c:v>
                  </c:pt>
                  <c:pt idx="685">
                    <c:v>E</c:v>
                  </c:pt>
                  <c:pt idx="716">
                    <c:v>F</c:v>
                  </c:pt>
                  <c:pt idx="745">
                    <c:v>M</c:v>
                  </c:pt>
                </c:lvl>
                <c:lvl>
                  <c:pt idx="0">
                    <c:v>2022</c:v>
                  </c:pt>
                  <c:pt idx="306">
                    <c:v>2023</c:v>
                  </c:pt>
                  <c:pt idx="671">
                    <c:v>2024</c:v>
                  </c:pt>
                </c:lvl>
              </c:multiLvlStrCache>
            </c:multiLvlStrRef>
          </c:cat>
          <c:val>
            <c:numRef>
              <c:f>'Data 4'!$C$2:$C$761</c:f>
              <c:numCache>
                <c:formatCode>#,##0</c:formatCode>
                <c:ptCount val="760"/>
                <c:pt idx="0">
                  <c:v>123.076035</c:v>
                </c:pt>
                <c:pt idx="1">
                  <c:v>183.63743299999999</c:v>
                </c:pt>
                <c:pt idx="2">
                  <c:v>179.32466500000001</c:v>
                </c:pt>
                <c:pt idx="3">
                  <c:v>292.31094100000001</c:v>
                </c:pt>
                <c:pt idx="4">
                  <c:v>162.934877</c:v>
                </c:pt>
                <c:pt idx="5">
                  <c:v>130.44913199999999</c:v>
                </c:pt>
                <c:pt idx="6">
                  <c:v>102.770679</c:v>
                </c:pt>
                <c:pt idx="7">
                  <c:v>168.05848699999999</c:v>
                </c:pt>
                <c:pt idx="8">
                  <c:v>159.07691999999997</c:v>
                </c:pt>
                <c:pt idx="9">
                  <c:v>200.95546599999997</c:v>
                </c:pt>
                <c:pt idx="10">
                  <c:v>249.45703199999997</c:v>
                </c:pt>
                <c:pt idx="11">
                  <c:v>232.19109800000001</c:v>
                </c:pt>
                <c:pt idx="12">
                  <c:v>162.96980499999998</c:v>
                </c:pt>
                <c:pt idx="13">
                  <c:v>357.43958999999995</c:v>
                </c:pt>
                <c:pt idx="14">
                  <c:v>324.42632000000003</c:v>
                </c:pt>
                <c:pt idx="15">
                  <c:v>205.35807499999999</c:v>
                </c:pt>
                <c:pt idx="16">
                  <c:v>392.84091699999999</c:v>
                </c:pt>
                <c:pt idx="17">
                  <c:v>202.779516</c:v>
                </c:pt>
                <c:pt idx="18">
                  <c:v>138.54991699999999</c:v>
                </c:pt>
                <c:pt idx="19">
                  <c:v>238.58092800000003</c:v>
                </c:pt>
                <c:pt idx="20">
                  <c:v>284.60412500000001</c:v>
                </c:pt>
                <c:pt idx="21">
                  <c:v>306.63833500000004</c:v>
                </c:pt>
                <c:pt idx="22">
                  <c:v>278.91939000000002</c:v>
                </c:pt>
                <c:pt idx="23">
                  <c:v>226.11690900000002</c:v>
                </c:pt>
                <c:pt idx="24">
                  <c:v>186.887046</c:v>
                </c:pt>
                <c:pt idx="25">
                  <c:v>115.53608800000001</c:v>
                </c:pt>
                <c:pt idx="26">
                  <c:v>115.393586</c:v>
                </c:pt>
                <c:pt idx="27">
                  <c:v>172.72798699999998</c:v>
                </c:pt>
                <c:pt idx="28">
                  <c:v>64.640241000000003</c:v>
                </c:pt>
                <c:pt idx="29">
                  <c:v>184.66533900000002</c:v>
                </c:pt>
                <c:pt idx="30">
                  <c:v>308.63236999999998</c:v>
                </c:pt>
                <c:pt idx="31">
                  <c:v>327.848207</c:v>
                </c:pt>
                <c:pt idx="32">
                  <c:v>259.57246299999997</c:v>
                </c:pt>
                <c:pt idx="33">
                  <c:v>247.549204</c:v>
                </c:pt>
                <c:pt idx="34">
                  <c:v>298.96183399999995</c:v>
                </c:pt>
                <c:pt idx="35">
                  <c:v>180.016738</c:v>
                </c:pt>
                <c:pt idx="36">
                  <c:v>140.25377900000001</c:v>
                </c:pt>
                <c:pt idx="37">
                  <c:v>291.23127199999999</c:v>
                </c:pt>
                <c:pt idx="38">
                  <c:v>340.73474699999997</c:v>
                </c:pt>
                <c:pt idx="39">
                  <c:v>143.24871599999997</c:v>
                </c:pt>
                <c:pt idx="40">
                  <c:v>188.628028</c:v>
                </c:pt>
                <c:pt idx="41">
                  <c:v>342.304621</c:v>
                </c:pt>
                <c:pt idx="42">
                  <c:v>172.513589</c:v>
                </c:pt>
                <c:pt idx="43">
                  <c:v>115.37458000000001</c:v>
                </c:pt>
                <c:pt idx="44">
                  <c:v>111.75668899999999</c:v>
                </c:pt>
                <c:pt idx="45">
                  <c:v>61.966009</c:v>
                </c:pt>
                <c:pt idx="46">
                  <c:v>139.814052</c:v>
                </c:pt>
                <c:pt idx="47">
                  <c:v>123.50425800000001</c:v>
                </c:pt>
                <c:pt idx="48">
                  <c:v>169.95030299999999</c:v>
                </c:pt>
                <c:pt idx="49">
                  <c:v>242.46552300000002</c:v>
                </c:pt>
                <c:pt idx="50">
                  <c:v>341.66328000000004</c:v>
                </c:pt>
                <c:pt idx="51">
                  <c:v>218.94234700000001</c:v>
                </c:pt>
                <c:pt idx="52">
                  <c:v>178.854511</c:v>
                </c:pt>
                <c:pt idx="53">
                  <c:v>347.51635900000002</c:v>
                </c:pt>
                <c:pt idx="54">
                  <c:v>169.876394</c:v>
                </c:pt>
                <c:pt idx="55">
                  <c:v>33.183503999999999</c:v>
                </c:pt>
                <c:pt idx="56">
                  <c:v>64.831130000000002</c:v>
                </c:pt>
                <c:pt idx="57">
                  <c:v>42.717091000000003</c:v>
                </c:pt>
                <c:pt idx="58">
                  <c:v>83.537083999999993</c:v>
                </c:pt>
                <c:pt idx="59">
                  <c:v>76.722093000000001</c:v>
                </c:pt>
                <c:pt idx="60">
                  <c:v>120.190377</c:v>
                </c:pt>
                <c:pt idx="61">
                  <c:v>96.096043999999992</c:v>
                </c:pt>
                <c:pt idx="62">
                  <c:v>153.68695600000001</c:v>
                </c:pt>
                <c:pt idx="63">
                  <c:v>180.776242</c:v>
                </c:pt>
                <c:pt idx="64">
                  <c:v>173.42337999999998</c:v>
                </c:pt>
                <c:pt idx="65">
                  <c:v>199.22137499999999</c:v>
                </c:pt>
                <c:pt idx="66">
                  <c:v>227.35883999999999</c:v>
                </c:pt>
                <c:pt idx="67">
                  <c:v>149.83393699999999</c:v>
                </c:pt>
                <c:pt idx="68">
                  <c:v>96.709091000000001</c:v>
                </c:pt>
                <c:pt idx="69">
                  <c:v>59.726546999999997</c:v>
                </c:pt>
                <c:pt idx="70">
                  <c:v>78.450384</c:v>
                </c:pt>
                <c:pt idx="71">
                  <c:v>124.94933999999999</c:v>
                </c:pt>
                <c:pt idx="72">
                  <c:v>131.41469699999999</c:v>
                </c:pt>
                <c:pt idx="73">
                  <c:v>50.087854</c:v>
                </c:pt>
                <c:pt idx="74">
                  <c:v>107.470359</c:v>
                </c:pt>
                <c:pt idx="75">
                  <c:v>199.488372</c:v>
                </c:pt>
                <c:pt idx="76">
                  <c:v>122.860924</c:v>
                </c:pt>
                <c:pt idx="77">
                  <c:v>106.02160799999999</c:v>
                </c:pt>
                <c:pt idx="78">
                  <c:v>111.491327</c:v>
                </c:pt>
                <c:pt idx="79">
                  <c:v>188.84224900000001</c:v>
                </c:pt>
                <c:pt idx="80">
                  <c:v>205.51184099999998</c:v>
                </c:pt>
                <c:pt idx="81">
                  <c:v>170.17882900000001</c:v>
                </c:pt>
                <c:pt idx="82">
                  <c:v>151.68245999999999</c:v>
                </c:pt>
                <c:pt idx="83">
                  <c:v>167.328677</c:v>
                </c:pt>
                <c:pt idx="84">
                  <c:v>194.85888800000001</c:v>
                </c:pt>
                <c:pt idx="85">
                  <c:v>233.46403999999998</c:v>
                </c:pt>
                <c:pt idx="86">
                  <c:v>251.711321</c:v>
                </c:pt>
                <c:pt idx="87">
                  <c:v>223.38259999999997</c:v>
                </c:pt>
                <c:pt idx="88">
                  <c:v>142.279314</c:v>
                </c:pt>
                <c:pt idx="89">
                  <c:v>146.910132</c:v>
                </c:pt>
                <c:pt idx="90">
                  <c:v>102.34971</c:v>
                </c:pt>
                <c:pt idx="91">
                  <c:v>50.245029000000002</c:v>
                </c:pt>
                <c:pt idx="92">
                  <c:v>114.650094</c:v>
                </c:pt>
                <c:pt idx="93">
                  <c:v>70.022176999999999</c:v>
                </c:pt>
                <c:pt idx="94">
                  <c:v>74.921839000000006</c:v>
                </c:pt>
                <c:pt idx="95">
                  <c:v>81.725461999999993</c:v>
                </c:pt>
                <c:pt idx="96">
                  <c:v>74.882744000000002</c:v>
                </c:pt>
                <c:pt idx="97">
                  <c:v>89.300550000000001</c:v>
                </c:pt>
                <c:pt idx="98">
                  <c:v>83.455425000000005</c:v>
                </c:pt>
                <c:pt idx="99">
                  <c:v>176.25293999999997</c:v>
                </c:pt>
                <c:pt idx="100">
                  <c:v>160.569771</c:v>
                </c:pt>
                <c:pt idx="101">
                  <c:v>125.350195</c:v>
                </c:pt>
                <c:pt idx="102">
                  <c:v>174.583741</c:v>
                </c:pt>
                <c:pt idx="103">
                  <c:v>201.22412800000001</c:v>
                </c:pt>
                <c:pt idx="104">
                  <c:v>162.41147899999999</c:v>
                </c:pt>
                <c:pt idx="105">
                  <c:v>85.605266</c:v>
                </c:pt>
                <c:pt idx="106">
                  <c:v>96.403323999999998</c:v>
                </c:pt>
                <c:pt idx="107">
                  <c:v>102.102265</c:v>
                </c:pt>
                <c:pt idx="108">
                  <c:v>122.43620599999998</c:v>
                </c:pt>
                <c:pt idx="109">
                  <c:v>183.282792</c:v>
                </c:pt>
                <c:pt idx="110">
                  <c:v>209.98401100000001</c:v>
                </c:pt>
                <c:pt idx="111">
                  <c:v>110.389706</c:v>
                </c:pt>
                <c:pt idx="112">
                  <c:v>91.590792000000008</c:v>
                </c:pt>
                <c:pt idx="113">
                  <c:v>80.453779999999995</c:v>
                </c:pt>
                <c:pt idx="114">
                  <c:v>115.679757</c:v>
                </c:pt>
                <c:pt idx="115">
                  <c:v>143.20150799999999</c:v>
                </c:pt>
                <c:pt idx="116">
                  <c:v>111.78855800000001</c:v>
                </c:pt>
                <c:pt idx="117">
                  <c:v>120.904725</c:v>
                </c:pt>
                <c:pt idx="118">
                  <c:v>189.91014300000001</c:v>
                </c:pt>
                <c:pt idx="119">
                  <c:v>77.670271999999997</c:v>
                </c:pt>
                <c:pt idx="120">
                  <c:v>109.308645</c:v>
                </c:pt>
                <c:pt idx="121">
                  <c:v>136.11437099999998</c:v>
                </c:pt>
                <c:pt idx="122">
                  <c:v>112.46567000000002</c:v>
                </c:pt>
                <c:pt idx="123">
                  <c:v>135.74166</c:v>
                </c:pt>
                <c:pt idx="124">
                  <c:v>163.069309</c:v>
                </c:pt>
                <c:pt idx="125">
                  <c:v>148.153424</c:v>
                </c:pt>
                <c:pt idx="126">
                  <c:v>217.600585</c:v>
                </c:pt>
                <c:pt idx="127">
                  <c:v>231.69850700000001</c:v>
                </c:pt>
                <c:pt idx="128">
                  <c:v>261.87230600000004</c:v>
                </c:pt>
                <c:pt idx="129">
                  <c:v>212.41216299999999</c:v>
                </c:pt>
                <c:pt idx="130">
                  <c:v>140.341926</c:v>
                </c:pt>
                <c:pt idx="131">
                  <c:v>103.909155</c:v>
                </c:pt>
                <c:pt idx="132">
                  <c:v>111.88668799999999</c:v>
                </c:pt>
                <c:pt idx="133">
                  <c:v>107.204695</c:v>
                </c:pt>
                <c:pt idx="134">
                  <c:v>100.425472</c:v>
                </c:pt>
                <c:pt idx="135">
                  <c:v>113.15161599999999</c:v>
                </c:pt>
                <c:pt idx="136">
                  <c:v>154.307345</c:v>
                </c:pt>
                <c:pt idx="137">
                  <c:v>90.574712999999988</c:v>
                </c:pt>
                <c:pt idx="138">
                  <c:v>108.22179100000001</c:v>
                </c:pt>
                <c:pt idx="139">
                  <c:v>148.62807899999999</c:v>
                </c:pt>
                <c:pt idx="140">
                  <c:v>165.832931</c:v>
                </c:pt>
                <c:pt idx="141">
                  <c:v>109.05057999999998</c:v>
                </c:pt>
                <c:pt idx="142">
                  <c:v>149.489428</c:v>
                </c:pt>
                <c:pt idx="143">
                  <c:v>161.736187</c:v>
                </c:pt>
                <c:pt idx="144">
                  <c:v>117.07852899999999</c:v>
                </c:pt>
                <c:pt idx="145">
                  <c:v>83.900807999999998</c:v>
                </c:pt>
                <c:pt idx="146">
                  <c:v>145.90282700000003</c:v>
                </c:pt>
                <c:pt idx="147">
                  <c:v>170.63027</c:v>
                </c:pt>
                <c:pt idx="148">
                  <c:v>124.632328</c:v>
                </c:pt>
                <c:pt idx="149">
                  <c:v>77.430592000000004</c:v>
                </c:pt>
                <c:pt idx="150">
                  <c:v>113.920464</c:v>
                </c:pt>
                <c:pt idx="151">
                  <c:v>190.43864599999998</c:v>
                </c:pt>
                <c:pt idx="152">
                  <c:v>136.98858500000003</c:v>
                </c:pt>
                <c:pt idx="153">
                  <c:v>120.07507200000001</c:v>
                </c:pt>
                <c:pt idx="154">
                  <c:v>96.893426000000005</c:v>
                </c:pt>
                <c:pt idx="155">
                  <c:v>122.67897000000001</c:v>
                </c:pt>
                <c:pt idx="156">
                  <c:v>168.59337699999998</c:v>
                </c:pt>
                <c:pt idx="157">
                  <c:v>207.469188</c:v>
                </c:pt>
                <c:pt idx="158">
                  <c:v>158.166349</c:v>
                </c:pt>
                <c:pt idx="159">
                  <c:v>125.172822</c:v>
                </c:pt>
                <c:pt idx="160">
                  <c:v>109.813095</c:v>
                </c:pt>
                <c:pt idx="161">
                  <c:v>150.27550500000001</c:v>
                </c:pt>
                <c:pt idx="162">
                  <c:v>123.34950500000001</c:v>
                </c:pt>
                <c:pt idx="163">
                  <c:v>98.322434999999999</c:v>
                </c:pt>
                <c:pt idx="164">
                  <c:v>71.192278000000002</c:v>
                </c:pt>
                <c:pt idx="165">
                  <c:v>180.6354</c:v>
                </c:pt>
                <c:pt idx="166">
                  <c:v>145.161869</c:v>
                </c:pt>
                <c:pt idx="167">
                  <c:v>114.142624</c:v>
                </c:pt>
                <c:pt idx="168">
                  <c:v>170.18326799999997</c:v>
                </c:pt>
                <c:pt idx="169">
                  <c:v>172.57474699999997</c:v>
                </c:pt>
                <c:pt idx="170">
                  <c:v>195.574613</c:v>
                </c:pt>
                <c:pt idx="171">
                  <c:v>147.96343400000001</c:v>
                </c:pt>
                <c:pt idx="172">
                  <c:v>81.896906000000001</c:v>
                </c:pt>
                <c:pt idx="173">
                  <c:v>118.67038099999999</c:v>
                </c:pt>
                <c:pt idx="174">
                  <c:v>181.24012999999999</c:v>
                </c:pt>
                <c:pt idx="175">
                  <c:v>120.39282799999999</c:v>
                </c:pt>
                <c:pt idx="176">
                  <c:v>96.681668000000002</c:v>
                </c:pt>
                <c:pt idx="177">
                  <c:v>138.73874899999998</c:v>
                </c:pt>
                <c:pt idx="178">
                  <c:v>190.45575999999997</c:v>
                </c:pt>
                <c:pt idx="179">
                  <c:v>101.60244</c:v>
                </c:pt>
                <c:pt idx="180">
                  <c:v>106.690758</c:v>
                </c:pt>
                <c:pt idx="181">
                  <c:v>132.67882399999999</c:v>
                </c:pt>
                <c:pt idx="182">
                  <c:v>57.546745999999999</c:v>
                </c:pt>
                <c:pt idx="183">
                  <c:v>93.822602000000003</c:v>
                </c:pt>
                <c:pt idx="184">
                  <c:v>59.959332000000003</c:v>
                </c:pt>
                <c:pt idx="185">
                  <c:v>100.20235699999999</c:v>
                </c:pt>
                <c:pt idx="186">
                  <c:v>108.900893</c:v>
                </c:pt>
                <c:pt idx="187">
                  <c:v>142.50523999999999</c:v>
                </c:pt>
                <c:pt idx="188">
                  <c:v>157.98863299999999</c:v>
                </c:pt>
                <c:pt idx="189">
                  <c:v>156.75575499999999</c:v>
                </c:pt>
                <c:pt idx="190">
                  <c:v>140.82068100000001</c:v>
                </c:pt>
                <c:pt idx="191">
                  <c:v>82.52366099999999</c:v>
                </c:pt>
                <c:pt idx="192">
                  <c:v>61.911677000000005</c:v>
                </c:pt>
                <c:pt idx="193">
                  <c:v>41.058446000000004</c:v>
                </c:pt>
                <c:pt idx="194">
                  <c:v>103.561556</c:v>
                </c:pt>
                <c:pt idx="195">
                  <c:v>194.29662999999999</c:v>
                </c:pt>
                <c:pt idx="196">
                  <c:v>262.28320299999996</c:v>
                </c:pt>
                <c:pt idx="197">
                  <c:v>135.936116</c:v>
                </c:pt>
                <c:pt idx="198">
                  <c:v>55.414898999999998</c:v>
                </c:pt>
                <c:pt idx="199">
                  <c:v>152.486412</c:v>
                </c:pt>
                <c:pt idx="200">
                  <c:v>180.35288500000001</c:v>
                </c:pt>
                <c:pt idx="201">
                  <c:v>119.394966</c:v>
                </c:pt>
                <c:pt idx="202">
                  <c:v>80.285039999999995</c:v>
                </c:pt>
                <c:pt idx="203">
                  <c:v>100.68550399999999</c:v>
                </c:pt>
                <c:pt idx="204">
                  <c:v>99.861918000000003</c:v>
                </c:pt>
                <c:pt idx="205">
                  <c:v>46.921576000000002</c:v>
                </c:pt>
                <c:pt idx="206">
                  <c:v>84.22133500000001</c:v>
                </c:pt>
                <c:pt idx="207">
                  <c:v>166.85348099999999</c:v>
                </c:pt>
                <c:pt idx="208">
                  <c:v>171.75555800000001</c:v>
                </c:pt>
                <c:pt idx="209">
                  <c:v>157.936419</c:v>
                </c:pt>
                <c:pt idx="210">
                  <c:v>218.10363999999998</c:v>
                </c:pt>
                <c:pt idx="211">
                  <c:v>240.320943</c:v>
                </c:pt>
                <c:pt idx="212">
                  <c:v>260.021432</c:v>
                </c:pt>
                <c:pt idx="213">
                  <c:v>206.75080700000001</c:v>
                </c:pt>
                <c:pt idx="214">
                  <c:v>68.157316000000009</c:v>
                </c:pt>
                <c:pt idx="215">
                  <c:v>84.822161999999992</c:v>
                </c:pt>
                <c:pt idx="216">
                  <c:v>42.348008</c:v>
                </c:pt>
                <c:pt idx="217">
                  <c:v>45.256483000000003</c:v>
                </c:pt>
                <c:pt idx="218">
                  <c:v>89.600700000000003</c:v>
                </c:pt>
                <c:pt idx="219">
                  <c:v>166.30056099999999</c:v>
                </c:pt>
                <c:pt idx="220">
                  <c:v>84.162767000000002</c:v>
                </c:pt>
                <c:pt idx="221">
                  <c:v>136.85900000000001</c:v>
                </c:pt>
                <c:pt idx="222">
                  <c:v>96.914221999999995</c:v>
                </c:pt>
                <c:pt idx="223">
                  <c:v>52.384353000000004</c:v>
                </c:pt>
                <c:pt idx="224">
                  <c:v>45.633096999999999</c:v>
                </c:pt>
                <c:pt idx="225">
                  <c:v>58.152637999999996</c:v>
                </c:pt>
                <c:pt idx="226">
                  <c:v>60.686548999999999</c:v>
                </c:pt>
                <c:pt idx="227">
                  <c:v>97.748600999999994</c:v>
                </c:pt>
                <c:pt idx="228">
                  <c:v>117.641891</c:v>
                </c:pt>
                <c:pt idx="229">
                  <c:v>218.29753400000001</c:v>
                </c:pt>
                <c:pt idx="230">
                  <c:v>194.22833900000001</c:v>
                </c:pt>
                <c:pt idx="231">
                  <c:v>240.306713</c:v>
                </c:pt>
                <c:pt idx="232">
                  <c:v>282.31352700000002</c:v>
                </c:pt>
                <c:pt idx="233">
                  <c:v>304.10304400000001</c:v>
                </c:pt>
                <c:pt idx="234">
                  <c:v>261.83777899999995</c:v>
                </c:pt>
                <c:pt idx="235">
                  <c:v>255.16156000000001</c:v>
                </c:pt>
                <c:pt idx="236">
                  <c:v>310.99752799999999</c:v>
                </c:pt>
                <c:pt idx="237">
                  <c:v>137.70208400000001</c:v>
                </c:pt>
                <c:pt idx="238">
                  <c:v>245.12129899999999</c:v>
                </c:pt>
                <c:pt idx="239">
                  <c:v>177.019554</c:v>
                </c:pt>
                <c:pt idx="240">
                  <c:v>308.54284599999994</c:v>
                </c:pt>
                <c:pt idx="241">
                  <c:v>242.581006</c:v>
                </c:pt>
                <c:pt idx="242">
                  <c:v>249.407803</c:v>
                </c:pt>
                <c:pt idx="243">
                  <c:v>121.67089299999999</c:v>
                </c:pt>
                <c:pt idx="244">
                  <c:v>224.50160500000001</c:v>
                </c:pt>
                <c:pt idx="245">
                  <c:v>70.175501999999994</c:v>
                </c:pt>
                <c:pt idx="246">
                  <c:v>71.457744000000005</c:v>
                </c:pt>
                <c:pt idx="247">
                  <c:v>231.39367899999996</c:v>
                </c:pt>
                <c:pt idx="248">
                  <c:v>238.32268900000003</c:v>
                </c:pt>
                <c:pt idx="249">
                  <c:v>116.367098</c:v>
                </c:pt>
                <c:pt idx="250">
                  <c:v>143.60430300000002</c:v>
                </c:pt>
                <c:pt idx="251">
                  <c:v>175.55631199999999</c:v>
                </c:pt>
                <c:pt idx="252">
                  <c:v>236.41002</c:v>
                </c:pt>
                <c:pt idx="253">
                  <c:v>141.32268500000001</c:v>
                </c:pt>
                <c:pt idx="254">
                  <c:v>72.621297000000013</c:v>
                </c:pt>
                <c:pt idx="255">
                  <c:v>180.16626399999998</c:v>
                </c:pt>
                <c:pt idx="256">
                  <c:v>250.86212799999998</c:v>
                </c:pt>
                <c:pt idx="257">
                  <c:v>146.40533600000001</c:v>
                </c:pt>
                <c:pt idx="258">
                  <c:v>187.89150700000002</c:v>
                </c:pt>
                <c:pt idx="259">
                  <c:v>347.40958699999999</c:v>
                </c:pt>
                <c:pt idx="260">
                  <c:v>390.33011399999998</c:v>
                </c:pt>
                <c:pt idx="261">
                  <c:v>381.05672599999997</c:v>
                </c:pt>
                <c:pt idx="262">
                  <c:v>252.001475</c:v>
                </c:pt>
                <c:pt idx="263">
                  <c:v>333.36951799999997</c:v>
                </c:pt>
                <c:pt idx="264">
                  <c:v>241.10924499999999</c:v>
                </c:pt>
                <c:pt idx="265">
                  <c:v>407.86425400000002</c:v>
                </c:pt>
                <c:pt idx="266">
                  <c:v>415.00569100000001</c:v>
                </c:pt>
                <c:pt idx="267">
                  <c:v>355.59611600000005</c:v>
                </c:pt>
                <c:pt idx="268">
                  <c:v>176.46814900000001</c:v>
                </c:pt>
                <c:pt idx="269">
                  <c:v>211.492245</c:v>
                </c:pt>
                <c:pt idx="270">
                  <c:v>136.01001200000002</c:v>
                </c:pt>
                <c:pt idx="271">
                  <c:v>120.033357</c:v>
                </c:pt>
                <c:pt idx="272">
                  <c:v>314.464944</c:v>
                </c:pt>
                <c:pt idx="273">
                  <c:v>185.585184</c:v>
                </c:pt>
                <c:pt idx="274">
                  <c:v>56.089641</c:v>
                </c:pt>
                <c:pt idx="275">
                  <c:v>155.51653300000001</c:v>
                </c:pt>
                <c:pt idx="276">
                  <c:v>79.187899999999999</c:v>
                </c:pt>
                <c:pt idx="277">
                  <c:v>66.065214000000012</c:v>
                </c:pt>
                <c:pt idx="278">
                  <c:v>52.734241000000004</c:v>
                </c:pt>
                <c:pt idx="279">
                  <c:v>129.03492500000002</c:v>
                </c:pt>
                <c:pt idx="280">
                  <c:v>29.196757000000002</c:v>
                </c:pt>
                <c:pt idx="281">
                  <c:v>42.074168</c:v>
                </c:pt>
                <c:pt idx="282">
                  <c:v>177.85182599999999</c:v>
                </c:pt>
                <c:pt idx="283">
                  <c:v>178.00170900000001</c:v>
                </c:pt>
                <c:pt idx="284">
                  <c:v>250.73025799999999</c:v>
                </c:pt>
                <c:pt idx="285">
                  <c:v>140.70862700000001</c:v>
                </c:pt>
                <c:pt idx="286">
                  <c:v>343.04378199999996</c:v>
                </c:pt>
                <c:pt idx="287">
                  <c:v>284.69132999999999</c:v>
                </c:pt>
                <c:pt idx="288">
                  <c:v>243.12623400000001</c:v>
                </c:pt>
                <c:pt idx="289">
                  <c:v>189.77288799999999</c:v>
                </c:pt>
                <c:pt idx="290">
                  <c:v>139.390693</c:v>
                </c:pt>
                <c:pt idx="291">
                  <c:v>58.323466000000003</c:v>
                </c:pt>
                <c:pt idx="292">
                  <c:v>185.34718100000001</c:v>
                </c:pt>
                <c:pt idx="293">
                  <c:v>251.11472800000001</c:v>
                </c:pt>
                <c:pt idx="294">
                  <c:v>283.64104100000003</c:v>
                </c:pt>
                <c:pt idx="295">
                  <c:v>319.57085000000001</c:v>
                </c:pt>
                <c:pt idx="296">
                  <c:v>298.98524900000001</c:v>
                </c:pt>
                <c:pt idx="297">
                  <c:v>261.61560499999996</c:v>
                </c:pt>
                <c:pt idx="298">
                  <c:v>173.962073</c:v>
                </c:pt>
                <c:pt idx="299">
                  <c:v>170.491027</c:v>
                </c:pt>
                <c:pt idx="300">
                  <c:v>56.465977000000002</c:v>
                </c:pt>
                <c:pt idx="301">
                  <c:v>66.91897800000001</c:v>
                </c:pt>
                <c:pt idx="302">
                  <c:v>198.117152</c:v>
                </c:pt>
                <c:pt idx="303">
                  <c:v>237.439018</c:v>
                </c:pt>
                <c:pt idx="304">
                  <c:v>315.19385</c:v>
                </c:pt>
                <c:pt idx="305">
                  <c:v>168.84421799999998</c:v>
                </c:pt>
                <c:pt idx="306">
                  <c:v>160.935801</c:v>
                </c:pt>
                <c:pt idx="307">
                  <c:v>96.966331999999994</c:v>
                </c:pt>
                <c:pt idx="308">
                  <c:v>69.069948999999994</c:v>
                </c:pt>
                <c:pt idx="309">
                  <c:v>65.706111000000007</c:v>
                </c:pt>
                <c:pt idx="310">
                  <c:v>43.798284000000002</c:v>
                </c:pt>
                <c:pt idx="311">
                  <c:v>84.453948999999994</c:v>
                </c:pt>
                <c:pt idx="312">
                  <c:v>304.92775300000005</c:v>
                </c:pt>
                <c:pt idx="313">
                  <c:v>373.82909100000001</c:v>
                </c:pt>
                <c:pt idx="314">
                  <c:v>299.40650099999999</c:v>
                </c:pt>
                <c:pt idx="315">
                  <c:v>208.80787000000004</c:v>
                </c:pt>
                <c:pt idx="316">
                  <c:v>197.88169099999999</c:v>
                </c:pt>
                <c:pt idx="317">
                  <c:v>148.073992</c:v>
                </c:pt>
                <c:pt idx="318">
                  <c:v>150.789468</c:v>
                </c:pt>
                <c:pt idx="319">
                  <c:v>180.418012</c:v>
                </c:pt>
                <c:pt idx="320">
                  <c:v>286.82453100000004</c:v>
                </c:pt>
                <c:pt idx="321">
                  <c:v>399.92026299999998</c:v>
                </c:pt>
                <c:pt idx="322">
                  <c:v>390.49647299999998</c:v>
                </c:pt>
                <c:pt idx="323">
                  <c:v>357.39378199999999</c:v>
                </c:pt>
                <c:pt idx="324">
                  <c:v>371.03471000000002</c:v>
                </c:pt>
                <c:pt idx="325">
                  <c:v>271.803315</c:v>
                </c:pt>
                <c:pt idx="326">
                  <c:v>270.59378500000003</c:v>
                </c:pt>
                <c:pt idx="327">
                  <c:v>289.447138</c:v>
                </c:pt>
                <c:pt idx="328">
                  <c:v>311.17062600000003</c:v>
                </c:pt>
                <c:pt idx="329">
                  <c:v>235.11200200000002</c:v>
                </c:pt>
                <c:pt idx="330">
                  <c:v>219.82315800000001</c:v>
                </c:pt>
                <c:pt idx="331">
                  <c:v>314.12311499999998</c:v>
                </c:pt>
                <c:pt idx="332">
                  <c:v>340.81228999999996</c:v>
                </c:pt>
                <c:pt idx="333">
                  <c:v>304.66285800000003</c:v>
                </c:pt>
                <c:pt idx="334">
                  <c:v>230.62103900000002</c:v>
                </c:pt>
                <c:pt idx="335">
                  <c:v>154.95181599999998</c:v>
                </c:pt>
                <c:pt idx="336">
                  <c:v>209.53903200000002</c:v>
                </c:pt>
                <c:pt idx="337">
                  <c:v>214.66819099999998</c:v>
                </c:pt>
                <c:pt idx="338">
                  <c:v>113.531948</c:v>
                </c:pt>
                <c:pt idx="339">
                  <c:v>62.026834000000001</c:v>
                </c:pt>
                <c:pt idx="340">
                  <c:v>186.65705500000001</c:v>
                </c:pt>
                <c:pt idx="341">
                  <c:v>282.58626600000002</c:v>
                </c:pt>
                <c:pt idx="342">
                  <c:v>276.83534900000001</c:v>
                </c:pt>
                <c:pt idx="343">
                  <c:v>188.20928000000001</c:v>
                </c:pt>
                <c:pt idx="344">
                  <c:v>171.25630999999998</c:v>
                </c:pt>
                <c:pt idx="345">
                  <c:v>137.45270300000001</c:v>
                </c:pt>
                <c:pt idx="346">
                  <c:v>127.43710400000001</c:v>
                </c:pt>
                <c:pt idx="347">
                  <c:v>156.803438</c:v>
                </c:pt>
                <c:pt idx="348">
                  <c:v>146.98482899999999</c:v>
                </c:pt>
                <c:pt idx="349">
                  <c:v>153.12428299999999</c:v>
                </c:pt>
                <c:pt idx="350">
                  <c:v>216.527355</c:v>
                </c:pt>
                <c:pt idx="351">
                  <c:v>116.140531</c:v>
                </c:pt>
                <c:pt idx="352">
                  <c:v>58.767522</c:v>
                </c:pt>
                <c:pt idx="353">
                  <c:v>135.07408600000002</c:v>
                </c:pt>
                <c:pt idx="354">
                  <c:v>108.783957</c:v>
                </c:pt>
                <c:pt idx="355">
                  <c:v>119.477476</c:v>
                </c:pt>
                <c:pt idx="356">
                  <c:v>140.929328</c:v>
                </c:pt>
                <c:pt idx="357">
                  <c:v>71.582761000000005</c:v>
                </c:pt>
                <c:pt idx="358">
                  <c:v>61.505489999999995</c:v>
                </c:pt>
                <c:pt idx="359">
                  <c:v>149.07123499999997</c:v>
                </c:pt>
                <c:pt idx="360">
                  <c:v>73.495833000000005</c:v>
                </c:pt>
                <c:pt idx="361">
                  <c:v>106.81062300000001</c:v>
                </c:pt>
                <c:pt idx="362">
                  <c:v>348.68088700000004</c:v>
                </c:pt>
                <c:pt idx="363">
                  <c:v>400.084452</c:v>
                </c:pt>
                <c:pt idx="364">
                  <c:v>323.71440899999999</c:v>
                </c:pt>
                <c:pt idx="365">
                  <c:v>185.51078700000002</c:v>
                </c:pt>
                <c:pt idx="366">
                  <c:v>213.27336600000001</c:v>
                </c:pt>
                <c:pt idx="367">
                  <c:v>186.28090899999998</c:v>
                </c:pt>
                <c:pt idx="368">
                  <c:v>100.62124899999999</c:v>
                </c:pt>
                <c:pt idx="369">
                  <c:v>62.971556</c:v>
                </c:pt>
                <c:pt idx="370">
                  <c:v>150.92666299999999</c:v>
                </c:pt>
                <c:pt idx="371">
                  <c:v>337.30533299999996</c:v>
                </c:pt>
                <c:pt idx="372">
                  <c:v>391.77536400000002</c:v>
                </c:pt>
                <c:pt idx="373">
                  <c:v>411.17823099999998</c:v>
                </c:pt>
                <c:pt idx="374">
                  <c:v>388.94542300000001</c:v>
                </c:pt>
                <c:pt idx="375">
                  <c:v>345.72032299999995</c:v>
                </c:pt>
                <c:pt idx="376">
                  <c:v>178.25108700000001</c:v>
                </c:pt>
                <c:pt idx="377">
                  <c:v>287.552235</c:v>
                </c:pt>
                <c:pt idx="378">
                  <c:v>257.378918</c:v>
                </c:pt>
                <c:pt idx="379">
                  <c:v>90.627562000000012</c:v>
                </c:pt>
                <c:pt idx="380">
                  <c:v>230.26651500000003</c:v>
                </c:pt>
                <c:pt idx="381">
                  <c:v>279.31890199999998</c:v>
                </c:pt>
                <c:pt idx="382">
                  <c:v>180.768044</c:v>
                </c:pt>
                <c:pt idx="383">
                  <c:v>86.936888999999994</c:v>
                </c:pt>
                <c:pt idx="384">
                  <c:v>70.575761</c:v>
                </c:pt>
                <c:pt idx="385">
                  <c:v>55.322572000000001</c:v>
                </c:pt>
                <c:pt idx="386">
                  <c:v>123.57921499999999</c:v>
                </c:pt>
                <c:pt idx="387">
                  <c:v>202.28049599999997</c:v>
                </c:pt>
                <c:pt idx="388">
                  <c:v>251.90721599999998</c:v>
                </c:pt>
                <c:pt idx="389">
                  <c:v>161.71668300000002</c:v>
                </c:pt>
                <c:pt idx="390">
                  <c:v>252.652513</c:v>
                </c:pt>
                <c:pt idx="391">
                  <c:v>167.026746</c:v>
                </c:pt>
                <c:pt idx="392">
                  <c:v>105.001492</c:v>
                </c:pt>
                <c:pt idx="393">
                  <c:v>205.62717900000001</c:v>
                </c:pt>
                <c:pt idx="394">
                  <c:v>255.42212700000002</c:v>
                </c:pt>
                <c:pt idx="395">
                  <c:v>369.47750099999996</c:v>
                </c:pt>
                <c:pt idx="396">
                  <c:v>277.52818700000006</c:v>
                </c:pt>
                <c:pt idx="397">
                  <c:v>236.83952899999997</c:v>
                </c:pt>
                <c:pt idx="398">
                  <c:v>168.990081</c:v>
                </c:pt>
                <c:pt idx="399">
                  <c:v>252.24863399999998</c:v>
                </c:pt>
                <c:pt idx="400">
                  <c:v>133.22213300000001</c:v>
                </c:pt>
                <c:pt idx="401">
                  <c:v>123.136791</c:v>
                </c:pt>
                <c:pt idx="402">
                  <c:v>72.104573000000002</c:v>
                </c:pt>
                <c:pt idx="403">
                  <c:v>63.974471999999999</c:v>
                </c:pt>
                <c:pt idx="404">
                  <c:v>58.373131000000001</c:v>
                </c:pt>
                <c:pt idx="405">
                  <c:v>105.38276399999999</c:v>
                </c:pt>
                <c:pt idx="406">
                  <c:v>129.31162900000001</c:v>
                </c:pt>
                <c:pt idx="407">
                  <c:v>306.45508899999999</c:v>
                </c:pt>
                <c:pt idx="408">
                  <c:v>254.44940800000001</c:v>
                </c:pt>
                <c:pt idx="409">
                  <c:v>295.77617600000002</c:v>
                </c:pt>
                <c:pt idx="410">
                  <c:v>265.71310599999998</c:v>
                </c:pt>
                <c:pt idx="411">
                  <c:v>186.81022300000004</c:v>
                </c:pt>
                <c:pt idx="412">
                  <c:v>209.35979900000001</c:v>
                </c:pt>
                <c:pt idx="413">
                  <c:v>191.565023</c:v>
                </c:pt>
                <c:pt idx="414">
                  <c:v>124.69744100000001</c:v>
                </c:pt>
                <c:pt idx="415">
                  <c:v>75.424515999999997</c:v>
                </c:pt>
                <c:pt idx="416">
                  <c:v>149.416954</c:v>
                </c:pt>
                <c:pt idx="417">
                  <c:v>155.21762700000002</c:v>
                </c:pt>
                <c:pt idx="418">
                  <c:v>182.71385899999999</c:v>
                </c:pt>
                <c:pt idx="419">
                  <c:v>112.95561899999998</c:v>
                </c:pt>
                <c:pt idx="420">
                  <c:v>128.05893700000001</c:v>
                </c:pt>
                <c:pt idx="421">
                  <c:v>61.149663000000004</c:v>
                </c:pt>
                <c:pt idx="422">
                  <c:v>58.789270999999999</c:v>
                </c:pt>
                <c:pt idx="423">
                  <c:v>123.81271000000001</c:v>
                </c:pt>
                <c:pt idx="424">
                  <c:v>159.585734</c:v>
                </c:pt>
                <c:pt idx="425">
                  <c:v>181.31912</c:v>
                </c:pt>
                <c:pt idx="426">
                  <c:v>130.874887</c:v>
                </c:pt>
                <c:pt idx="427">
                  <c:v>97.244559999999993</c:v>
                </c:pt>
                <c:pt idx="428">
                  <c:v>205.86509000000004</c:v>
                </c:pt>
                <c:pt idx="429">
                  <c:v>169.57292799999999</c:v>
                </c:pt>
                <c:pt idx="430">
                  <c:v>92.116522000000003</c:v>
                </c:pt>
                <c:pt idx="431">
                  <c:v>107.07831</c:v>
                </c:pt>
                <c:pt idx="432">
                  <c:v>128.00228100000001</c:v>
                </c:pt>
                <c:pt idx="433">
                  <c:v>116.596884</c:v>
                </c:pt>
                <c:pt idx="434">
                  <c:v>178.56637400000002</c:v>
                </c:pt>
                <c:pt idx="435">
                  <c:v>202.93521299999998</c:v>
                </c:pt>
                <c:pt idx="436">
                  <c:v>211.15833800000001</c:v>
                </c:pt>
                <c:pt idx="437">
                  <c:v>206.79888299999999</c:v>
                </c:pt>
                <c:pt idx="438">
                  <c:v>213.33485300000001</c:v>
                </c:pt>
                <c:pt idx="439">
                  <c:v>193.91825699999998</c:v>
                </c:pt>
                <c:pt idx="440">
                  <c:v>252.77925200000001</c:v>
                </c:pt>
                <c:pt idx="441">
                  <c:v>309.913184</c:v>
                </c:pt>
                <c:pt idx="442">
                  <c:v>332.06808300000006</c:v>
                </c:pt>
                <c:pt idx="443">
                  <c:v>300.85811099999995</c:v>
                </c:pt>
                <c:pt idx="444">
                  <c:v>275.81912399999999</c:v>
                </c:pt>
                <c:pt idx="445">
                  <c:v>206.87100699999999</c:v>
                </c:pt>
                <c:pt idx="446">
                  <c:v>175.73118399999998</c:v>
                </c:pt>
                <c:pt idx="447">
                  <c:v>166.430431</c:v>
                </c:pt>
                <c:pt idx="448">
                  <c:v>187.75610499999999</c:v>
                </c:pt>
                <c:pt idx="449">
                  <c:v>153.51276999999999</c:v>
                </c:pt>
                <c:pt idx="450">
                  <c:v>213.521951</c:v>
                </c:pt>
                <c:pt idx="451">
                  <c:v>217.44183800000002</c:v>
                </c:pt>
                <c:pt idx="452">
                  <c:v>92.437781000000001</c:v>
                </c:pt>
                <c:pt idx="453">
                  <c:v>60.719230000000003</c:v>
                </c:pt>
                <c:pt idx="454">
                  <c:v>77.339371999999997</c:v>
                </c:pt>
                <c:pt idx="455">
                  <c:v>48.226339999999993</c:v>
                </c:pt>
                <c:pt idx="456">
                  <c:v>39.278343999999997</c:v>
                </c:pt>
                <c:pt idx="457">
                  <c:v>65.043498999999997</c:v>
                </c:pt>
                <c:pt idx="458">
                  <c:v>59.870453000000005</c:v>
                </c:pt>
                <c:pt idx="459">
                  <c:v>36.766540999999997</c:v>
                </c:pt>
                <c:pt idx="460">
                  <c:v>35.177381000000004</c:v>
                </c:pt>
                <c:pt idx="461">
                  <c:v>43.021312999999999</c:v>
                </c:pt>
                <c:pt idx="462">
                  <c:v>84.618122</c:v>
                </c:pt>
                <c:pt idx="463">
                  <c:v>136.02359300000001</c:v>
                </c:pt>
                <c:pt idx="464">
                  <c:v>113.05998299999999</c:v>
                </c:pt>
                <c:pt idx="465">
                  <c:v>171.55850100000001</c:v>
                </c:pt>
                <c:pt idx="466">
                  <c:v>55.950822000000002</c:v>
                </c:pt>
                <c:pt idx="467">
                  <c:v>49.472637000000006</c:v>
                </c:pt>
                <c:pt idx="468">
                  <c:v>47.239418000000001</c:v>
                </c:pt>
                <c:pt idx="469">
                  <c:v>115.54714</c:v>
                </c:pt>
                <c:pt idx="470">
                  <c:v>168.01664700000003</c:v>
                </c:pt>
                <c:pt idx="471">
                  <c:v>94.628765000000001</c:v>
                </c:pt>
                <c:pt idx="472">
                  <c:v>54.170434999999998</c:v>
                </c:pt>
                <c:pt idx="473">
                  <c:v>99.021672999999993</c:v>
                </c:pt>
                <c:pt idx="474">
                  <c:v>142.448048</c:v>
                </c:pt>
                <c:pt idx="475">
                  <c:v>106.90828</c:v>
                </c:pt>
                <c:pt idx="476">
                  <c:v>68.056787999999997</c:v>
                </c:pt>
                <c:pt idx="477">
                  <c:v>61.214120999999999</c:v>
                </c:pt>
                <c:pt idx="478">
                  <c:v>67.968643</c:v>
                </c:pt>
                <c:pt idx="479">
                  <c:v>90.615945000000011</c:v>
                </c:pt>
                <c:pt idx="480">
                  <c:v>90.214257000000003</c:v>
                </c:pt>
                <c:pt idx="481">
                  <c:v>77.504070999999996</c:v>
                </c:pt>
                <c:pt idx="482">
                  <c:v>191.54897099999999</c:v>
                </c:pt>
                <c:pt idx="483">
                  <c:v>188.275915</c:v>
                </c:pt>
                <c:pt idx="484">
                  <c:v>129.84499299999999</c:v>
                </c:pt>
                <c:pt idx="485">
                  <c:v>195.27715499999999</c:v>
                </c:pt>
                <c:pt idx="486">
                  <c:v>191.808604</c:v>
                </c:pt>
                <c:pt idx="487">
                  <c:v>132.32076000000001</c:v>
                </c:pt>
                <c:pt idx="488">
                  <c:v>152.16978899999998</c:v>
                </c:pt>
                <c:pt idx="489">
                  <c:v>107.69463500000001</c:v>
                </c:pt>
                <c:pt idx="490">
                  <c:v>89.430616999999998</c:v>
                </c:pt>
                <c:pt idx="491">
                  <c:v>80.094169999999991</c:v>
                </c:pt>
                <c:pt idx="492">
                  <c:v>94.565114000000008</c:v>
                </c:pt>
                <c:pt idx="493">
                  <c:v>151.24713800000001</c:v>
                </c:pt>
                <c:pt idx="494">
                  <c:v>97.303382999999997</c:v>
                </c:pt>
                <c:pt idx="495">
                  <c:v>60.951149999999998</c:v>
                </c:pt>
                <c:pt idx="496">
                  <c:v>75.659120999999999</c:v>
                </c:pt>
                <c:pt idx="497">
                  <c:v>126.90398399999999</c:v>
                </c:pt>
                <c:pt idx="498">
                  <c:v>134.49626000000001</c:v>
                </c:pt>
                <c:pt idx="499">
                  <c:v>85.908894999999987</c:v>
                </c:pt>
                <c:pt idx="500">
                  <c:v>170.94058200000001</c:v>
                </c:pt>
                <c:pt idx="501">
                  <c:v>171.609374</c:v>
                </c:pt>
                <c:pt idx="502">
                  <c:v>106.67068500000001</c:v>
                </c:pt>
                <c:pt idx="503">
                  <c:v>139.78321499999998</c:v>
                </c:pt>
                <c:pt idx="504">
                  <c:v>122.81375100000001</c:v>
                </c:pt>
                <c:pt idx="505">
                  <c:v>131.732677</c:v>
                </c:pt>
                <c:pt idx="506">
                  <c:v>148.61660000000001</c:v>
                </c:pt>
                <c:pt idx="507">
                  <c:v>168.34170599999999</c:v>
                </c:pt>
                <c:pt idx="508">
                  <c:v>91.243051999999992</c:v>
                </c:pt>
                <c:pt idx="509">
                  <c:v>111.43429399999999</c:v>
                </c:pt>
                <c:pt idx="510">
                  <c:v>188.15045900000001</c:v>
                </c:pt>
                <c:pt idx="511">
                  <c:v>160.117233</c:v>
                </c:pt>
                <c:pt idx="512">
                  <c:v>90.717434999999995</c:v>
                </c:pt>
                <c:pt idx="513">
                  <c:v>101.117637</c:v>
                </c:pt>
                <c:pt idx="514">
                  <c:v>91.322076999999993</c:v>
                </c:pt>
                <c:pt idx="515">
                  <c:v>95.518872999999999</c:v>
                </c:pt>
                <c:pt idx="516">
                  <c:v>106.39381300000001</c:v>
                </c:pt>
                <c:pt idx="517">
                  <c:v>94.132784999999984</c:v>
                </c:pt>
                <c:pt idx="518">
                  <c:v>153.803619</c:v>
                </c:pt>
                <c:pt idx="519">
                  <c:v>178.64165300000002</c:v>
                </c:pt>
                <c:pt idx="520">
                  <c:v>230.20014600000002</c:v>
                </c:pt>
                <c:pt idx="521">
                  <c:v>234.66916800000001</c:v>
                </c:pt>
                <c:pt idx="522">
                  <c:v>189.43547599999999</c:v>
                </c:pt>
                <c:pt idx="523">
                  <c:v>218.44476399999999</c:v>
                </c:pt>
                <c:pt idx="524">
                  <c:v>177.59483799999998</c:v>
                </c:pt>
                <c:pt idx="525">
                  <c:v>98.636789000000007</c:v>
                </c:pt>
                <c:pt idx="526">
                  <c:v>77.100153999999989</c:v>
                </c:pt>
                <c:pt idx="527">
                  <c:v>140.79474500000001</c:v>
                </c:pt>
                <c:pt idx="528">
                  <c:v>69.409424999999999</c:v>
                </c:pt>
                <c:pt idx="529">
                  <c:v>83.631951999999998</c:v>
                </c:pt>
                <c:pt idx="530">
                  <c:v>125.80086200000001</c:v>
                </c:pt>
                <c:pt idx="531">
                  <c:v>124.384985</c:v>
                </c:pt>
                <c:pt idx="532">
                  <c:v>100.18844299999999</c:v>
                </c:pt>
                <c:pt idx="533">
                  <c:v>103.259569</c:v>
                </c:pt>
                <c:pt idx="534">
                  <c:v>68.429573999999988</c:v>
                </c:pt>
                <c:pt idx="535">
                  <c:v>135.05767299999999</c:v>
                </c:pt>
                <c:pt idx="536">
                  <c:v>54.799492000000001</c:v>
                </c:pt>
                <c:pt idx="537">
                  <c:v>48.366249000000003</c:v>
                </c:pt>
                <c:pt idx="538">
                  <c:v>94.316125</c:v>
                </c:pt>
                <c:pt idx="539">
                  <c:v>112.26301099999999</c:v>
                </c:pt>
                <c:pt idx="540">
                  <c:v>106.89461200000001</c:v>
                </c:pt>
                <c:pt idx="541">
                  <c:v>103.63361900000001</c:v>
                </c:pt>
                <c:pt idx="542">
                  <c:v>124.854539</c:v>
                </c:pt>
                <c:pt idx="543">
                  <c:v>171.50743000000003</c:v>
                </c:pt>
                <c:pt idx="544">
                  <c:v>258.28943299999997</c:v>
                </c:pt>
                <c:pt idx="545">
                  <c:v>227.42514799999998</c:v>
                </c:pt>
                <c:pt idx="546">
                  <c:v>178.68277600000002</c:v>
                </c:pt>
                <c:pt idx="547">
                  <c:v>125.71572900000001</c:v>
                </c:pt>
                <c:pt idx="548">
                  <c:v>69.018527000000006</c:v>
                </c:pt>
                <c:pt idx="549">
                  <c:v>134.24427499999999</c:v>
                </c:pt>
                <c:pt idx="550">
                  <c:v>173.19387700000001</c:v>
                </c:pt>
                <c:pt idx="551">
                  <c:v>285.88031900000004</c:v>
                </c:pt>
                <c:pt idx="552">
                  <c:v>216.22327799999999</c:v>
                </c:pt>
                <c:pt idx="553">
                  <c:v>112.376633</c:v>
                </c:pt>
                <c:pt idx="554">
                  <c:v>80.775775999999993</c:v>
                </c:pt>
                <c:pt idx="555">
                  <c:v>87.517318000000003</c:v>
                </c:pt>
                <c:pt idx="556">
                  <c:v>90.350184999999996</c:v>
                </c:pt>
                <c:pt idx="557">
                  <c:v>109.16140900000001</c:v>
                </c:pt>
                <c:pt idx="558">
                  <c:v>69.483063000000001</c:v>
                </c:pt>
                <c:pt idx="559">
                  <c:v>51.617401000000001</c:v>
                </c:pt>
                <c:pt idx="560">
                  <c:v>56.063391000000003</c:v>
                </c:pt>
                <c:pt idx="561">
                  <c:v>115.816581</c:v>
                </c:pt>
                <c:pt idx="562">
                  <c:v>109.817306</c:v>
                </c:pt>
                <c:pt idx="563">
                  <c:v>98.778859999999995</c:v>
                </c:pt>
                <c:pt idx="564">
                  <c:v>122.66425</c:v>
                </c:pt>
                <c:pt idx="565">
                  <c:v>204.639251</c:v>
                </c:pt>
                <c:pt idx="566">
                  <c:v>119.86378999999999</c:v>
                </c:pt>
                <c:pt idx="567">
                  <c:v>54.818041000000001</c:v>
                </c:pt>
                <c:pt idx="568">
                  <c:v>148.84335300000001</c:v>
                </c:pt>
                <c:pt idx="569">
                  <c:v>295.58473499999997</c:v>
                </c:pt>
                <c:pt idx="570">
                  <c:v>187.30185599999999</c:v>
                </c:pt>
                <c:pt idx="571">
                  <c:v>57.579214</c:v>
                </c:pt>
                <c:pt idx="572">
                  <c:v>77.504825999999994</c:v>
                </c:pt>
                <c:pt idx="573">
                  <c:v>56.623999000000005</c:v>
                </c:pt>
                <c:pt idx="574">
                  <c:v>61.613292999999999</c:v>
                </c:pt>
                <c:pt idx="575">
                  <c:v>112.85042299999999</c:v>
                </c:pt>
                <c:pt idx="576">
                  <c:v>87.513448000000011</c:v>
                </c:pt>
                <c:pt idx="577">
                  <c:v>47.587671</c:v>
                </c:pt>
                <c:pt idx="578">
                  <c:v>71.112015999999997</c:v>
                </c:pt>
                <c:pt idx="579">
                  <c:v>65.010852999999997</c:v>
                </c:pt>
                <c:pt idx="580">
                  <c:v>119.595054</c:v>
                </c:pt>
                <c:pt idx="581">
                  <c:v>119.29588199999999</c:v>
                </c:pt>
                <c:pt idx="582">
                  <c:v>100.617614</c:v>
                </c:pt>
                <c:pt idx="583">
                  <c:v>47.969997999999997</c:v>
                </c:pt>
                <c:pt idx="584">
                  <c:v>62.839870000000005</c:v>
                </c:pt>
                <c:pt idx="585">
                  <c:v>73.685134999999988</c:v>
                </c:pt>
                <c:pt idx="586">
                  <c:v>58.411174000000003</c:v>
                </c:pt>
                <c:pt idx="587">
                  <c:v>53.081889000000004</c:v>
                </c:pt>
                <c:pt idx="588">
                  <c:v>39.551927000000006</c:v>
                </c:pt>
                <c:pt idx="589">
                  <c:v>44.508303999999995</c:v>
                </c:pt>
                <c:pt idx="590">
                  <c:v>84.965941000000001</c:v>
                </c:pt>
                <c:pt idx="591">
                  <c:v>154.04540400000002</c:v>
                </c:pt>
                <c:pt idx="592">
                  <c:v>77.564145000000011</c:v>
                </c:pt>
                <c:pt idx="593">
                  <c:v>55.796743999999997</c:v>
                </c:pt>
                <c:pt idx="594">
                  <c:v>100.030469</c:v>
                </c:pt>
                <c:pt idx="595">
                  <c:v>301.79274400000003</c:v>
                </c:pt>
                <c:pt idx="596">
                  <c:v>374.86666300000002</c:v>
                </c:pt>
                <c:pt idx="597">
                  <c:v>392.27532299999996</c:v>
                </c:pt>
                <c:pt idx="598">
                  <c:v>415.31141599999995</c:v>
                </c:pt>
                <c:pt idx="599">
                  <c:v>192.22720900000002</c:v>
                </c:pt>
                <c:pt idx="600">
                  <c:v>169.731527</c:v>
                </c:pt>
                <c:pt idx="601">
                  <c:v>147.10712599999999</c:v>
                </c:pt>
                <c:pt idx="602">
                  <c:v>302.44678600000003</c:v>
                </c:pt>
                <c:pt idx="603">
                  <c:v>398.84176600000001</c:v>
                </c:pt>
                <c:pt idx="604">
                  <c:v>408.20784800000001</c:v>
                </c:pt>
                <c:pt idx="605">
                  <c:v>354.26643099999995</c:v>
                </c:pt>
                <c:pt idx="606">
                  <c:v>285.17761099999996</c:v>
                </c:pt>
                <c:pt idx="607">
                  <c:v>239.78311500000001</c:v>
                </c:pt>
                <c:pt idx="608">
                  <c:v>301.61685700000004</c:v>
                </c:pt>
                <c:pt idx="609">
                  <c:v>178.02342800000002</c:v>
                </c:pt>
                <c:pt idx="610">
                  <c:v>305.74657399999995</c:v>
                </c:pt>
                <c:pt idx="611">
                  <c:v>378.32392699999997</c:v>
                </c:pt>
                <c:pt idx="612">
                  <c:v>372.60674399999999</c:v>
                </c:pt>
                <c:pt idx="613">
                  <c:v>299.70202</c:v>
                </c:pt>
                <c:pt idx="614">
                  <c:v>285.86199200000004</c:v>
                </c:pt>
                <c:pt idx="615">
                  <c:v>220.725829</c:v>
                </c:pt>
                <c:pt idx="616">
                  <c:v>166.87135000000001</c:v>
                </c:pt>
                <c:pt idx="617">
                  <c:v>181.521907</c:v>
                </c:pt>
                <c:pt idx="618">
                  <c:v>264.74809799999997</c:v>
                </c:pt>
                <c:pt idx="619">
                  <c:v>315.18730300000004</c:v>
                </c:pt>
                <c:pt idx="620">
                  <c:v>353.79800700000004</c:v>
                </c:pt>
                <c:pt idx="621">
                  <c:v>269.20335400000005</c:v>
                </c:pt>
                <c:pt idx="622">
                  <c:v>237.42616199999998</c:v>
                </c:pt>
                <c:pt idx="623">
                  <c:v>195.84528600000002</c:v>
                </c:pt>
                <c:pt idx="624">
                  <c:v>103.63966099999999</c:v>
                </c:pt>
                <c:pt idx="625">
                  <c:v>164.571258</c:v>
                </c:pt>
                <c:pt idx="626">
                  <c:v>106.43720399999999</c:v>
                </c:pt>
                <c:pt idx="627">
                  <c:v>92.351899000000003</c:v>
                </c:pt>
                <c:pt idx="628">
                  <c:v>33.739069999999998</c:v>
                </c:pt>
                <c:pt idx="629">
                  <c:v>127.556757</c:v>
                </c:pt>
                <c:pt idx="630">
                  <c:v>334.56353200000001</c:v>
                </c:pt>
                <c:pt idx="631">
                  <c:v>358.19079600000003</c:v>
                </c:pt>
                <c:pt idx="632">
                  <c:v>302.07012300000002</c:v>
                </c:pt>
                <c:pt idx="633">
                  <c:v>259.81835000000001</c:v>
                </c:pt>
                <c:pt idx="634">
                  <c:v>171.069649</c:v>
                </c:pt>
                <c:pt idx="635">
                  <c:v>30.735408</c:v>
                </c:pt>
                <c:pt idx="636">
                  <c:v>201.74135699999999</c:v>
                </c:pt>
                <c:pt idx="637">
                  <c:v>217.51213000000001</c:v>
                </c:pt>
                <c:pt idx="638">
                  <c:v>290.59592700000002</c:v>
                </c:pt>
                <c:pt idx="639">
                  <c:v>285.56621200000001</c:v>
                </c:pt>
                <c:pt idx="640">
                  <c:v>272.68630400000001</c:v>
                </c:pt>
                <c:pt idx="641">
                  <c:v>208.15236199999998</c:v>
                </c:pt>
                <c:pt idx="642">
                  <c:v>179.16206299999999</c:v>
                </c:pt>
                <c:pt idx="643">
                  <c:v>290.76074</c:v>
                </c:pt>
                <c:pt idx="644">
                  <c:v>117.27066099999999</c:v>
                </c:pt>
                <c:pt idx="645">
                  <c:v>86.179502000000014</c:v>
                </c:pt>
                <c:pt idx="646">
                  <c:v>217.38391099999998</c:v>
                </c:pt>
                <c:pt idx="647">
                  <c:v>336.57010300000002</c:v>
                </c:pt>
                <c:pt idx="648">
                  <c:v>313.85512699999998</c:v>
                </c:pt>
                <c:pt idx="649">
                  <c:v>243.31872900000002</c:v>
                </c:pt>
                <c:pt idx="650">
                  <c:v>250.98701600000001</c:v>
                </c:pt>
                <c:pt idx="651">
                  <c:v>310.06988299999995</c:v>
                </c:pt>
                <c:pt idx="652">
                  <c:v>358.63419300000004</c:v>
                </c:pt>
                <c:pt idx="653">
                  <c:v>293.456637</c:v>
                </c:pt>
                <c:pt idx="654">
                  <c:v>241.63824300000002</c:v>
                </c:pt>
                <c:pt idx="655">
                  <c:v>117.79346</c:v>
                </c:pt>
                <c:pt idx="656">
                  <c:v>36.700868999999997</c:v>
                </c:pt>
                <c:pt idx="657">
                  <c:v>21.168843000000003</c:v>
                </c:pt>
                <c:pt idx="658">
                  <c:v>100.086298</c:v>
                </c:pt>
                <c:pt idx="659">
                  <c:v>341.38538800000003</c:v>
                </c:pt>
                <c:pt idx="660">
                  <c:v>265.60914700000001</c:v>
                </c:pt>
                <c:pt idx="661">
                  <c:v>259.51865900000001</c:v>
                </c:pt>
                <c:pt idx="662">
                  <c:v>186.19649699999999</c:v>
                </c:pt>
                <c:pt idx="663">
                  <c:v>40.526524999999999</c:v>
                </c:pt>
                <c:pt idx="664">
                  <c:v>34.68506</c:v>
                </c:pt>
                <c:pt idx="665">
                  <c:v>55.791398000000001</c:v>
                </c:pt>
                <c:pt idx="666">
                  <c:v>115.922409</c:v>
                </c:pt>
                <c:pt idx="667">
                  <c:v>82.692546000000007</c:v>
                </c:pt>
                <c:pt idx="668">
                  <c:v>38.915436</c:v>
                </c:pt>
                <c:pt idx="669">
                  <c:v>135.71794500000001</c:v>
                </c:pt>
                <c:pt idx="670">
                  <c:v>232.51278099999999</c:v>
                </c:pt>
                <c:pt idx="671">
                  <c:v>159.60731900000002</c:v>
                </c:pt>
                <c:pt idx="672">
                  <c:v>305.489642</c:v>
                </c:pt>
                <c:pt idx="673">
                  <c:v>282.85366299999998</c:v>
                </c:pt>
                <c:pt idx="674">
                  <c:v>137.70837299999999</c:v>
                </c:pt>
                <c:pt idx="675">
                  <c:v>304.50604700000002</c:v>
                </c:pt>
                <c:pt idx="676">
                  <c:v>312.16548199999994</c:v>
                </c:pt>
                <c:pt idx="677">
                  <c:v>264.33054299999998</c:v>
                </c:pt>
                <c:pt idx="678">
                  <c:v>193.81571499999998</c:v>
                </c:pt>
                <c:pt idx="679">
                  <c:v>24.501615000000001</c:v>
                </c:pt>
                <c:pt idx="680">
                  <c:v>90.165134000000009</c:v>
                </c:pt>
                <c:pt idx="681">
                  <c:v>145.66655799999998</c:v>
                </c:pt>
                <c:pt idx="682">
                  <c:v>122.95275599999999</c:v>
                </c:pt>
                <c:pt idx="683">
                  <c:v>155.15355400000001</c:v>
                </c:pt>
                <c:pt idx="684">
                  <c:v>261.16290299999997</c:v>
                </c:pt>
                <c:pt idx="685">
                  <c:v>261.31560999999999</c:v>
                </c:pt>
                <c:pt idx="686">
                  <c:v>312.65408100000002</c:v>
                </c:pt>
                <c:pt idx="687">
                  <c:v>414.04449200000005</c:v>
                </c:pt>
                <c:pt idx="688">
                  <c:v>314.62552699999998</c:v>
                </c:pt>
                <c:pt idx="689">
                  <c:v>283.75484299999999</c:v>
                </c:pt>
                <c:pt idx="690">
                  <c:v>128.34716900000001</c:v>
                </c:pt>
                <c:pt idx="691">
                  <c:v>122.565285</c:v>
                </c:pt>
                <c:pt idx="692">
                  <c:v>207.38079099999999</c:v>
                </c:pt>
                <c:pt idx="693">
                  <c:v>126.362179</c:v>
                </c:pt>
                <c:pt idx="694">
                  <c:v>82.124434999999991</c:v>
                </c:pt>
                <c:pt idx="695">
                  <c:v>80.573524999999989</c:v>
                </c:pt>
                <c:pt idx="696">
                  <c:v>44.098828999999995</c:v>
                </c:pt>
                <c:pt idx="697">
                  <c:v>85.233969999999999</c:v>
                </c:pt>
                <c:pt idx="698">
                  <c:v>161.50379799999999</c:v>
                </c:pt>
                <c:pt idx="699">
                  <c:v>136.78900099999998</c:v>
                </c:pt>
                <c:pt idx="700">
                  <c:v>64.648055999999997</c:v>
                </c:pt>
                <c:pt idx="701">
                  <c:v>66.609024999999988</c:v>
                </c:pt>
                <c:pt idx="702">
                  <c:v>159.570932</c:v>
                </c:pt>
                <c:pt idx="703">
                  <c:v>203.41647500000002</c:v>
                </c:pt>
                <c:pt idx="704">
                  <c:v>75.142522999999997</c:v>
                </c:pt>
                <c:pt idx="705">
                  <c:v>28.402622000000001</c:v>
                </c:pt>
                <c:pt idx="706">
                  <c:v>16.478073000000002</c:v>
                </c:pt>
                <c:pt idx="707">
                  <c:v>109.887308</c:v>
                </c:pt>
                <c:pt idx="708">
                  <c:v>287.31665800000002</c:v>
                </c:pt>
                <c:pt idx="709">
                  <c:v>328.98366800000002</c:v>
                </c:pt>
                <c:pt idx="710">
                  <c:v>321.94141300000001</c:v>
                </c:pt>
                <c:pt idx="711">
                  <c:v>394.74208199999998</c:v>
                </c:pt>
                <c:pt idx="712">
                  <c:v>308.47854099999995</c:v>
                </c:pt>
                <c:pt idx="713">
                  <c:v>326.069345</c:v>
                </c:pt>
                <c:pt idx="714">
                  <c:v>168.00345800000002</c:v>
                </c:pt>
                <c:pt idx="715">
                  <c:v>158.361592</c:v>
                </c:pt>
                <c:pt idx="716">
                  <c:v>247.67963900000001</c:v>
                </c:pt>
                <c:pt idx="717">
                  <c:v>234.71115799999998</c:v>
                </c:pt>
                <c:pt idx="718">
                  <c:v>145.812714</c:v>
                </c:pt>
                <c:pt idx="719">
                  <c:v>94.996506999999994</c:v>
                </c:pt>
                <c:pt idx="720">
                  <c:v>220.27656200000001</c:v>
                </c:pt>
                <c:pt idx="721">
                  <c:v>147.89119399999998</c:v>
                </c:pt>
                <c:pt idx="722">
                  <c:v>141.72768400000001</c:v>
                </c:pt>
                <c:pt idx="723">
                  <c:v>375.53033899999997</c:v>
                </c:pt>
                <c:pt idx="724">
                  <c:v>391.22846600000003</c:v>
                </c:pt>
                <c:pt idx="725">
                  <c:v>348.254188</c:v>
                </c:pt>
                <c:pt idx="726">
                  <c:v>358.702517</c:v>
                </c:pt>
                <c:pt idx="727">
                  <c:v>369.38583699999998</c:v>
                </c:pt>
                <c:pt idx="728">
                  <c:v>341.05037099999998</c:v>
                </c:pt>
                <c:pt idx="729">
                  <c:v>273.71320200000002</c:v>
                </c:pt>
                <c:pt idx="730">
                  <c:v>282.46823000000001</c:v>
                </c:pt>
                <c:pt idx="731">
                  <c:v>302.58799700000003</c:v>
                </c:pt>
                <c:pt idx="732">
                  <c:v>308.47750099999996</c:v>
                </c:pt>
                <c:pt idx="733">
                  <c:v>274.92086799999998</c:v>
                </c:pt>
                <c:pt idx="734">
                  <c:v>304.23699199999999</c:v>
                </c:pt>
                <c:pt idx="735">
                  <c:v>142.24659299999999</c:v>
                </c:pt>
                <c:pt idx="736">
                  <c:v>73.999161999999998</c:v>
                </c:pt>
                <c:pt idx="737">
                  <c:v>288.50652500000001</c:v>
                </c:pt>
                <c:pt idx="738">
                  <c:v>299.56948600000004</c:v>
                </c:pt>
                <c:pt idx="739">
                  <c:v>291.02707799999996</c:v>
                </c:pt>
                <c:pt idx="740">
                  <c:v>247.33821599999999</c:v>
                </c:pt>
                <c:pt idx="741">
                  <c:v>232.651847</c:v>
                </c:pt>
                <c:pt idx="742">
                  <c:v>92.806984999999997</c:v>
                </c:pt>
                <c:pt idx="743">
                  <c:v>77.202893000000003</c:v>
                </c:pt>
                <c:pt idx="744">
                  <c:v>155.45879300000001</c:v>
                </c:pt>
                <c:pt idx="745">
                  <c:v>123.792081</c:v>
                </c:pt>
                <c:pt idx="746">
                  <c:v>93.912283000000002</c:v>
                </c:pt>
                <c:pt idx="747">
                  <c:v>83.048638000000011</c:v>
                </c:pt>
                <c:pt idx="748">
                  <c:v>35.575354999999995</c:v>
                </c:pt>
                <c:pt idx="749">
                  <c:v>42.525300999999999</c:v>
                </c:pt>
                <c:pt idx="750">
                  <c:v>129.293679</c:v>
                </c:pt>
                <c:pt idx="751">
                  <c:v>187.288241</c:v>
                </c:pt>
                <c:pt idx="752">
                  <c:v>133.58196000000001</c:v>
                </c:pt>
                <c:pt idx="753">
                  <c:v>252.199883</c:v>
                </c:pt>
                <c:pt idx="754">
                  <c:v>191.61256399999999</c:v>
                </c:pt>
                <c:pt idx="755">
                  <c:v>196.29643099999998</c:v>
                </c:pt>
                <c:pt idx="756">
                  <c:v>259.00618500000002</c:v>
                </c:pt>
                <c:pt idx="757">
                  <c:v>330.68768499999999</c:v>
                </c:pt>
                <c:pt idx="758">
                  <c:v>291.58597100000003</c:v>
                </c:pt>
                <c:pt idx="759">
                  <c:v>207.19015400000001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5B-41FB-B4FF-442B24B1BF2E}"/>
            </c:ext>
          </c:extLst>
        </c:ser>
        <c:ser>
          <c:idx val="2"/>
          <c:order val="1"/>
          <c:tx>
            <c:v>SECO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'Data 4'!$F$2:$G$761</c:f>
              <c:multiLvlStrCache>
                <c:ptCount val="746"/>
                <c:lvl>
                  <c:pt idx="14">
                    <c:v>M</c:v>
                  </c:pt>
                  <c:pt idx="45">
                    <c:v>A</c:v>
                  </c:pt>
                  <c:pt idx="75">
                    <c:v>M</c:v>
                  </c:pt>
                  <c:pt idx="106">
                    <c:v>J</c:v>
                  </c:pt>
                  <c:pt idx="136">
                    <c:v>J</c:v>
                  </c:pt>
                  <c:pt idx="167">
                    <c:v>A</c:v>
                  </c:pt>
                  <c:pt idx="198">
                    <c:v>S</c:v>
                  </c:pt>
                  <c:pt idx="228">
                    <c:v>O</c:v>
                  </c:pt>
                  <c:pt idx="259">
                    <c:v>N</c:v>
                  </c:pt>
                  <c:pt idx="289">
                    <c:v>D</c:v>
                  </c:pt>
                  <c:pt idx="320">
                    <c:v>E</c:v>
                  </c:pt>
                  <c:pt idx="351">
                    <c:v>F</c:v>
                  </c:pt>
                  <c:pt idx="379">
                    <c:v>M</c:v>
                  </c:pt>
                  <c:pt idx="410">
                    <c:v>A</c:v>
                  </c:pt>
                  <c:pt idx="440">
                    <c:v>M</c:v>
                  </c:pt>
                  <c:pt idx="471">
                    <c:v>J</c:v>
                  </c:pt>
                  <c:pt idx="501">
                    <c:v>J</c:v>
                  </c:pt>
                  <c:pt idx="532">
                    <c:v>A</c:v>
                  </c:pt>
                  <c:pt idx="563">
                    <c:v>S</c:v>
                  </c:pt>
                  <c:pt idx="593">
                    <c:v>O</c:v>
                  </c:pt>
                  <c:pt idx="624">
                    <c:v>N</c:v>
                  </c:pt>
                  <c:pt idx="654">
                    <c:v>D</c:v>
                  </c:pt>
                  <c:pt idx="685">
                    <c:v>E</c:v>
                  </c:pt>
                  <c:pt idx="716">
                    <c:v>F</c:v>
                  </c:pt>
                  <c:pt idx="745">
                    <c:v>M</c:v>
                  </c:pt>
                </c:lvl>
                <c:lvl>
                  <c:pt idx="0">
                    <c:v>2022</c:v>
                  </c:pt>
                  <c:pt idx="306">
                    <c:v>2023</c:v>
                  </c:pt>
                  <c:pt idx="671">
                    <c:v>2024</c:v>
                  </c:pt>
                </c:lvl>
              </c:multiLvlStrCache>
            </c:multiLvlStrRef>
          </c:cat>
          <c:val>
            <c:numRef>
              <c:f>'Data 4'!$D$2:$D$761</c:f>
              <c:numCache>
                <c:formatCode>#,##0.0</c:formatCode>
                <c:ptCount val="760"/>
                <c:pt idx="0">
                  <c:v>207.68402057219242</c:v>
                </c:pt>
                <c:pt idx="1">
                  <c:v>207.68402057219242</c:v>
                </c:pt>
                <c:pt idx="2">
                  <c:v>207.68402057219242</c:v>
                </c:pt>
                <c:pt idx="3">
                  <c:v>207.68402057219242</c:v>
                </c:pt>
                <c:pt idx="4">
                  <c:v>207.68402057219242</c:v>
                </c:pt>
                <c:pt idx="5">
                  <c:v>207.68402057219242</c:v>
                </c:pt>
                <c:pt idx="6">
                  <c:v>207.68402057219242</c:v>
                </c:pt>
                <c:pt idx="7">
                  <c:v>207.68402057219242</c:v>
                </c:pt>
                <c:pt idx="8">
                  <c:v>207.68402057219242</c:v>
                </c:pt>
                <c:pt idx="9">
                  <c:v>207.68402057219242</c:v>
                </c:pt>
                <c:pt idx="10">
                  <c:v>207.68402057219242</c:v>
                </c:pt>
                <c:pt idx="11">
                  <c:v>207.68402057219242</c:v>
                </c:pt>
                <c:pt idx="12">
                  <c:v>207.68402057219242</c:v>
                </c:pt>
                <c:pt idx="13">
                  <c:v>207.68402057219242</c:v>
                </c:pt>
                <c:pt idx="14">
                  <c:v>207.68402057219242</c:v>
                </c:pt>
                <c:pt idx="15">
                  <c:v>207.68402057219242</c:v>
                </c:pt>
                <c:pt idx="16">
                  <c:v>207.68402057219242</c:v>
                </c:pt>
                <c:pt idx="17">
                  <c:v>207.68402057219242</c:v>
                </c:pt>
                <c:pt idx="18">
                  <c:v>207.68402057219242</c:v>
                </c:pt>
                <c:pt idx="19">
                  <c:v>207.68402057219242</c:v>
                </c:pt>
                <c:pt idx="20">
                  <c:v>207.68402057219242</c:v>
                </c:pt>
                <c:pt idx="21">
                  <c:v>207.68402057219242</c:v>
                </c:pt>
                <c:pt idx="22">
                  <c:v>207.68402057219242</c:v>
                </c:pt>
                <c:pt idx="23">
                  <c:v>207.68402057219242</c:v>
                </c:pt>
                <c:pt idx="24">
                  <c:v>207.68402057219242</c:v>
                </c:pt>
                <c:pt idx="25">
                  <c:v>207.68402057219242</c:v>
                </c:pt>
                <c:pt idx="26">
                  <c:v>207.68402057219242</c:v>
                </c:pt>
                <c:pt idx="27">
                  <c:v>207.68402057219242</c:v>
                </c:pt>
                <c:pt idx="28">
                  <c:v>207.68402057219242</c:v>
                </c:pt>
                <c:pt idx="29">
                  <c:v>207.68402057219242</c:v>
                </c:pt>
                <c:pt idx="30">
                  <c:v>207.68402057219242</c:v>
                </c:pt>
                <c:pt idx="31">
                  <c:v>174.13791028923481</c:v>
                </c:pt>
                <c:pt idx="32">
                  <c:v>174.13791028923481</c:v>
                </c:pt>
                <c:pt idx="33">
                  <c:v>174.13791028923481</c:v>
                </c:pt>
                <c:pt idx="34">
                  <c:v>174.13791028923481</c:v>
                </c:pt>
                <c:pt idx="35">
                  <c:v>174.13791028923481</c:v>
                </c:pt>
                <c:pt idx="36">
                  <c:v>174.13791028923481</c:v>
                </c:pt>
                <c:pt idx="37">
                  <c:v>174.13791028923481</c:v>
                </c:pt>
                <c:pt idx="38">
                  <c:v>174.13791028923481</c:v>
                </c:pt>
                <c:pt idx="39">
                  <c:v>174.13791028923481</c:v>
                </c:pt>
                <c:pt idx="40">
                  <c:v>174.13791028923481</c:v>
                </c:pt>
                <c:pt idx="41">
                  <c:v>174.13791028923481</c:v>
                </c:pt>
                <c:pt idx="42">
                  <c:v>174.13791028923481</c:v>
                </c:pt>
                <c:pt idx="43">
                  <c:v>174.13791028923481</c:v>
                </c:pt>
                <c:pt idx="44">
                  <c:v>174.13791028923481</c:v>
                </c:pt>
                <c:pt idx="45">
                  <c:v>174.13791028923481</c:v>
                </c:pt>
                <c:pt idx="46">
                  <c:v>174.13791028923481</c:v>
                </c:pt>
                <c:pt idx="47">
                  <c:v>174.13791028923481</c:v>
                </c:pt>
                <c:pt idx="48">
                  <c:v>174.13791028923481</c:v>
                </c:pt>
                <c:pt idx="49">
                  <c:v>174.13791028923481</c:v>
                </c:pt>
                <c:pt idx="50">
                  <c:v>174.13791028923481</c:v>
                </c:pt>
                <c:pt idx="51">
                  <c:v>174.13791028923481</c:v>
                </c:pt>
                <c:pt idx="52">
                  <c:v>174.13791028923481</c:v>
                </c:pt>
                <c:pt idx="53">
                  <c:v>174.13791028923481</c:v>
                </c:pt>
                <c:pt idx="54">
                  <c:v>174.13791028923481</c:v>
                </c:pt>
                <c:pt idx="55">
                  <c:v>174.13791028923481</c:v>
                </c:pt>
                <c:pt idx="56">
                  <c:v>174.13791028923481</c:v>
                </c:pt>
                <c:pt idx="57">
                  <c:v>174.13791028923481</c:v>
                </c:pt>
                <c:pt idx="58">
                  <c:v>174.13791028923481</c:v>
                </c:pt>
                <c:pt idx="59">
                  <c:v>174.13791028923481</c:v>
                </c:pt>
                <c:pt idx="60">
                  <c:v>174.13791028923481</c:v>
                </c:pt>
                <c:pt idx="61">
                  <c:v>155.81475678678186</c:v>
                </c:pt>
                <c:pt idx="62">
                  <c:v>155.81475678678186</c:v>
                </c:pt>
                <c:pt idx="63">
                  <c:v>155.81475678678186</c:v>
                </c:pt>
                <c:pt idx="64">
                  <c:v>155.81475678678186</c:v>
                </c:pt>
                <c:pt idx="65">
                  <c:v>155.81475678678186</c:v>
                </c:pt>
                <c:pt idx="66">
                  <c:v>155.81475678678186</c:v>
                </c:pt>
                <c:pt idx="67">
                  <c:v>155.81475678678186</c:v>
                </c:pt>
                <c:pt idx="68">
                  <c:v>155.81475678678186</c:v>
                </c:pt>
                <c:pt idx="69">
                  <c:v>155.81475678678186</c:v>
                </c:pt>
                <c:pt idx="70">
                  <c:v>155.81475678678186</c:v>
                </c:pt>
                <c:pt idx="71">
                  <c:v>155.81475678678186</c:v>
                </c:pt>
                <c:pt idx="72">
                  <c:v>155.81475678678186</c:v>
                </c:pt>
                <c:pt idx="73">
                  <c:v>155.81475678678186</c:v>
                </c:pt>
                <c:pt idx="74">
                  <c:v>155.81475678678186</c:v>
                </c:pt>
                <c:pt idx="75">
                  <c:v>155.81475678678186</c:v>
                </c:pt>
                <c:pt idx="76">
                  <c:v>155.81475678678186</c:v>
                </c:pt>
                <c:pt idx="77">
                  <c:v>155.81475678678186</c:v>
                </c:pt>
                <c:pt idx="78">
                  <c:v>155.81475678678186</c:v>
                </c:pt>
                <c:pt idx="79">
                  <c:v>155.81475678678186</c:v>
                </c:pt>
                <c:pt idx="80">
                  <c:v>155.81475678678186</c:v>
                </c:pt>
                <c:pt idx="81">
                  <c:v>155.81475678678186</c:v>
                </c:pt>
                <c:pt idx="82">
                  <c:v>155.81475678678186</c:v>
                </c:pt>
                <c:pt idx="83">
                  <c:v>155.81475678678186</c:v>
                </c:pt>
                <c:pt idx="84">
                  <c:v>155.81475678678186</c:v>
                </c:pt>
                <c:pt idx="85">
                  <c:v>155.81475678678186</c:v>
                </c:pt>
                <c:pt idx="86">
                  <c:v>155.81475678678186</c:v>
                </c:pt>
                <c:pt idx="87">
                  <c:v>155.81475678678186</c:v>
                </c:pt>
                <c:pt idx="88">
                  <c:v>155.81475678678186</c:v>
                </c:pt>
                <c:pt idx="89">
                  <c:v>155.81475678678186</c:v>
                </c:pt>
                <c:pt idx="90">
                  <c:v>155.81475678678186</c:v>
                </c:pt>
                <c:pt idx="91">
                  <c:v>155.81475678678186</c:v>
                </c:pt>
                <c:pt idx="92">
                  <c:v>161.0085820130079</c:v>
                </c:pt>
                <c:pt idx="93">
                  <c:v>129.36157987361148</c:v>
                </c:pt>
                <c:pt idx="94">
                  <c:v>129.36157987361148</c:v>
                </c:pt>
                <c:pt idx="95">
                  <c:v>129.36157987361148</c:v>
                </c:pt>
                <c:pt idx="96">
                  <c:v>129.36157987361148</c:v>
                </c:pt>
                <c:pt idx="97">
                  <c:v>129.36157987361148</c:v>
                </c:pt>
                <c:pt idx="98">
                  <c:v>129.36157987361148</c:v>
                </c:pt>
                <c:pt idx="99">
                  <c:v>129.36157987361148</c:v>
                </c:pt>
                <c:pt idx="100">
                  <c:v>129.36157987361148</c:v>
                </c:pt>
                <c:pt idx="101">
                  <c:v>129.36157987361148</c:v>
                </c:pt>
                <c:pt idx="102">
                  <c:v>129.36157987361148</c:v>
                </c:pt>
                <c:pt idx="103">
                  <c:v>129.36157987361148</c:v>
                </c:pt>
                <c:pt idx="104">
                  <c:v>129.36157987361148</c:v>
                </c:pt>
                <c:pt idx="105">
                  <c:v>129.36157987361148</c:v>
                </c:pt>
                <c:pt idx="106">
                  <c:v>129.36157987361148</c:v>
                </c:pt>
                <c:pt idx="107">
                  <c:v>129.36157987361148</c:v>
                </c:pt>
                <c:pt idx="108">
                  <c:v>129.36157987361148</c:v>
                </c:pt>
                <c:pt idx="109">
                  <c:v>129.36157987361148</c:v>
                </c:pt>
                <c:pt idx="110">
                  <c:v>129.36157987361148</c:v>
                </c:pt>
                <c:pt idx="111">
                  <c:v>129.36157987361148</c:v>
                </c:pt>
                <c:pt idx="112">
                  <c:v>129.36157987361148</c:v>
                </c:pt>
                <c:pt idx="113">
                  <c:v>129.36157987361148</c:v>
                </c:pt>
                <c:pt idx="114">
                  <c:v>129.36157987361148</c:v>
                </c:pt>
                <c:pt idx="115">
                  <c:v>129.36157987361148</c:v>
                </c:pt>
                <c:pt idx="116">
                  <c:v>129.36157987361148</c:v>
                </c:pt>
                <c:pt idx="117">
                  <c:v>129.36157987361148</c:v>
                </c:pt>
                <c:pt idx="118">
                  <c:v>129.36157987361148</c:v>
                </c:pt>
                <c:pt idx="119">
                  <c:v>129.36157987361148</c:v>
                </c:pt>
                <c:pt idx="120">
                  <c:v>129.36157987361148</c:v>
                </c:pt>
                <c:pt idx="121">
                  <c:v>129.36157987361148</c:v>
                </c:pt>
                <c:pt idx="122">
                  <c:v>127.91090441488167</c:v>
                </c:pt>
                <c:pt idx="123">
                  <c:v>127.91090441488167</c:v>
                </c:pt>
                <c:pt idx="124">
                  <c:v>127.91090441488167</c:v>
                </c:pt>
                <c:pt idx="125">
                  <c:v>127.91090441488167</c:v>
                </c:pt>
                <c:pt idx="126">
                  <c:v>127.91090441488167</c:v>
                </c:pt>
                <c:pt idx="127">
                  <c:v>127.91090441488167</c:v>
                </c:pt>
                <c:pt idx="128">
                  <c:v>127.91090441488167</c:v>
                </c:pt>
                <c:pt idx="129">
                  <c:v>127.91090441488167</c:v>
                </c:pt>
                <c:pt idx="130">
                  <c:v>127.91090441488167</c:v>
                </c:pt>
                <c:pt idx="131">
                  <c:v>127.91090441488167</c:v>
                </c:pt>
                <c:pt idx="132">
                  <c:v>127.91090441488167</c:v>
                </c:pt>
                <c:pt idx="133">
                  <c:v>127.91090441488167</c:v>
                </c:pt>
                <c:pt idx="134">
                  <c:v>127.91090441488167</c:v>
                </c:pt>
                <c:pt idx="135">
                  <c:v>127.91090441488167</c:v>
                </c:pt>
                <c:pt idx="136">
                  <c:v>127.91090441488167</c:v>
                </c:pt>
                <c:pt idx="137">
                  <c:v>127.91090441488167</c:v>
                </c:pt>
                <c:pt idx="138">
                  <c:v>127.91090441488167</c:v>
                </c:pt>
                <c:pt idx="139">
                  <c:v>127.91090441488167</c:v>
                </c:pt>
                <c:pt idx="140">
                  <c:v>127.91090441488167</c:v>
                </c:pt>
                <c:pt idx="141">
                  <c:v>127.91090441488167</c:v>
                </c:pt>
                <c:pt idx="142">
                  <c:v>127.91090441488167</c:v>
                </c:pt>
                <c:pt idx="143">
                  <c:v>127.91090441488167</c:v>
                </c:pt>
                <c:pt idx="144">
                  <c:v>127.91090441488167</c:v>
                </c:pt>
                <c:pt idx="145">
                  <c:v>127.91090441488167</c:v>
                </c:pt>
                <c:pt idx="146">
                  <c:v>127.91090441488167</c:v>
                </c:pt>
                <c:pt idx="147">
                  <c:v>127.91090441488167</c:v>
                </c:pt>
                <c:pt idx="148">
                  <c:v>127.91090441488167</c:v>
                </c:pt>
                <c:pt idx="149">
                  <c:v>127.91090441488167</c:v>
                </c:pt>
                <c:pt idx="150">
                  <c:v>127.91090441488167</c:v>
                </c:pt>
                <c:pt idx="151">
                  <c:v>127.91090441488167</c:v>
                </c:pt>
                <c:pt idx="152">
                  <c:v>127.91090441488167</c:v>
                </c:pt>
                <c:pt idx="153">
                  <c:v>124.9499079819372</c:v>
                </c:pt>
                <c:pt idx="154">
                  <c:v>124.9499079819372</c:v>
                </c:pt>
                <c:pt idx="155">
                  <c:v>124.9499079819372</c:v>
                </c:pt>
                <c:pt idx="156">
                  <c:v>124.9499079819372</c:v>
                </c:pt>
                <c:pt idx="157">
                  <c:v>124.9499079819372</c:v>
                </c:pt>
                <c:pt idx="158">
                  <c:v>124.9499079819372</c:v>
                </c:pt>
                <c:pt idx="159">
                  <c:v>124.9499079819372</c:v>
                </c:pt>
                <c:pt idx="160">
                  <c:v>124.9499079819372</c:v>
                </c:pt>
                <c:pt idx="161">
                  <c:v>124.9499079819372</c:v>
                </c:pt>
                <c:pt idx="162">
                  <c:v>124.9499079819372</c:v>
                </c:pt>
                <c:pt idx="163">
                  <c:v>124.9499079819372</c:v>
                </c:pt>
                <c:pt idx="164">
                  <c:v>124.9499079819372</c:v>
                </c:pt>
                <c:pt idx="165">
                  <c:v>124.9499079819372</c:v>
                </c:pt>
                <c:pt idx="166">
                  <c:v>124.9499079819372</c:v>
                </c:pt>
                <c:pt idx="167">
                  <c:v>124.9499079819372</c:v>
                </c:pt>
                <c:pt idx="168">
                  <c:v>124.9499079819372</c:v>
                </c:pt>
                <c:pt idx="169">
                  <c:v>124.9499079819372</c:v>
                </c:pt>
                <c:pt idx="170">
                  <c:v>124.9499079819372</c:v>
                </c:pt>
                <c:pt idx="171">
                  <c:v>124.9499079819372</c:v>
                </c:pt>
                <c:pt idx="172">
                  <c:v>124.9499079819372</c:v>
                </c:pt>
                <c:pt idx="173">
                  <c:v>124.9499079819372</c:v>
                </c:pt>
                <c:pt idx="174">
                  <c:v>124.9499079819372</c:v>
                </c:pt>
                <c:pt idx="175">
                  <c:v>124.9499079819372</c:v>
                </c:pt>
                <c:pt idx="176">
                  <c:v>124.9499079819372</c:v>
                </c:pt>
                <c:pt idx="177">
                  <c:v>124.9499079819372</c:v>
                </c:pt>
                <c:pt idx="178">
                  <c:v>124.9499079819372</c:v>
                </c:pt>
                <c:pt idx="179">
                  <c:v>124.9499079819372</c:v>
                </c:pt>
                <c:pt idx="180">
                  <c:v>124.9499079819372</c:v>
                </c:pt>
                <c:pt idx="181">
                  <c:v>124.9499079819372</c:v>
                </c:pt>
                <c:pt idx="182">
                  <c:v>124.9499079819372</c:v>
                </c:pt>
                <c:pt idx="183">
                  <c:v>124.9499079819372</c:v>
                </c:pt>
                <c:pt idx="184">
                  <c:v>123.02731730208201</c:v>
                </c:pt>
                <c:pt idx="185">
                  <c:v>123.02731730208201</c:v>
                </c:pt>
                <c:pt idx="186">
                  <c:v>123.02731730208201</c:v>
                </c:pt>
                <c:pt idx="187">
                  <c:v>123.02731730208201</c:v>
                </c:pt>
                <c:pt idx="188">
                  <c:v>123.02731730208201</c:v>
                </c:pt>
                <c:pt idx="189">
                  <c:v>123.02731730208201</c:v>
                </c:pt>
                <c:pt idx="190">
                  <c:v>123.02731730208201</c:v>
                </c:pt>
                <c:pt idx="191">
                  <c:v>123.02731730208201</c:v>
                </c:pt>
                <c:pt idx="192">
                  <c:v>123.02731730208201</c:v>
                </c:pt>
                <c:pt idx="193">
                  <c:v>123.02731730208201</c:v>
                </c:pt>
                <c:pt idx="194">
                  <c:v>123.02731730208201</c:v>
                </c:pt>
                <c:pt idx="195">
                  <c:v>123.02731730208201</c:v>
                </c:pt>
                <c:pt idx="196">
                  <c:v>123.02731730208201</c:v>
                </c:pt>
                <c:pt idx="197">
                  <c:v>123.02731730208201</c:v>
                </c:pt>
                <c:pt idx="198">
                  <c:v>123.02731730208201</c:v>
                </c:pt>
                <c:pt idx="199">
                  <c:v>123.02731730208201</c:v>
                </c:pt>
                <c:pt idx="200">
                  <c:v>123.02731730208201</c:v>
                </c:pt>
                <c:pt idx="201">
                  <c:v>123.02731730208201</c:v>
                </c:pt>
                <c:pt idx="202">
                  <c:v>123.02731730208201</c:v>
                </c:pt>
                <c:pt idx="203">
                  <c:v>123.02731730208201</c:v>
                </c:pt>
                <c:pt idx="204">
                  <c:v>123.02731730208201</c:v>
                </c:pt>
                <c:pt idx="205">
                  <c:v>123.02731730208201</c:v>
                </c:pt>
                <c:pt idx="206">
                  <c:v>123.02731730208201</c:v>
                </c:pt>
                <c:pt idx="207">
                  <c:v>123.02731730208201</c:v>
                </c:pt>
                <c:pt idx="208">
                  <c:v>123.02731730208201</c:v>
                </c:pt>
                <c:pt idx="209">
                  <c:v>123.02731730208201</c:v>
                </c:pt>
                <c:pt idx="210">
                  <c:v>123.02731730208201</c:v>
                </c:pt>
                <c:pt idx="211">
                  <c:v>123.02731730208201</c:v>
                </c:pt>
                <c:pt idx="212">
                  <c:v>123.02731730208201</c:v>
                </c:pt>
                <c:pt idx="213">
                  <c:v>123.02731730208201</c:v>
                </c:pt>
                <c:pt idx="214">
                  <c:v>143.55774537726487</c:v>
                </c:pt>
                <c:pt idx="215">
                  <c:v>143.55774537726487</c:v>
                </c:pt>
                <c:pt idx="216">
                  <c:v>143.55774537726487</c:v>
                </c:pt>
                <c:pt idx="217">
                  <c:v>143.55774537726487</c:v>
                </c:pt>
                <c:pt idx="218">
                  <c:v>143.55774537726487</c:v>
                </c:pt>
                <c:pt idx="219">
                  <c:v>143.55774537726487</c:v>
                </c:pt>
                <c:pt idx="220">
                  <c:v>143.55774537726487</c:v>
                </c:pt>
                <c:pt idx="221">
                  <c:v>143.55774537726487</c:v>
                </c:pt>
                <c:pt idx="222">
                  <c:v>143.55774537726487</c:v>
                </c:pt>
                <c:pt idx="223">
                  <c:v>143.55774537726487</c:v>
                </c:pt>
                <c:pt idx="224">
                  <c:v>143.55774537726487</c:v>
                </c:pt>
                <c:pt idx="225">
                  <c:v>143.55774537726487</c:v>
                </c:pt>
                <c:pt idx="226">
                  <c:v>143.55774537726487</c:v>
                </c:pt>
                <c:pt idx="227">
                  <c:v>143.55774537726487</c:v>
                </c:pt>
                <c:pt idx="228">
                  <c:v>143.55774537726487</c:v>
                </c:pt>
                <c:pt idx="229">
                  <c:v>143.55774537726487</c:v>
                </c:pt>
                <c:pt idx="230">
                  <c:v>143.55774537726487</c:v>
                </c:pt>
                <c:pt idx="231">
                  <c:v>143.55774537726487</c:v>
                </c:pt>
                <c:pt idx="232">
                  <c:v>143.55774537726487</c:v>
                </c:pt>
                <c:pt idx="233">
                  <c:v>143.55774537726487</c:v>
                </c:pt>
                <c:pt idx="234">
                  <c:v>143.55774537726487</c:v>
                </c:pt>
                <c:pt idx="235">
                  <c:v>143.55774537726487</c:v>
                </c:pt>
                <c:pt idx="236">
                  <c:v>143.55774537726487</c:v>
                </c:pt>
                <c:pt idx="237">
                  <c:v>143.55774537726487</c:v>
                </c:pt>
                <c:pt idx="238">
                  <c:v>143.55774537726487</c:v>
                </c:pt>
                <c:pt idx="239">
                  <c:v>143.55774537726487</c:v>
                </c:pt>
                <c:pt idx="240">
                  <c:v>143.55774537726487</c:v>
                </c:pt>
                <c:pt idx="241">
                  <c:v>143.55774537726487</c:v>
                </c:pt>
                <c:pt idx="242">
                  <c:v>143.55774537726487</c:v>
                </c:pt>
                <c:pt idx="243">
                  <c:v>143.55774537726487</c:v>
                </c:pt>
                <c:pt idx="244">
                  <c:v>143.55774537726487</c:v>
                </c:pt>
                <c:pt idx="245">
                  <c:v>195.90997281623723</c:v>
                </c:pt>
                <c:pt idx="246">
                  <c:v>195.90997281623723</c:v>
                </c:pt>
                <c:pt idx="247">
                  <c:v>195.90997281623723</c:v>
                </c:pt>
                <c:pt idx="248">
                  <c:v>195.90997281623723</c:v>
                </c:pt>
                <c:pt idx="249">
                  <c:v>195.90997281623723</c:v>
                </c:pt>
                <c:pt idx="250">
                  <c:v>195.90997281623723</c:v>
                </c:pt>
                <c:pt idx="251">
                  <c:v>195.90997281623723</c:v>
                </c:pt>
                <c:pt idx="252">
                  <c:v>195.90997281623723</c:v>
                </c:pt>
                <c:pt idx="253">
                  <c:v>195.90997281623723</c:v>
                </c:pt>
                <c:pt idx="254">
                  <c:v>195.90997281623723</c:v>
                </c:pt>
                <c:pt idx="255">
                  <c:v>195.90997281623723</c:v>
                </c:pt>
                <c:pt idx="256">
                  <c:v>195.90997281623723</c:v>
                </c:pt>
                <c:pt idx="257">
                  <c:v>195.90997281623723</c:v>
                </c:pt>
                <c:pt idx="258">
                  <c:v>195.90997281623723</c:v>
                </c:pt>
                <c:pt idx="259">
                  <c:v>195.90997281623723</c:v>
                </c:pt>
                <c:pt idx="260">
                  <c:v>195.90997281623723</c:v>
                </c:pt>
                <c:pt idx="261">
                  <c:v>195.90997281623723</c:v>
                </c:pt>
                <c:pt idx="262">
                  <c:v>195.90997281623723</c:v>
                </c:pt>
                <c:pt idx="263">
                  <c:v>195.90997281623723</c:v>
                </c:pt>
                <c:pt idx="264">
                  <c:v>195.90997281623723</c:v>
                </c:pt>
                <c:pt idx="265">
                  <c:v>195.90997281623723</c:v>
                </c:pt>
                <c:pt idx="266">
                  <c:v>195.90997281623723</c:v>
                </c:pt>
                <c:pt idx="267">
                  <c:v>195.90997281623723</c:v>
                </c:pt>
                <c:pt idx="268">
                  <c:v>195.90997281623723</c:v>
                </c:pt>
                <c:pt idx="269">
                  <c:v>195.90997281623723</c:v>
                </c:pt>
                <c:pt idx="270">
                  <c:v>195.90997281623723</c:v>
                </c:pt>
                <c:pt idx="271">
                  <c:v>195.90997281623723</c:v>
                </c:pt>
                <c:pt idx="272">
                  <c:v>195.90997281623723</c:v>
                </c:pt>
                <c:pt idx="273">
                  <c:v>195.90997281623723</c:v>
                </c:pt>
                <c:pt idx="274">
                  <c:v>195.90997281623723</c:v>
                </c:pt>
                <c:pt idx="275">
                  <c:v>189.59029627377797</c:v>
                </c:pt>
                <c:pt idx="276">
                  <c:v>191.2799990143146</c:v>
                </c:pt>
                <c:pt idx="277">
                  <c:v>191.2799990143146</c:v>
                </c:pt>
                <c:pt idx="278">
                  <c:v>191.2799990143146</c:v>
                </c:pt>
                <c:pt idx="279">
                  <c:v>191.2799990143146</c:v>
                </c:pt>
                <c:pt idx="280">
                  <c:v>191.2799990143146</c:v>
                </c:pt>
                <c:pt idx="281">
                  <c:v>191.2799990143146</c:v>
                </c:pt>
                <c:pt idx="282">
                  <c:v>191.2799990143146</c:v>
                </c:pt>
                <c:pt idx="283">
                  <c:v>191.2799990143146</c:v>
                </c:pt>
                <c:pt idx="284">
                  <c:v>191.2799990143146</c:v>
                </c:pt>
                <c:pt idx="285">
                  <c:v>191.2799990143146</c:v>
                </c:pt>
                <c:pt idx="286">
                  <c:v>191.2799990143146</c:v>
                </c:pt>
                <c:pt idx="287">
                  <c:v>191.2799990143146</c:v>
                </c:pt>
                <c:pt idx="288">
                  <c:v>191.2799990143146</c:v>
                </c:pt>
                <c:pt idx="289">
                  <c:v>191.2799990143146</c:v>
                </c:pt>
                <c:pt idx="290">
                  <c:v>191.2799990143146</c:v>
                </c:pt>
                <c:pt idx="291">
                  <c:v>191.2799990143146</c:v>
                </c:pt>
                <c:pt idx="292">
                  <c:v>191.2799990143146</c:v>
                </c:pt>
                <c:pt idx="293">
                  <c:v>191.2799990143146</c:v>
                </c:pt>
                <c:pt idx="294">
                  <c:v>191.2799990143146</c:v>
                </c:pt>
                <c:pt idx="295">
                  <c:v>191.2799990143146</c:v>
                </c:pt>
                <c:pt idx="296">
                  <c:v>191.2799990143146</c:v>
                </c:pt>
                <c:pt idx="297">
                  <c:v>191.2799990143146</c:v>
                </c:pt>
                <c:pt idx="298">
                  <c:v>191.2799990143146</c:v>
                </c:pt>
                <c:pt idx="299">
                  <c:v>191.2799990143146</c:v>
                </c:pt>
                <c:pt idx="300">
                  <c:v>191.2799990143146</c:v>
                </c:pt>
                <c:pt idx="301">
                  <c:v>191.2799990143146</c:v>
                </c:pt>
                <c:pt idx="302">
                  <c:v>191.2799990143146</c:v>
                </c:pt>
                <c:pt idx="303">
                  <c:v>191.2799990143146</c:v>
                </c:pt>
                <c:pt idx="304">
                  <c:v>191.2799990143146</c:v>
                </c:pt>
                <c:pt idx="305">
                  <c:v>191.2799990143146</c:v>
                </c:pt>
                <c:pt idx="306">
                  <c:v>225.3691466531568</c:v>
                </c:pt>
                <c:pt idx="307">
                  <c:v>225.3691466531568</c:v>
                </c:pt>
                <c:pt idx="308">
                  <c:v>225.3691466531568</c:v>
                </c:pt>
                <c:pt idx="309">
                  <c:v>225.3691466531568</c:v>
                </c:pt>
                <c:pt idx="310">
                  <c:v>225.3691466531568</c:v>
                </c:pt>
                <c:pt idx="311">
                  <c:v>225.3691466531568</c:v>
                </c:pt>
                <c:pt idx="312">
                  <c:v>225.3691466531568</c:v>
                </c:pt>
                <c:pt idx="313">
                  <c:v>225.3691466531568</c:v>
                </c:pt>
                <c:pt idx="314">
                  <c:v>225.3691466531568</c:v>
                </c:pt>
                <c:pt idx="315">
                  <c:v>225.3691466531568</c:v>
                </c:pt>
                <c:pt idx="316">
                  <c:v>225.3691466531568</c:v>
                </c:pt>
                <c:pt idx="317">
                  <c:v>225.3691466531568</c:v>
                </c:pt>
                <c:pt idx="318">
                  <c:v>225.3691466531568</c:v>
                </c:pt>
                <c:pt idx="319">
                  <c:v>225.3691466531568</c:v>
                </c:pt>
                <c:pt idx="320">
                  <c:v>225.3691466531568</c:v>
                </c:pt>
                <c:pt idx="321">
                  <c:v>225.3691466531568</c:v>
                </c:pt>
                <c:pt idx="322">
                  <c:v>225.3691466531568</c:v>
                </c:pt>
                <c:pt idx="323">
                  <c:v>225.3691466531568</c:v>
                </c:pt>
                <c:pt idx="324">
                  <c:v>225.3691466531568</c:v>
                </c:pt>
                <c:pt idx="325">
                  <c:v>225.3691466531568</c:v>
                </c:pt>
                <c:pt idx="326">
                  <c:v>225.3691466531568</c:v>
                </c:pt>
                <c:pt idx="327">
                  <c:v>225.3691466531568</c:v>
                </c:pt>
                <c:pt idx="328">
                  <c:v>225.3691466531568</c:v>
                </c:pt>
                <c:pt idx="329">
                  <c:v>225.3691466531568</c:v>
                </c:pt>
                <c:pt idx="330">
                  <c:v>225.3691466531568</c:v>
                </c:pt>
                <c:pt idx="331">
                  <c:v>225.3691466531568</c:v>
                </c:pt>
                <c:pt idx="332">
                  <c:v>225.3691466531568</c:v>
                </c:pt>
                <c:pt idx="333">
                  <c:v>225.3691466531568</c:v>
                </c:pt>
                <c:pt idx="334">
                  <c:v>225.3691466531568</c:v>
                </c:pt>
                <c:pt idx="335">
                  <c:v>225.3691466531568</c:v>
                </c:pt>
                <c:pt idx="336">
                  <c:v>225.3691466531568</c:v>
                </c:pt>
                <c:pt idx="337">
                  <c:v>228.61213933920766</c:v>
                </c:pt>
                <c:pt idx="338">
                  <c:v>228.61213933920766</c:v>
                </c:pt>
                <c:pt idx="339">
                  <c:v>228.61213933920766</c:v>
                </c:pt>
                <c:pt idx="340">
                  <c:v>228.61213933920766</c:v>
                </c:pt>
                <c:pt idx="341">
                  <c:v>228.61213933920766</c:v>
                </c:pt>
                <c:pt idx="342">
                  <c:v>228.61213933920766</c:v>
                </c:pt>
                <c:pt idx="343">
                  <c:v>228.61213933920766</c:v>
                </c:pt>
                <c:pt idx="344">
                  <c:v>228.61213933920766</c:v>
                </c:pt>
                <c:pt idx="345">
                  <c:v>228.61213933920766</c:v>
                </c:pt>
                <c:pt idx="346">
                  <c:v>228.61213933920766</c:v>
                </c:pt>
                <c:pt idx="347">
                  <c:v>228.61213933920766</c:v>
                </c:pt>
                <c:pt idx="348">
                  <c:v>228.61213933920766</c:v>
                </c:pt>
                <c:pt idx="349">
                  <c:v>228.61213933920766</c:v>
                </c:pt>
                <c:pt idx="350">
                  <c:v>228.61213933920766</c:v>
                </c:pt>
                <c:pt idx="351">
                  <c:v>228.61213933920766</c:v>
                </c:pt>
                <c:pt idx="352">
                  <c:v>228.61213933920766</c:v>
                </c:pt>
                <c:pt idx="353">
                  <c:v>228.61213933920766</c:v>
                </c:pt>
                <c:pt idx="354">
                  <c:v>228.61213933920766</c:v>
                </c:pt>
                <c:pt idx="355">
                  <c:v>228.61213933920766</c:v>
                </c:pt>
                <c:pt idx="356">
                  <c:v>228.61213933920766</c:v>
                </c:pt>
                <c:pt idx="357">
                  <c:v>228.61213933920766</c:v>
                </c:pt>
                <c:pt idx="358">
                  <c:v>228.61213933920766</c:v>
                </c:pt>
                <c:pt idx="359">
                  <c:v>228.61213933920766</c:v>
                </c:pt>
                <c:pt idx="360">
                  <c:v>228.61213933920766</c:v>
                </c:pt>
                <c:pt idx="361">
                  <c:v>228.61213933920766</c:v>
                </c:pt>
                <c:pt idx="362">
                  <c:v>228.61213933920766</c:v>
                </c:pt>
                <c:pt idx="363">
                  <c:v>228.61213933920766</c:v>
                </c:pt>
                <c:pt idx="364">
                  <c:v>228.61213933920766</c:v>
                </c:pt>
                <c:pt idx="365">
                  <c:v>223.09192557104552</c:v>
                </c:pt>
                <c:pt idx="366">
                  <c:v>223.09192557104552</c:v>
                </c:pt>
                <c:pt idx="367">
                  <c:v>223.09192557104552</c:v>
                </c:pt>
                <c:pt idx="368">
                  <c:v>223.09192557104552</c:v>
                </c:pt>
                <c:pt idx="369">
                  <c:v>223.09192557104552</c:v>
                </c:pt>
                <c:pt idx="370">
                  <c:v>223.09192557104552</c:v>
                </c:pt>
                <c:pt idx="371">
                  <c:v>223.09192557104552</c:v>
                </c:pt>
                <c:pt idx="372">
                  <c:v>223.09192557104552</c:v>
                </c:pt>
                <c:pt idx="373">
                  <c:v>223.09192557104552</c:v>
                </c:pt>
                <c:pt idx="374">
                  <c:v>223.09192557104552</c:v>
                </c:pt>
                <c:pt idx="375">
                  <c:v>223.09192557104552</c:v>
                </c:pt>
                <c:pt idx="376">
                  <c:v>223.09192557104552</c:v>
                </c:pt>
                <c:pt idx="377">
                  <c:v>223.09192557104552</c:v>
                </c:pt>
                <c:pt idx="378">
                  <c:v>223.09192557104552</c:v>
                </c:pt>
                <c:pt idx="379">
                  <c:v>223.09192557104552</c:v>
                </c:pt>
                <c:pt idx="380">
                  <c:v>223.09192557104552</c:v>
                </c:pt>
                <c:pt idx="381">
                  <c:v>223.09192557104552</c:v>
                </c:pt>
                <c:pt idx="382">
                  <c:v>223.09192557104552</c:v>
                </c:pt>
                <c:pt idx="383">
                  <c:v>223.09192557104552</c:v>
                </c:pt>
                <c:pt idx="384">
                  <c:v>223.09192557104552</c:v>
                </c:pt>
                <c:pt idx="385">
                  <c:v>223.09192557104552</c:v>
                </c:pt>
                <c:pt idx="386">
                  <c:v>223.09192557104552</c:v>
                </c:pt>
                <c:pt idx="387">
                  <c:v>223.09192557104552</c:v>
                </c:pt>
                <c:pt idx="388">
                  <c:v>223.09192557104552</c:v>
                </c:pt>
                <c:pt idx="389">
                  <c:v>223.09192557104552</c:v>
                </c:pt>
                <c:pt idx="390">
                  <c:v>223.09192557104552</c:v>
                </c:pt>
                <c:pt idx="391">
                  <c:v>223.09192557104552</c:v>
                </c:pt>
                <c:pt idx="392">
                  <c:v>223.09192557104552</c:v>
                </c:pt>
                <c:pt idx="393">
                  <c:v>223.09192557104552</c:v>
                </c:pt>
                <c:pt idx="394">
                  <c:v>223.09192557104552</c:v>
                </c:pt>
                <c:pt idx="395">
                  <c:v>223.09192557104552</c:v>
                </c:pt>
                <c:pt idx="396">
                  <c:v>178.27413072131017</c:v>
                </c:pt>
                <c:pt idx="397">
                  <c:v>178.27413072131017</c:v>
                </c:pt>
                <c:pt idx="398">
                  <c:v>178.27413072131017</c:v>
                </c:pt>
                <c:pt idx="399">
                  <c:v>178.27413072131017</c:v>
                </c:pt>
                <c:pt idx="400">
                  <c:v>178.27413072131017</c:v>
                </c:pt>
                <c:pt idx="401">
                  <c:v>178.27413072131017</c:v>
                </c:pt>
                <c:pt idx="402">
                  <c:v>178.27413072131017</c:v>
                </c:pt>
                <c:pt idx="403">
                  <c:v>178.27413072131017</c:v>
                </c:pt>
                <c:pt idx="404">
                  <c:v>178.27413072131017</c:v>
                </c:pt>
                <c:pt idx="405">
                  <c:v>178.27413072131017</c:v>
                </c:pt>
                <c:pt idx="406">
                  <c:v>178.27413072131017</c:v>
                </c:pt>
                <c:pt idx="407">
                  <c:v>178.27413072131017</c:v>
                </c:pt>
                <c:pt idx="408">
                  <c:v>178.27413072131017</c:v>
                </c:pt>
                <c:pt idx="409">
                  <c:v>178.27413072131017</c:v>
                </c:pt>
                <c:pt idx="410">
                  <c:v>178.27413072131017</c:v>
                </c:pt>
                <c:pt idx="411">
                  <c:v>178.27413072131017</c:v>
                </c:pt>
                <c:pt idx="412">
                  <c:v>178.27413072131017</c:v>
                </c:pt>
                <c:pt idx="413">
                  <c:v>178.27413072131017</c:v>
                </c:pt>
                <c:pt idx="414">
                  <c:v>178.27413072131017</c:v>
                </c:pt>
                <c:pt idx="415">
                  <c:v>178.27413072131017</c:v>
                </c:pt>
                <c:pt idx="416">
                  <c:v>178.27413072131017</c:v>
                </c:pt>
                <c:pt idx="417">
                  <c:v>178.27413072131017</c:v>
                </c:pt>
                <c:pt idx="418">
                  <c:v>178.27413072131017</c:v>
                </c:pt>
                <c:pt idx="419">
                  <c:v>178.27413072131017</c:v>
                </c:pt>
                <c:pt idx="420">
                  <c:v>178.27413072131017</c:v>
                </c:pt>
                <c:pt idx="421">
                  <c:v>178.27413072131017</c:v>
                </c:pt>
                <c:pt idx="422">
                  <c:v>178.27413072131017</c:v>
                </c:pt>
                <c:pt idx="423">
                  <c:v>178.27413072131017</c:v>
                </c:pt>
                <c:pt idx="424">
                  <c:v>178.27413072131017</c:v>
                </c:pt>
                <c:pt idx="425">
                  <c:v>178.27413072131017</c:v>
                </c:pt>
                <c:pt idx="426">
                  <c:v>162.70626060639816</c:v>
                </c:pt>
                <c:pt idx="427">
                  <c:v>162.70626060639816</c:v>
                </c:pt>
                <c:pt idx="428">
                  <c:v>162.70626060639816</c:v>
                </c:pt>
                <c:pt idx="429">
                  <c:v>162.70626060639816</c:v>
                </c:pt>
                <c:pt idx="430">
                  <c:v>162.70626060639816</c:v>
                </c:pt>
                <c:pt idx="431">
                  <c:v>162.70626060639816</c:v>
                </c:pt>
                <c:pt idx="432">
                  <c:v>162.70626060639816</c:v>
                </c:pt>
                <c:pt idx="433">
                  <c:v>162.70626060639816</c:v>
                </c:pt>
                <c:pt idx="434">
                  <c:v>162.70626060639816</c:v>
                </c:pt>
                <c:pt idx="435">
                  <c:v>162.70626060639816</c:v>
                </c:pt>
                <c:pt idx="436">
                  <c:v>162.70626060639816</c:v>
                </c:pt>
                <c:pt idx="437">
                  <c:v>162.70626060639816</c:v>
                </c:pt>
                <c:pt idx="438">
                  <c:v>162.70626060639816</c:v>
                </c:pt>
                <c:pt idx="439">
                  <c:v>162.70626060639816</c:v>
                </c:pt>
                <c:pt idx="440">
                  <c:v>162.70626060639816</c:v>
                </c:pt>
                <c:pt idx="441">
                  <c:v>162.70626060639816</c:v>
                </c:pt>
                <c:pt idx="442">
                  <c:v>162.70626060639816</c:v>
                </c:pt>
                <c:pt idx="443">
                  <c:v>162.70626060639816</c:v>
                </c:pt>
                <c:pt idx="444">
                  <c:v>162.70626060639816</c:v>
                </c:pt>
                <c:pt idx="445">
                  <c:v>162.70626060639816</c:v>
                </c:pt>
                <c:pt idx="446">
                  <c:v>162.70626060639816</c:v>
                </c:pt>
                <c:pt idx="447">
                  <c:v>162.70626060639816</c:v>
                </c:pt>
                <c:pt idx="448">
                  <c:v>162.70626060639816</c:v>
                </c:pt>
                <c:pt idx="449">
                  <c:v>162.70626060639816</c:v>
                </c:pt>
                <c:pt idx="450">
                  <c:v>162.70626060639816</c:v>
                </c:pt>
                <c:pt idx="451">
                  <c:v>162.70626060639816</c:v>
                </c:pt>
                <c:pt idx="452">
                  <c:v>162.70626060639816</c:v>
                </c:pt>
                <c:pt idx="453">
                  <c:v>162.70626060639816</c:v>
                </c:pt>
                <c:pt idx="454">
                  <c:v>162.70626060639816</c:v>
                </c:pt>
                <c:pt idx="455">
                  <c:v>162.70626060639816</c:v>
                </c:pt>
                <c:pt idx="456">
                  <c:v>162.70626060639816</c:v>
                </c:pt>
                <c:pt idx="457">
                  <c:v>132.97977590111603</c:v>
                </c:pt>
                <c:pt idx="458">
                  <c:v>132.97977590111603</c:v>
                </c:pt>
                <c:pt idx="459">
                  <c:v>132.97977590111603</c:v>
                </c:pt>
                <c:pt idx="460">
                  <c:v>132.97977590111603</c:v>
                </c:pt>
                <c:pt idx="461">
                  <c:v>132.97977590111603</c:v>
                </c:pt>
                <c:pt idx="462">
                  <c:v>132.97977590111603</c:v>
                </c:pt>
                <c:pt idx="463">
                  <c:v>132.97977590111603</c:v>
                </c:pt>
                <c:pt idx="464">
                  <c:v>132.97977590111603</c:v>
                </c:pt>
                <c:pt idx="465">
                  <c:v>132.97977590111603</c:v>
                </c:pt>
                <c:pt idx="466">
                  <c:v>132.97977590111603</c:v>
                </c:pt>
                <c:pt idx="467">
                  <c:v>132.97977590111603</c:v>
                </c:pt>
                <c:pt idx="468">
                  <c:v>132.97977590111603</c:v>
                </c:pt>
                <c:pt idx="469">
                  <c:v>132.97977590111603</c:v>
                </c:pt>
                <c:pt idx="470">
                  <c:v>132.97977590111603</c:v>
                </c:pt>
                <c:pt idx="471">
                  <c:v>132.97977590111603</c:v>
                </c:pt>
                <c:pt idx="472">
                  <c:v>132.97977590111603</c:v>
                </c:pt>
                <c:pt idx="473">
                  <c:v>132.97977590111603</c:v>
                </c:pt>
                <c:pt idx="474">
                  <c:v>132.97977590111603</c:v>
                </c:pt>
                <c:pt idx="475">
                  <c:v>132.97977590111603</c:v>
                </c:pt>
                <c:pt idx="476">
                  <c:v>132.97977590111603</c:v>
                </c:pt>
                <c:pt idx="477">
                  <c:v>132.97977590111603</c:v>
                </c:pt>
                <c:pt idx="478">
                  <c:v>132.97977590111603</c:v>
                </c:pt>
                <c:pt idx="479">
                  <c:v>132.97977590111603</c:v>
                </c:pt>
                <c:pt idx="480">
                  <c:v>132.97977590111603</c:v>
                </c:pt>
                <c:pt idx="481">
                  <c:v>132.97977590111603</c:v>
                </c:pt>
                <c:pt idx="482">
                  <c:v>132.97977590111603</c:v>
                </c:pt>
                <c:pt idx="483">
                  <c:v>132.97977590111603</c:v>
                </c:pt>
                <c:pt idx="484">
                  <c:v>132.97977590111603</c:v>
                </c:pt>
                <c:pt idx="485">
                  <c:v>132.97977590111603</c:v>
                </c:pt>
                <c:pt idx="486">
                  <c:v>132.97977590111603</c:v>
                </c:pt>
                <c:pt idx="487">
                  <c:v>135.99042281783323</c:v>
                </c:pt>
                <c:pt idx="488">
                  <c:v>135.99042281783323</c:v>
                </c:pt>
                <c:pt idx="489">
                  <c:v>135.99042281783323</c:v>
                </c:pt>
                <c:pt idx="490">
                  <c:v>135.99042281783323</c:v>
                </c:pt>
                <c:pt idx="491">
                  <c:v>135.99042281783323</c:v>
                </c:pt>
                <c:pt idx="492">
                  <c:v>135.99042281783323</c:v>
                </c:pt>
                <c:pt idx="493">
                  <c:v>135.99042281783323</c:v>
                </c:pt>
                <c:pt idx="494">
                  <c:v>135.99042281783323</c:v>
                </c:pt>
                <c:pt idx="495">
                  <c:v>135.99042281783323</c:v>
                </c:pt>
                <c:pt idx="496">
                  <c:v>135.99042281783323</c:v>
                </c:pt>
                <c:pt idx="497">
                  <c:v>135.99042281783323</c:v>
                </c:pt>
                <c:pt idx="498">
                  <c:v>135.99042281783323</c:v>
                </c:pt>
                <c:pt idx="499">
                  <c:v>135.99042281783323</c:v>
                </c:pt>
                <c:pt idx="500">
                  <c:v>135.99042281783323</c:v>
                </c:pt>
                <c:pt idx="501">
                  <c:v>135.99042281783323</c:v>
                </c:pt>
                <c:pt idx="502">
                  <c:v>135.99042281783323</c:v>
                </c:pt>
                <c:pt idx="503">
                  <c:v>135.99042281783323</c:v>
                </c:pt>
                <c:pt idx="504">
                  <c:v>135.99042281783323</c:v>
                </c:pt>
                <c:pt idx="505">
                  <c:v>135.99042281783323</c:v>
                </c:pt>
                <c:pt idx="506">
                  <c:v>135.99042281783323</c:v>
                </c:pt>
                <c:pt idx="507">
                  <c:v>135.99042281783323</c:v>
                </c:pt>
                <c:pt idx="508">
                  <c:v>135.99042281783323</c:v>
                </c:pt>
                <c:pt idx="509">
                  <c:v>135.99042281783323</c:v>
                </c:pt>
                <c:pt idx="510">
                  <c:v>135.99042281783323</c:v>
                </c:pt>
                <c:pt idx="511">
                  <c:v>135.99042281783323</c:v>
                </c:pt>
                <c:pt idx="512">
                  <c:v>135.99042281783323</c:v>
                </c:pt>
                <c:pt idx="513">
                  <c:v>135.99042281783323</c:v>
                </c:pt>
                <c:pt idx="514">
                  <c:v>135.99042281783323</c:v>
                </c:pt>
                <c:pt idx="515">
                  <c:v>135.99042281783323</c:v>
                </c:pt>
                <c:pt idx="516">
                  <c:v>135.99042281783323</c:v>
                </c:pt>
                <c:pt idx="517">
                  <c:v>135.99042281783323</c:v>
                </c:pt>
                <c:pt idx="518">
                  <c:v>131.29490490319</c:v>
                </c:pt>
                <c:pt idx="519">
                  <c:v>131.29490490319</c:v>
                </c:pt>
                <c:pt idx="520">
                  <c:v>131.29490490319</c:v>
                </c:pt>
                <c:pt idx="521">
                  <c:v>131.29490490319</c:v>
                </c:pt>
                <c:pt idx="522">
                  <c:v>131.29490490319</c:v>
                </c:pt>
                <c:pt idx="523">
                  <c:v>131.29490490319</c:v>
                </c:pt>
                <c:pt idx="524">
                  <c:v>131.29490490319</c:v>
                </c:pt>
                <c:pt idx="525">
                  <c:v>131.29490490319</c:v>
                </c:pt>
                <c:pt idx="526">
                  <c:v>131.29490490319</c:v>
                </c:pt>
                <c:pt idx="527">
                  <c:v>131.29490490319</c:v>
                </c:pt>
                <c:pt idx="528">
                  <c:v>131.29490490319</c:v>
                </c:pt>
                <c:pt idx="529">
                  <c:v>131.29490490319</c:v>
                </c:pt>
                <c:pt idx="530">
                  <c:v>131.29490490319</c:v>
                </c:pt>
                <c:pt idx="531">
                  <c:v>131.29490490319</c:v>
                </c:pt>
                <c:pt idx="532">
                  <c:v>131.29490490319</c:v>
                </c:pt>
                <c:pt idx="533">
                  <c:v>131.29490490319</c:v>
                </c:pt>
                <c:pt idx="534">
                  <c:v>131.29490490319</c:v>
                </c:pt>
                <c:pt idx="535">
                  <c:v>131.29490490319</c:v>
                </c:pt>
                <c:pt idx="536">
                  <c:v>131.29490490319</c:v>
                </c:pt>
                <c:pt idx="537">
                  <c:v>131.29490490319</c:v>
                </c:pt>
                <c:pt idx="538">
                  <c:v>131.29490490319</c:v>
                </c:pt>
                <c:pt idx="539">
                  <c:v>131.29490490319</c:v>
                </c:pt>
                <c:pt idx="540">
                  <c:v>131.29490490319</c:v>
                </c:pt>
                <c:pt idx="541">
                  <c:v>131.29490490319</c:v>
                </c:pt>
                <c:pt idx="542">
                  <c:v>131.29490490319</c:v>
                </c:pt>
                <c:pt idx="543">
                  <c:v>131.29490490319</c:v>
                </c:pt>
                <c:pt idx="544">
                  <c:v>131.29490490319</c:v>
                </c:pt>
                <c:pt idx="545">
                  <c:v>131.29490490319</c:v>
                </c:pt>
                <c:pt idx="546">
                  <c:v>121.53883948770532</c:v>
                </c:pt>
                <c:pt idx="547">
                  <c:v>121.53883948770532</c:v>
                </c:pt>
                <c:pt idx="548">
                  <c:v>121.53883948770532</c:v>
                </c:pt>
                <c:pt idx="549">
                  <c:v>125.59013413729549</c:v>
                </c:pt>
                <c:pt idx="550">
                  <c:v>125.59013413729549</c:v>
                </c:pt>
                <c:pt idx="551">
                  <c:v>125.59013413729549</c:v>
                </c:pt>
                <c:pt idx="552">
                  <c:v>125.59013413729549</c:v>
                </c:pt>
                <c:pt idx="553">
                  <c:v>125.59013413729549</c:v>
                </c:pt>
                <c:pt idx="554">
                  <c:v>125.59013413729549</c:v>
                </c:pt>
                <c:pt idx="555">
                  <c:v>125.59013413729549</c:v>
                </c:pt>
                <c:pt idx="556">
                  <c:v>125.59013413729549</c:v>
                </c:pt>
                <c:pt idx="557">
                  <c:v>125.59013413729549</c:v>
                </c:pt>
                <c:pt idx="558">
                  <c:v>125.59013413729549</c:v>
                </c:pt>
                <c:pt idx="559">
                  <c:v>125.59013413729549</c:v>
                </c:pt>
                <c:pt idx="560">
                  <c:v>125.59013413729549</c:v>
                </c:pt>
                <c:pt idx="561">
                  <c:v>125.59013413729549</c:v>
                </c:pt>
                <c:pt idx="562">
                  <c:v>125.59013413729549</c:v>
                </c:pt>
                <c:pt idx="563">
                  <c:v>125.59013413729549</c:v>
                </c:pt>
                <c:pt idx="564">
                  <c:v>125.59013413729549</c:v>
                </c:pt>
                <c:pt idx="565">
                  <c:v>125.59013413729549</c:v>
                </c:pt>
                <c:pt idx="566">
                  <c:v>125.59013413729549</c:v>
                </c:pt>
                <c:pt idx="567">
                  <c:v>125.59013413729549</c:v>
                </c:pt>
                <c:pt idx="568">
                  <c:v>125.59013413729549</c:v>
                </c:pt>
                <c:pt idx="569">
                  <c:v>125.59013413729549</c:v>
                </c:pt>
                <c:pt idx="570">
                  <c:v>125.59013413729549</c:v>
                </c:pt>
                <c:pt idx="571">
                  <c:v>125.59013413729549</c:v>
                </c:pt>
                <c:pt idx="572">
                  <c:v>125.59013413729549</c:v>
                </c:pt>
                <c:pt idx="573">
                  <c:v>125.59013413729549</c:v>
                </c:pt>
                <c:pt idx="574">
                  <c:v>125.59013413729549</c:v>
                </c:pt>
                <c:pt idx="575">
                  <c:v>125.59013413729549</c:v>
                </c:pt>
                <c:pt idx="576">
                  <c:v>125.59013413729549</c:v>
                </c:pt>
                <c:pt idx="577">
                  <c:v>125.59013413729549</c:v>
                </c:pt>
                <c:pt idx="578">
                  <c:v>125.59013413729549</c:v>
                </c:pt>
                <c:pt idx="579">
                  <c:v>153.81281429631619</c:v>
                </c:pt>
                <c:pt idx="580">
                  <c:v>153.81281429631619</c:v>
                </c:pt>
                <c:pt idx="581">
                  <c:v>153.81281429631619</c:v>
                </c:pt>
                <c:pt idx="582">
                  <c:v>153.81281429631619</c:v>
                </c:pt>
                <c:pt idx="583">
                  <c:v>153.81281429631619</c:v>
                </c:pt>
                <c:pt idx="584">
                  <c:v>153.81281429631619</c:v>
                </c:pt>
                <c:pt idx="585">
                  <c:v>153.81281429631619</c:v>
                </c:pt>
                <c:pt idx="586">
                  <c:v>153.81281429631619</c:v>
                </c:pt>
                <c:pt idx="587">
                  <c:v>153.81281429631619</c:v>
                </c:pt>
                <c:pt idx="588">
                  <c:v>153.81281429631619</c:v>
                </c:pt>
                <c:pt idx="589">
                  <c:v>153.81281429631619</c:v>
                </c:pt>
                <c:pt idx="590">
                  <c:v>153.81281429631619</c:v>
                </c:pt>
                <c:pt idx="591">
                  <c:v>153.81281429631619</c:v>
                </c:pt>
                <c:pt idx="592">
                  <c:v>153.81281429631619</c:v>
                </c:pt>
                <c:pt idx="593">
                  <c:v>153.81281429631619</c:v>
                </c:pt>
                <c:pt idx="594">
                  <c:v>153.81281429631619</c:v>
                </c:pt>
                <c:pt idx="595">
                  <c:v>153.81281429631619</c:v>
                </c:pt>
                <c:pt idx="596">
                  <c:v>153.81281429631619</c:v>
                </c:pt>
                <c:pt idx="597">
                  <c:v>153.81281429631619</c:v>
                </c:pt>
                <c:pt idx="598">
                  <c:v>153.81281429631619</c:v>
                </c:pt>
                <c:pt idx="599">
                  <c:v>153.81281429631619</c:v>
                </c:pt>
                <c:pt idx="600">
                  <c:v>153.81281429631619</c:v>
                </c:pt>
                <c:pt idx="601">
                  <c:v>153.81281429631619</c:v>
                </c:pt>
                <c:pt idx="602">
                  <c:v>153.81281429631619</c:v>
                </c:pt>
                <c:pt idx="603">
                  <c:v>153.81281429631619</c:v>
                </c:pt>
                <c:pt idx="604">
                  <c:v>153.81281429631619</c:v>
                </c:pt>
                <c:pt idx="605">
                  <c:v>153.81281429631619</c:v>
                </c:pt>
                <c:pt idx="606">
                  <c:v>153.81281429631619</c:v>
                </c:pt>
                <c:pt idx="607">
                  <c:v>153.81281429631619</c:v>
                </c:pt>
                <c:pt idx="608">
                  <c:v>153.81281429631619</c:v>
                </c:pt>
                <c:pt idx="609">
                  <c:v>153.81281429631619</c:v>
                </c:pt>
                <c:pt idx="610">
                  <c:v>207.77304190419628</c:v>
                </c:pt>
                <c:pt idx="611">
                  <c:v>207.77304190419628</c:v>
                </c:pt>
                <c:pt idx="612">
                  <c:v>207.77304190419628</c:v>
                </c:pt>
                <c:pt idx="613">
                  <c:v>207.77304190419628</c:v>
                </c:pt>
                <c:pt idx="614">
                  <c:v>207.77304190419628</c:v>
                </c:pt>
                <c:pt idx="615">
                  <c:v>207.77304190419628</c:v>
                </c:pt>
                <c:pt idx="616">
                  <c:v>207.77304190419628</c:v>
                </c:pt>
                <c:pt idx="617">
                  <c:v>207.77304190419628</c:v>
                </c:pt>
                <c:pt idx="618">
                  <c:v>207.77304190419628</c:v>
                </c:pt>
                <c:pt idx="619">
                  <c:v>207.77304190419628</c:v>
                </c:pt>
                <c:pt idx="620">
                  <c:v>207.77304190419628</c:v>
                </c:pt>
                <c:pt idx="621">
                  <c:v>207.77304190419628</c:v>
                </c:pt>
                <c:pt idx="622">
                  <c:v>207.77304190419628</c:v>
                </c:pt>
                <c:pt idx="623">
                  <c:v>207.77304190419628</c:v>
                </c:pt>
                <c:pt idx="624">
                  <c:v>207.77304190419628</c:v>
                </c:pt>
                <c:pt idx="625">
                  <c:v>207.77304190419628</c:v>
                </c:pt>
                <c:pt idx="626">
                  <c:v>207.77304190419628</c:v>
                </c:pt>
                <c:pt idx="627">
                  <c:v>207.77304190419628</c:v>
                </c:pt>
                <c:pt idx="628">
                  <c:v>207.77304190419628</c:v>
                </c:pt>
                <c:pt idx="629">
                  <c:v>207.77304190419628</c:v>
                </c:pt>
                <c:pt idx="630">
                  <c:v>207.77304190419628</c:v>
                </c:pt>
                <c:pt idx="631">
                  <c:v>207.77304190419628</c:v>
                </c:pt>
                <c:pt idx="632">
                  <c:v>207.77304190419628</c:v>
                </c:pt>
                <c:pt idx="633">
                  <c:v>207.77304190419628</c:v>
                </c:pt>
                <c:pt idx="634">
                  <c:v>207.77304190419628</c:v>
                </c:pt>
                <c:pt idx="635">
                  <c:v>207.77304190419628</c:v>
                </c:pt>
                <c:pt idx="636">
                  <c:v>207.77304190419628</c:v>
                </c:pt>
                <c:pt idx="637">
                  <c:v>207.77304190419628</c:v>
                </c:pt>
                <c:pt idx="638">
                  <c:v>207.77304190419628</c:v>
                </c:pt>
                <c:pt idx="639">
                  <c:v>207.77304190419628</c:v>
                </c:pt>
                <c:pt idx="640">
                  <c:v>195.82097441715905</c:v>
                </c:pt>
                <c:pt idx="641">
                  <c:v>195.82097441715905</c:v>
                </c:pt>
                <c:pt idx="642">
                  <c:v>195.82097441715905</c:v>
                </c:pt>
                <c:pt idx="643">
                  <c:v>195.82097441715905</c:v>
                </c:pt>
                <c:pt idx="644">
                  <c:v>195.82097441715905</c:v>
                </c:pt>
                <c:pt idx="645">
                  <c:v>195.82097441715905</c:v>
                </c:pt>
                <c:pt idx="646">
                  <c:v>195.82097441715905</c:v>
                </c:pt>
                <c:pt idx="647">
                  <c:v>195.82097441715905</c:v>
                </c:pt>
                <c:pt idx="648">
                  <c:v>195.82097441715905</c:v>
                </c:pt>
                <c:pt idx="649">
                  <c:v>195.82097441715905</c:v>
                </c:pt>
                <c:pt idx="650">
                  <c:v>195.82097441715905</c:v>
                </c:pt>
                <c:pt idx="651">
                  <c:v>195.82097441715905</c:v>
                </c:pt>
                <c:pt idx="652">
                  <c:v>195.82097441715905</c:v>
                </c:pt>
                <c:pt idx="653">
                  <c:v>195.82097441715905</c:v>
                </c:pt>
                <c:pt idx="654">
                  <c:v>195.82097441715905</c:v>
                </c:pt>
                <c:pt idx="655">
                  <c:v>195.82097441715905</c:v>
                </c:pt>
                <c:pt idx="656">
                  <c:v>195.82097441715905</c:v>
                </c:pt>
                <c:pt idx="657">
                  <c:v>195.82097441715905</c:v>
                </c:pt>
                <c:pt idx="658">
                  <c:v>195.82097441715905</c:v>
                </c:pt>
                <c:pt idx="659">
                  <c:v>195.82097441715905</c:v>
                </c:pt>
                <c:pt idx="660">
                  <c:v>195.82097441715905</c:v>
                </c:pt>
                <c:pt idx="661">
                  <c:v>195.82097441715905</c:v>
                </c:pt>
                <c:pt idx="662">
                  <c:v>195.82097441715905</c:v>
                </c:pt>
                <c:pt idx="663">
                  <c:v>195.82097441715905</c:v>
                </c:pt>
                <c:pt idx="664">
                  <c:v>195.82097441715905</c:v>
                </c:pt>
                <c:pt idx="665">
                  <c:v>195.82097441715905</c:v>
                </c:pt>
                <c:pt idx="666">
                  <c:v>195.82097441715905</c:v>
                </c:pt>
                <c:pt idx="667">
                  <c:v>195.82097441715905</c:v>
                </c:pt>
                <c:pt idx="668">
                  <c:v>195.82097441715905</c:v>
                </c:pt>
                <c:pt idx="669">
                  <c:v>195.82097441715905</c:v>
                </c:pt>
                <c:pt idx="670">
                  <c:v>195.82097441715905</c:v>
                </c:pt>
                <c:pt idx="671">
                  <c:v>226.88280316780788</c:v>
                </c:pt>
                <c:pt idx="672">
                  <c:v>226.88280316780788</c:v>
                </c:pt>
                <c:pt idx="673">
                  <c:v>226.88280316780788</c:v>
                </c:pt>
                <c:pt idx="674">
                  <c:v>226.88280316780788</c:v>
                </c:pt>
                <c:pt idx="675">
                  <c:v>226.88280316780788</c:v>
                </c:pt>
                <c:pt idx="676">
                  <c:v>226.88280316780788</c:v>
                </c:pt>
                <c:pt idx="677">
                  <c:v>226.88280316780788</c:v>
                </c:pt>
                <c:pt idx="678">
                  <c:v>226.88280316780788</c:v>
                </c:pt>
                <c:pt idx="679">
                  <c:v>226.88280316780788</c:v>
                </c:pt>
                <c:pt idx="680">
                  <c:v>226.88280316780788</c:v>
                </c:pt>
                <c:pt idx="681">
                  <c:v>226.88280316780788</c:v>
                </c:pt>
                <c:pt idx="682">
                  <c:v>226.88280316780788</c:v>
                </c:pt>
                <c:pt idx="683">
                  <c:v>226.88280316780788</c:v>
                </c:pt>
                <c:pt idx="684">
                  <c:v>226.88280316780788</c:v>
                </c:pt>
                <c:pt idx="685">
                  <c:v>226.88280316780788</c:v>
                </c:pt>
                <c:pt idx="686">
                  <c:v>226.88280316780788</c:v>
                </c:pt>
                <c:pt idx="687">
                  <c:v>226.88280316780788</c:v>
                </c:pt>
                <c:pt idx="688">
                  <c:v>226.88280316780788</c:v>
                </c:pt>
                <c:pt idx="689">
                  <c:v>226.88280316780788</c:v>
                </c:pt>
                <c:pt idx="690">
                  <c:v>226.88280316780788</c:v>
                </c:pt>
                <c:pt idx="691">
                  <c:v>226.88280316780788</c:v>
                </c:pt>
                <c:pt idx="692">
                  <c:v>226.88280316780788</c:v>
                </c:pt>
                <c:pt idx="693">
                  <c:v>226.88280316780788</c:v>
                </c:pt>
                <c:pt idx="694">
                  <c:v>226.88280316780788</c:v>
                </c:pt>
                <c:pt idx="695">
                  <c:v>226.88280316780788</c:v>
                </c:pt>
                <c:pt idx="696">
                  <c:v>226.88280316780788</c:v>
                </c:pt>
                <c:pt idx="697">
                  <c:v>226.88280316780788</c:v>
                </c:pt>
                <c:pt idx="698">
                  <c:v>226.88280316780788</c:v>
                </c:pt>
                <c:pt idx="699">
                  <c:v>226.88280316780788</c:v>
                </c:pt>
                <c:pt idx="700">
                  <c:v>226.88280316780788</c:v>
                </c:pt>
                <c:pt idx="701">
                  <c:v>226.88280316780788</c:v>
                </c:pt>
                <c:pt idx="702">
                  <c:v>217.02516159158938</c:v>
                </c:pt>
                <c:pt idx="703">
                  <c:v>217.02516159158938</c:v>
                </c:pt>
                <c:pt idx="704">
                  <c:v>217.02516159158938</c:v>
                </c:pt>
                <c:pt idx="705">
                  <c:v>217.02516159158938</c:v>
                </c:pt>
                <c:pt idx="706">
                  <c:v>217.02516159158938</c:v>
                </c:pt>
                <c:pt idx="707">
                  <c:v>217.02516159158938</c:v>
                </c:pt>
                <c:pt idx="708">
                  <c:v>217.02516159158938</c:v>
                </c:pt>
                <c:pt idx="709">
                  <c:v>217.02516159158938</c:v>
                </c:pt>
                <c:pt idx="710">
                  <c:v>217.02516159158938</c:v>
                </c:pt>
                <c:pt idx="711">
                  <c:v>217.02516159158938</c:v>
                </c:pt>
                <c:pt idx="712">
                  <c:v>217.02516159158938</c:v>
                </c:pt>
                <c:pt idx="713">
                  <c:v>217.02516159158938</c:v>
                </c:pt>
                <c:pt idx="714">
                  <c:v>217.02516159158938</c:v>
                </c:pt>
                <c:pt idx="715">
                  <c:v>217.02516159158938</c:v>
                </c:pt>
                <c:pt idx="716">
                  <c:v>217.02516159158938</c:v>
                </c:pt>
                <c:pt idx="717">
                  <c:v>217.02516159158938</c:v>
                </c:pt>
                <c:pt idx="718">
                  <c:v>217.02516159158938</c:v>
                </c:pt>
                <c:pt idx="719">
                  <c:v>217.02516159158938</c:v>
                </c:pt>
                <c:pt idx="720">
                  <c:v>217.02516159158938</c:v>
                </c:pt>
                <c:pt idx="721">
                  <c:v>217.02516159158938</c:v>
                </c:pt>
                <c:pt idx="722">
                  <c:v>217.02516159158938</c:v>
                </c:pt>
                <c:pt idx="723">
                  <c:v>217.02516159158938</c:v>
                </c:pt>
                <c:pt idx="724">
                  <c:v>217.02516159158938</c:v>
                </c:pt>
                <c:pt idx="725">
                  <c:v>217.02516159158938</c:v>
                </c:pt>
                <c:pt idx="726">
                  <c:v>217.02516159158938</c:v>
                </c:pt>
                <c:pt idx="727">
                  <c:v>217.02516159158938</c:v>
                </c:pt>
                <c:pt idx="728">
                  <c:v>217.02516159158938</c:v>
                </c:pt>
                <c:pt idx="729">
                  <c:v>217.02516159158938</c:v>
                </c:pt>
                <c:pt idx="730">
                  <c:v>217.02516159158938</c:v>
                </c:pt>
                <c:pt idx="731">
                  <c:v>223.03625876074639</c:v>
                </c:pt>
                <c:pt idx="732">
                  <c:v>223.03625876074639</c:v>
                </c:pt>
                <c:pt idx="733">
                  <c:v>223.03625876074639</c:v>
                </c:pt>
                <c:pt idx="734">
                  <c:v>223.03625876074639</c:v>
                </c:pt>
                <c:pt idx="735">
                  <c:v>223.03625876074639</c:v>
                </c:pt>
                <c:pt idx="736">
                  <c:v>223.03625876074639</c:v>
                </c:pt>
                <c:pt idx="737">
                  <c:v>223.03625876074639</c:v>
                </c:pt>
                <c:pt idx="738">
                  <c:v>223.03625876074639</c:v>
                </c:pt>
                <c:pt idx="739">
                  <c:v>223.03625876074639</c:v>
                </c:pt>
                <c:pt idx="740">
                  <c:v>223.03625876074639</c:v>
                </c:pt>
                <c:pt idx="741">
                  <c:v>223.03625876074639</c:v>
                </c:pt>
                <c:pt idx="742">
                  <c:v>223.03625876074639</c:v>
                </c:pt>
                <c:pt idx="743">
                  <c:v>223.03625876074639</c:v>
                </c:pt>
                <c:pt idx="744">
                  <c:v>223.03625876074639</c:v>
                </c:pt>
                <c:pt idx="745">
                  <c:v>223.03625876074639</c:v>
                </c:pt>
                <c:pt idx="746">
                  <c:v>223.03625876074639</c:v>
                </c:pt>
                <c:pt idx="747">
                  <c:v>223.03625876074639</c:v>
                </c:pt>
                <c:pt idx="748">
                  <c:v>223.03625876074639</c:v>
                </c:pt>
                <c:pt idx="749">
                  <c:v>223.03625876074639</c:v>
                </c:pt>
                <c:pt idx="750">
                  <c:v>223.03625876074639</c:v>
                </c:pt>
                <c:pt idx="751">
                  <c:v>223.03625876074639</c:v>
                </c:pt>
                <c:pt idx="752">
                  <c:v>223.03625876074639</c:v>
                </c:pt>
                <c:pt idx="753">
                  <c:v>223.03625876074639</c:v>
                </c:pt>
                <c:pt idx="754">
                  <c:v>223.03625876074639</c:v>
                </c:pt>
                <c:pt idx="755">
                  <c:v>223.03625876074639</c:v>
                </c:pt>
                <c:pt idx="756">
                  <c:v>223.03625876074639</c:v>
                </c:pt>
                <c:pt idx="757">
                  <c:v>223.03625876074639</c:v>
                </c:pt>
                <c:pt idx="758">
                  <c:v>223.03625876074639</c:v>
                </c:pt>
                <c:pt idx="759">
                  <c:v>223.03625876074639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5B-41FB-B4FF-442B24B1BF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1949840"/>
        <c:axId val="511950232"/>
      </c:areaChart>
      <c:areaChart>
        <c:grouping val="standard"/>
        <c:varyColors val="0"/>
        <c:ser>
          <c:idx val="0"/>
          <c:order val="2"/>
          <c:tx>
            <c:v>DIFERENCIA</c:v>
          </c:tx>
          <c:spPr>
            <a:solidFill>
              <a:srgbClr val="F5F5F5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'Data 4'!$E$2:$E$761</c:f>
              <c:numCache>
                <c:formatCode>#,##0</c:formatCode>
                <c:ptCount val="760"/>
                <c:pt idx="0">
                  <c:v>123.076035</c:v>
                </c:pt>
                <c:pt idx="1">
                  <c:v>183.63743299999999</c:v>
                </c:pt>
                <c:pt idx="2">
                  <c:v>179.32466500000001</c:v>
                </c:pt>
                <c:pt idx="3">
                  <c:v>207.68402057219242</c:v>
                </c:pt>
                <c:pt idx="4">
                  <c:v>162.934877</c:v>
                </c:pt>
                <c:pt idx="5">
                  <c:v>130.44913199999999</c:v>
                </c:pt>
                <c:pt idx="6">
                  <c:v>102.770679</c:v>
                </c:pt>
                <c:pt idx="7">
                  <c:v>168.05848699999999</c:v>
                </c:pt>
                <c:pt idx="8">
                  <c:v>159.07691999999997</c:v>
                </c:pt>
                <c:pt idx="9">
                  <c:v>200.95546599999997</c:v>
                </c:pt>
                <c:pt idx="10">
                  <c:v>207.68402057219242</c:v>
                </c:pt>
                <c:pt idx="11">
                  <c:v>207.68402057219242</c:v>
                </c:pt>
                <c:pt idx="12">
                  <c:v>162.96980499999998</c:v>
                </c:pt>
                <c:pt idx="13">
                  <c:v>207.68402057219242</c:v>
                </c:pt>
                <c:pt idx="14">
                  <c:v>207.68402057219242</c:v>
                </c:pt>
                <c:pt idx="15">
                  <c:v>205.35807499999999</c:v>
                </c:pt>
                <c:pt idx="16">
                  <c:v>207.68402057219242</c:v>
                </c:pt>
                <c:pt idx="17">
                  <c:v>202.779516</c:v>
                </c:pt>
                <c:pt idx="18">
                  <c:v>138.54991699999999</c:v>
                </c:pt>
                <c:pt idx="19">
                  <c:v>207.68402057219242</c:v>
                </c:pt>
                <c:pt idx="20">
                  <c:v>207.68402057219242</c:v>
                </c:pt>
                <c:pt idx="21">
                  <c:v>207.68402057219242</c:v>
                </c:pt>
                <c:pt idx="22">
                  <c:v>207.68402057219242</c:v>
                </c:pt>
                <c:pt idx="23">
                  <c:v>207.68402057219242</c:v>
                </c:pt>
                <c:pt idx="24">
                  <c:v>186.887046</c:v>
                </c:pt>
                <c:pt idx="25">
                  <c:v>115.53608800000001</c:v>
                </c:pt>
                <c:pt idx="26">
                  <c:v>115.393586</c:v>
                </c:pt>
                <c:pt idx="27">
                  <c:v>172.72798699999998</c:v>
                </c:pt>
                <c:pt idx="28">
                  <c:v>64.640241000000003</c:v>
                </c:pt>
                <c:pt idx="29">
                  <c:v>184.66533900000002</c:v>
                </c:pt>
                <c:pt idx="30">
                  <c:v>207.68402057219242</c:v>
                </c:pt>
                <c:pt idx="31">
                  <c:v>174.13791028923481</c:v>
                </c:pt>
                <c:pt idx="32">
                  <c:v>174.13791028923481</c:v>
                </c:pt>
                <c:pt idx="33">
                  <c:v>174.13791028923481</c:v>
                </c:pt>
                <c:pt idx="34">
                  <c:v>174.13791028923481</c:v>
                </c:pt>
                <c:pt idx="35">
                  <c:v>174.13791028923481</c:v>
                </c:pt>
                <c:pt idx="36">
                  <c:v>140.25377900000001</c:v>
                </c:pt>
                <c:pt idx="37">
                  <c:v>174.13791028923481</c:v>
                </c:pt>
                <c:pt idx="38">
                  <c:v>174.13791028923481</c:v>
                </c:pt>
                <c:pt idx="39">
                  <c:v>143.24871599999997</c:v>
                </c:pt>
                <c:pt idx="40">
                  <c:v>174.13791028923481</c:v>
                </c:pt>
                <c:pt idx="41">
                  <c:v>174.13791028923481</c:v>
                </c:pt>
                <c:pt idx="42">
                  <c:v>172.513589</c:v>
                </c:pt>
                <c:pt idx="43">
                  <c:v>115.37458000000001</c:v>
                </c:pt>
                <c:pt idx="44">
                  <c:v>111.75668899999999</c:v>
                </c:pt>
                <c:pt idx="45">
                  <c:v>61.966009</c:v>
                </c:pt>
                <c:pt idx="46">
                  <c:v>139.814052</c:v>
                </c:pt>
                <c:pt idx="47">
                  <c:v>123.50425800000001</c:v>
                </c:pt>
                <c:pt idx="48">
                  <c:v>169.95030299999999</c:v>
                </c:pt>
                <c:pt idx="49">
                  <c:v>174.13791028923481</c:v>
                </c:pt>
                <c:pt idx="50">
                  <c:v>174.13791028923481</c:v>
                </c:pt>
                <c:pt idx="51">
                  <c:v>174.13791028923481</c:v>
                </c:pt>
                <c:pt idx="52">
                  <c:v>174.13791028923481</c:v>
                </c:pt>
                <c:pt idx="53">
                  <c:v>174.13791028923481</c:v>
                </c:pt>
                <c:pt idx="54">
                  <c:v>169.876394</c:v>
                </c:pt>
                <c:pt idx="55">
                  <c:v>33.183503999999999</c:v>
                </c:pt>
                <c:pt idx="56">
                  <c:v>64.831130000000002</c:v>
                </c:pt>
                <c:pt idx="57">
                  <c:v>42.717091000000003</c:v>
                </c:pt>
                <c:pt idx="58">
                  <c:v>83.537083999999993</c:v>
                </c:pt>
                <c:pt idx="59">
                  <c:v>76.722093000000001</c:v>
                </c:pt>
                <c:pt idx="60">
                  <c:v>120.190377</c:v>
                </c:pt>
                <c:pt idx="61">
                  <c:v>96.096043999999992</c:v>
                </c:pt>
                <c:pt idx="62">
                  <c:v>153.68695600000001</c:v>
                </c:pt>
                <c:pt idx="63">
                  <c:v>155.81475678678186</c:v>
                </c:pt>
                <c:pt idx="64">
                  <c:v>155.81475678678186</c:v>
                </c:pt>
                <c:pt idx="65">
                  <c:v>155.81475678678186</c:v>
                </c:pt>
                <c:pt idx="66">
                  <c:v>155.81475678678186</c:v>
                </c:pt>
                <c:pt idx="67">
                  <c:v>149.83393699999999</c:v>
                </c:pt>
                <c:pt idx="68">
                  <c:v>96.709091000000001</c:v>
                </c:pt>
                <c:pt idx="69">
                  <c:v>59.726546999999997</c:v>
                </c:pt>
                <c:pt idx="70">
                  <c:v>78.450384</c:v>
                </c:pt>
                <c:pt idx="71">
                  <c:v>124.94933999999999</c:v>
                </c:pt>
                <c:pt idx="72">
                  <c:v>131.41469699999999</c:v>
                </c:pt>
                <c:pt idx="73">
                  <c:v>50.087854</c:v>
                </c:pt>
                <c:pt idx="74">
                  <c:v>107.470359</c:v>
                </c:pt>
                <c:pt idx="75">
                  <c:v>155.81475678678186</c:v>
                </c:pt>
                <c:pt idx="76">
                  <c:v>122.860924</c:v>
                </c:pt>
                <c:pt idx="77">
                  <c:v>106.02160799999999</c:v>
                </c:pt>
                <c:pt idx="78">
                  <c:v>111.491327</c:v>
                </c:pt>
                <c:pt idx="79">
                  <c:v>155.81475678678186</c:v>
                </c:pt>
                <c:pt idx="80">
                  <c:v>155.81475678678186</c:v>
                </c:pt>
                <c:pt idx="81">
                  <c:v>155.81475678678186</c:v>
                </c:pt>
                <c:pt idx="82">
                  <c:v>151.68245999999999</c:v>
                </c:pt>
                <c:pt idx="83">
                  <c:v>155.81475678678186</c:v>
                </c:pt>
                <c:pt idx="84">
                  <c:v>155.81475678678186</c:v>
                </c:pt>
                <c:pt idx="85">
                  <c:v>155.81475678678186</c:v>
                </c:pt>
                <c:pt idx="86">
                  <c:v>155.81475678678186</c:v>
                </c:pt>
                <c:pt idx="87">
                  <c:v>155.81475678678186</c:v>
                </c:pt>
                <c:pt idx="88">
                  <c:v>142.279314</c:v>
                </c:pt>
                <c:pt idx="89">
                  <c:v>146.910132</c:v>
                </c:pt>
                <c:pt idx="90">
                  <c:v>102.34971</c:v>
                </c:pt>
                <c:pt idx="91">
                  <c:v>50.245029000000002</c:v>
                </c:pt>
                <c:pt idx="92">
                  <c:v>114.650094</c:v>
                </c:pt>
                <c:pt idx="93">
                  <c:v>70.022176999999999</c:v>
                </c:pt>
                <c:pt idx="94">
                  <c:v>74.921839000000006</c:v>
                </c:pt>
                <c:pt idx="95">
                  <c:v>81.725461999999993</c:v>
                </c:pt>
                <c:pt idx="96">
                  <c:v>74.882744000000002</c:v>
                </c:pt>
                <c:pt idx="97">
                  <c:v>89.300550000000001</c:v>
                </c:pt>
                <c:pt idx="98">
                  <c:v>83.455425000000005</c:v>
                </c:pt>
                <c:pt idx="99">
                  <c:v>129.36157987361148</c:v>
                </c:pt>
                <c:pt idx="100">
                  <c:v>129.36157987361148</c:v>
                </c:pt>
                <c:pt idx="101">
                  <c:v>125.350195</c:v>
                </c:pt>
                <c:pt idx="102">
                  <c:v>129.36157987361148</c:v>
                </c:pt>
                <c:pt idx="103">
                  <c:v>129.36157987361148</c:v>
                </c:pt>
                <c:pt idx="104">
                  <c:v>129.36157987361148</c:v>
                </c:pt>
                <c:pt idx="105">
                  <c:v>85.605266</c:v>
                </c:pt>
                <c:pt idx="106">
                  <c:v>96.403323999999998</c:v>
                </c:pt>
                <c:pt idx="107">
                  <c:v>102.102265</c:v>
                </c:pt>
                <c:pt idx="108">
                  <c:v>122.43620599999998</c:v>
                </c:pt>
                <c:pt idx="109">
                  <c:v>129.36157987361148</c:v>
                </c:pt>
                <c:pt idx="110">
                  <c:v>129.36157987361148</c:v>
                </c:pt>
                <c:pt idx="111">
                  <c:v>110.389706</c:v>
                </c:pt>
                <c:pt idx="112">
                  <c:v>91.590792000000008</c:v>
                </c:pt>
                <c:pt idx="113">
                  <c:v>80.453779999999995</c:v>
                </c:pt>
                <c:pt idx="114">
                  <c:v>115.679757</c:v>
                </c:pt>
                <c:pt idx="115">
                  <c:v>129.36157987361148</c:v>
                </c:pt>
                <c:pt idx="116">
                  <c:v>111.78855800000001</c:v>
                </c:pt>
                <c:pt idx="117">
                  <c:v>120.904725</c:v>
                </c:pt>
                <c:pt idx="118">
                  <c:v>129.36157987361148</c:v>
                </c:pt>
                <c:pt idx="119">
                  <c:v>77.670271999999997</c:v>
                </c:pt>
                <c:pt idx="120">
                  <c:v>109.308645</c:v>
                </c:pt>
                <c:pt idx="121">
                  <c:v>129.36157987361148</c:v>
                </c:pt>
                <c:pt idx="122">
                  <c:v>112.46567000000002</c:v>
                </c:pt>
                <c:pt idx="123">
                  <c:v>127.91090441488167</c:v>
                </c:pt>
                <c:pt idx="124">
                  <c:v>127.91090441488167</c:v>
                </c:pt>
                <c:pt idx="125">
                  <c:v>127.91090441488167</c:v>
                </c:pt>
                <c:pt idx="126">
                  <c:v>127.91090441488167</c:v>
                </c:pt>
                <c:pt idx="127">
                  <c:v>127.91090441488167</c:v>
                </c:pt>
                <c:pt idx="128">
                  <c:v>127.91090441488167</c:v>
                </c:pt>
                <c:pt idx="129">
                  <c:v>127.91090441488167</c:v>
                </c:pt>
                <c:pt idx="130">
                  <c:v>127.91090441488167</c:v>
                </c:pt>
                <c:pt idx="131">
                  <c:v>103.909155</c:v>
                </c:pt>
                <c:pt idx="132">
                  <c:v>111.88668799999999</c:v>
                </c:pt>
                <c:pt idx="133">
                  <c:v>107.204695</c:v>
                </c:pt>
                <c:pt idx="134">
                  <c:v>100.425472</c:v>
                </c:pt>
                <c:pt idx="135">
                  <c:v>113.15161599999999</c:v>
                </c:pt>
                <c:pt idx="136">
                  <c:v>127.91090441488167</c:v>
                </c:pt>
                <c:pt idx="137">
                  <c:v>90.574712999999988</c:v>
                </c:pt>
                <c:pt idx="138">
                  <c:v>108.22179100000001</c:v>
                </c:pt>
                <c:pt idx="139">
                  <c:v>127.91090441488167</c:v>
                </c:pt>
                <c:pt idx="140">
                  <c:v>127.91090441488167</c:v>
                </c:pt>
                <c:pt idx="141">
                  <c:v>109.05057999999998</c:v>
                </c:pt>
                <c:pt idx="142">
                  <c:v>127.91090441488167</c:v>
                </c:pt>
                <c:pt idx="143">
                  <c:v>127.91090441488167</c:v>
                </c:pt>
                <c:pt idx="144">
                  <c:v>117.07852899999999</c:v>
                </c:pt>
                <c:pt idx="145">
                  <c:v>83.900807999999998</c:v>
                </c:pt>
                <c:pt idx="146">
                  <c:v>127.91090441488167</c:v>
                </c:pt>
                <c:pt idx="147">
                  <c:v>127.91090441488167</c:v>
                </c:pt>
                <c:pt idx="148">
                  <c:v>124.632328</c:v>
                </c:pt>
                <c:pt idx="149">
                  <c:v>77.430592000000004</c:v>
                </c:pt>
                <c:pt idx="150">
                  <c:v>113.920464</c:v>
                </c:pt>
                <c:pt idx="151">
                  <c:v>127.91090441488167</c:v>
                </c:pt>
                <c:pt idx="152">
                  <c:v>127.91090441488167</c:v>
                </c:pt>
                <c:pt idx="153">
                  <c:v>120.07507200000001</c:v>
                </c:pt>
                <c:pt idx="154">
                  <c:v>96.893426000000005</c:v>
                </c:pt>
                <c:pt idx="155">
                  <c:v>122.67897000000001</c:v>
                </c:pt>
                <c:pt idx="156">
                  <c:v>124.9499079819372</c:v>
                </c:pt>
                <c:pt idx="157">
                  <c:v>124.9499079819372</c:v>
                </c:pt>
                <c:pt idx="158">
                  <c:v>124.9499079819372</c:v>
                </c:pt>
                <c:pt idx="159">
                  <c:v>124.9499079819372</c:v>
                </c:pt>
                <c:pt idx="160">
                  <c:v>109.813095</c:v>
                </c:pt>
                <c:pt idx="161">
                  <c:v>124.9499079819372</c:v>
                </c:pt>
                <c:pt idx="162">
                  <c:v>123.34950500000001</c:v>
                </c:pt>
                <c:pt idx="163">
                  <c:v>98.322434999999999</c:v>
                </c:pt>
                <c:pt idx="164">
                  <c:v>71.192278000000002</c:v>
                </c:pt>
                <c:pt idx="165">
                  <c:v>124.9499079819372</c:v>
                </c:pt>
                <c:pt idx="166">
                  <c:v>124.9499079819372</c:v>
                </c:pt>
                <c:pt idx="167">
                  <c:v>114.142624</c:v>
                </c:pt>
                <c:pt idx="168">
                  <c:v>124.9499079819372</c:v>
                </c:pt>
                <c:pt idx="169">
                  <c:v>124.9499079819372</c:v>
                </c:pt>
                <c:pt idx="170">
                  <c:v>124.9499079819372</c:v>
                </c:pt>
                <c:pt idx="171">
                  <c:v>124.9499079819372</c:v>
                </c:pt>
                <c:pt idx="172">
                  <c:v>81.896906000000001</c:v>
                </c:pt>
                <c:pt idx="173">
                  <c:v>118.67038099999999</c:v>
                </c:pt>
                <c:pt idx="174">
                  <c:v>124.9499079819372</c:v>
                </c:pt>
                <c:pt idx="175">
                  <c:v>120.39282799999999</c:v>
                </c:pt>
                <c:pt idx="176">
                  <c:v>96.681668000000002</c:v>
                </c:pt>
                <c:pt idx="177">
                  <c:v>124.9499079819372</c:v>
                </c:pt>
                <c:pt idx="178">
                  <c:v>124.9499079819372</c:v>
                </c:pt>
                <c:pt idx="179">
                  <c:v>101.60244</c:v>
                </c:pt>
                <c:pt idx="180">
                  <c:v>106.690758</c:v>
                </c:pt>
                <c:pt idx="181">
                  <c:v>124.9499079819372</c:v>
                </c:pt>
                <c:pt idx="182">
                  <c:v>57.546745999999999</c:v>
                </c:pt>
                <c:pt idx="183">
                  <c:v>93.822602000000003</c:v>
                </c:pt>
                <c:pt idx="184">
                  <c:v>59.959332000000003</c:v>
                </c:pt>
                <c:pt idx="185">
                  <c:v>100.20235699999999</c:v>
                </c:pt>
                <c:pt idx="186">
                  <c:v>108.900893</c:v>
                </c:pt>
                <c:pt idx="187">
                  <c:v>123.02731730208201</c:v>
                </c:pt>
                <c:pt idx="188">
                  <c:v>123.02731730208201</c:v>
                </c:pt>
                <c:pt idx="189">
                  <c:v>123.02731730208201</c:v>
                </c:pt>
                <c:pt idx="190">
                  <c:v>123.02731730208201</c:v>
                </c:pt>
                <c:pt idx="191">
                  <c:v>82.52366099999999</c:v>
                </c:pt>
                <c:pt idx="192">
                  <c:v>61.911677000000005</c:v>
                </c:pt>
                <c:pt idx="193">
                  <c:v>41.058446000000004</c:v>
                </c:pt>
                <c:pt idx="194">
                  <c:v>103.561556</c:v>
                </c:pt>
                <c:pt idx="195">
                  <c:v>123.02731730208201</c:v>
                </c:pt>
                <c:pt idx="196">
                  <c:v>123.02731730208201</c:v>
                </c:pt>
                <c:pt idx="197">
                  <c:v>123.02731730208201</c:v>
                </c:pt>
                <c:pt idx="198">
                  <c:v>55.414898999999998</c:v>
                </c:pt>
                <c:pt idx="199">
                  <c:v>123.02731730208201</c:v>
                </c:pt>
                <c:pt idx="200">
                  <c:v>123.02731730208201</c:v>
                </c:pt>
                <c:pt idx="201">
                  <c:v>119.394966</c:v>
                </c:pt>
                <c:pt idx="202">
                  <c:v>80.285039999999995</c:v>
                </c:pt>
                <c:pt idx="203">
                  <c:v>100.68550399999999</c:v>
                </c:pt>
                <c:pt idx="204">
                  <c:v>99.861918000000003</c:v>
                </c:pt>
                <c:pt idx="205">
                  <c:v>46.921576000000002</c:v>
                </c:pt>
                <c:pt idx="206">
                  <c:v>84.22133500000001</c:v>
                </c:pt>
                <c:pt idx="207">
                  <c:v>123.02731730208201</c:v>
                </c:pt>
                <c:pt idx="208">
                  <c:v>123.02731730208201</c:v>
                </c:pt>
                <c:pt idx="209">
                  <c:v>123.02731730208201</c:v>
                </c:pt>
                <c:pt idx="210">
                  <c:v>123.02731730208201</c:v>
                </c:pt>
                <c:pt idx="211">
                  <c:v>123.02731730208201</c:v>
                </c:pt>
                <c:pt idx="212">
                  <c:v>123.02731730208201</c:v>
                </c:pt>
                <c:pt idx="213">
                  <c:v>123.02731730208201</c:v>
                </c:pt>
                <c:pt idx="214">
                  <c:v>68.157316000000009</c:v>
                </c:pt>
                <c:pt idx="215">
                  <c:v>84.822161999999992</c:v>
                </c:pt>
                <c:pt idx="216">
                  <c:v>42.348008</c:v>
                </c:pt>
                <c:pt idx="217">
                  <c:v>45.256483000000003</c:v>
                </c:pt>
                <c:pt idx="218">
                  <c:v>89.600700000000003</c:v>
                </c:pt>
                <c:pt idx="219">
                  <c:v>143.55774537726487</c:v>
                </c:pt>
                <c:pt idx="220">
                  <c:v>84.162767000000002</c:v>
                </c:pt>
                <c:pt idx="221">
                  <c:v>136.85900000000001</c:v>
                </c:pt>
                <c:pt idx="222">
                  <c:v>96.914221999999995</c:v>
                </c:pt>
                <c:pt idx="223">
                  <c:v>52.384353000000004</c:v>
                </c:pt>
                <c:pt idx="224">
                  <c:v>45.633096999999999</c:v>
                </c:pt>
                <c:pt idx="225">
                  <c:v>58.152637999999996</c:v>
                </c:pt>
                <c:pt idx="226">
                  <c:v>60.686548999999999</c:v>
                </c:pt>
                <c:pt idx="227">
                  <c:v>97.748600999999994</c:v>
                </c:pt>
                <c:pt idx="228">
                  <c:v>117.641891</c:v>
                </c:pt>
                <c:pt idx="229">
                  <c:v>143.55774537726487</c:v>
                </c:pt>
                <c:pt idx="230">
                  <c:v>143.55774537726487</c:v>
                </c:pt>
                <c:pt idx="231">
                  <c:v>143.55774537726487</c:v>
                </c:pt>
                <c:pt idx="232">
                  <c:v>143.55774537726487</c:v>
                </c:pt>
                <c:pt idx="233">
                  <c:v>143.55774537726487</c:v>
                </c:pt>
                <c:pt idx="234">
                  <c:v>143.55774537726487</c:v>
                </c:pt>
                <c:pt idx="235">
                  <c:v>143.55774537726487</c:v>
                </c:pt>
                <c:pt idx="236">
                  <c:v>143.55774537726487</c:v>
                </c:pt>
                <c:pt idx="237">
                  <c:v>137.70208400000001</c:v>
                </c:pt>
                <c:pt idx="238">
                  <c:v>143.55774537726487</c:v>
                </c:pt>
                <c:pt idx="239">
                  <c:v>143.55774537726487</c:v>
                </c:pt>
                <c:pt idx="240">
                  <c:v>143.55774537726487</c:v>
                </c:pt>
                <c:pt idx="241">
                  <c:v>143.55774537726487</c:v>
                </c:pt>
                <c:pt idx="242">
                  <c:v>143.55774537726487</c:v>
                </c:pt>
                <c:pt idx="243">
                  <c:v>121.67089299999999</c:v>
                </c:pt>
                <c:pt idx="244">
                  <c:v>143.55774537726487</c:v>
                </c:pt>
                <c:pt idx="245">
                  <c:v>70.175501999999994</c:v>
                </c:pt>
                <c:pt idx="246">
                  <c:v>71.457744000000005</c:v>
                </c:pt>
                <c:pt idx="247">
                  <c:v>195.90997281623723</c:v>
                </c:pt>
                <c:pt idx="248">
                  <c:v>195.90997281623723</c:v>
                </c:pt>
                <c:pt idx="249">
                  <c:v>116.367098</c:v>
                </c:pt>
                <c:pt idx="250">
                  <c:v>143.60430300000002</c:v>
                </c:pt>
                <c:pt idx="251">
                  <c:v>175.55631199999999</c:v>
                </c:pt>
                <c:pt idx="252">
                  <c:v>195.90997281623723</c:v>
                </c:pt>
                <c:pt idx="253">
                  <c:v>141.32268500000001</c:v>
                </c:pt>
                <c:pt idx="254">
                  <c:v>72.621297000000013</c:v>
                </c:pt>
                <c:pt idx="255">
                  <c:v>180.16626399999998</c:v>
                </c:pt>
                <c:pt idx="256">
                  <c:v>195.90997281623723</c:v>
                </c:pt>
                <c:pt idx="257">
                  <c:v>146.40533600000001</c:v>
                </c:pt>
                <c:pt idx="258">
                  <c:v>187.89150700000002</c:v>
                </c:pt>
                <c:pt idx="259">
                  <c:v>195.90997281623723</c:v>
                </c:pt>
                <c:pt idx="260">
                  <c:v>195.90997281623723</c:v>
                </c:pt>
                <c:pt idx="261">
                  <c:v>195.90997281623723</c:v>
                </c:pt>
                <c:pt idx="262">
                  <c:v>195.90997281623723</c:v>
                </c:pt>
                <c:pt idx="263">
                  <c:v>195.90997281623723</c:v>
                </c:pt>
                <c:pt idx="264">
                  <c:v>195.90997281623723</c:v>
                </c:pt>
                <c:pt idx="265">
                  <c:v>195.90997281623723</c:v>
                </c:pt>
                <c:pt idx="266">
                  <c:v>195.90997281623723</c:v>
                </c:pt>
                <c:pt idx="267">
                  <c:v>195.90997281623723</c:v>
                </c:pt>
                <c:pt idx="268">
                  <c:v>176.46814900000001</c:v>
                </c:pt>
                <c:pt idx="269">
                  <c:v>195.90997281623723</c:v>
                </c:pt>
                <c:pt idx="270">
                  <c:v>136.01001200000002</c:v>
                </c:pt>
                <c:pt idx="271">
                  <c:v>120.033357</c:v>
                </c:pt>
                <c:pt idx="272">
                  <c:v>195.90997281623723</c:v>
                </c:pt>
                <c:pt idx="273">
                  <c:v>185.585184</c:v>
                </c:pt>
                <c:pt idx="274">
                  <c:v>56.089641</c:v>
                </c:pt>
                <c:pt idx="275">
                  <c:v>155.51653300000001</c:v>
                </c:pt>
                <c:pt idx="276">
                  <c:v>79.187899999999999</c:v>
                </c:pt>
                <c:pt idx="277">
                  <c:v>66.065214000000012</c:v>
                </c:pt>
                <c:pt idx="278">
                  <c:v>52.734241000000004</c:v>
                </c:pt>
                <c:pt idx="279">
                  <c:v>129.03492500000002</c:v>
                </c:pt>
                <c:pt idx="280">
                  <c:v>29.196757000000002</c:v>
                </c:pt>
                <c:pt idx="281">
                  <c:v>42.074168</c:v>
                </c:pt>
                <c:pt idx="282">
                  <c:v>177.85182599999999</c:v>
                </c:pt>
                <c:pt idx="283">
                  <c:v>178.00170900000001</c:v>
                </c:pt>
                <c:pt idx="284">
                  <c:v>191.2799990143146</c:v>
                </c:pt>
                <c:pt idx="285">
                  <c:v>140.70862700000001</c:v>
                </c:pt>
                <c:pt idx="286">
                  <c:v>191.2799990143146</c:v>
                </c:pt>
                <c:pt idx="287">
                  <c:v>191.2799990143146</c:v>
                </c:pt>
                <c:pt idx="288">
                  <c:v>191.2799990143146</c:v>
                </c:pt>
                <c:pt idx="289">
                  <c:v>189.77288799999999</c:v>
                </c:pt>
                <c:pt idx="290">
                  <c:v>139.390693</c:v>
                </c:pt>
                <c:pt idx="291">
                  <c:v>58.323466000000003</c:v>
                </c:pt>
                <c:pt idx="292">
                  <c:v>185.34718100000001</c:v>
                </c:pt>
                <c:pt idx="293">
                  <c:v>191.2799990143146</c:v>
                </c:pt>
                <c:pt idx="294">
                  <c:v>191.2799990143146</c:v>
                </c:pt>
                <c:pt idx="295">
                  <c:v>191.2799990143146</c:v>
                </c:pt>
                <c:pt idx="296">
                  <c:v>191.2799990143146</c:v>
                </c:pt>
                <c:pt idx="297">
                  <c:v>191.2799990143146</c:v>
                </c:pt>
                <c:pt idx="298">
                  <c:v>173.962073</c:v>
                </c:pt>
                <c:pt idx="299">
                  <c:v>170.491027</c:v>
                </c:pt>
                <c:pt idx="300">
                  <c:v>56.465977000000002</c:v>
                </c:pt>
                <c:pt idx="301">
                  <c:v>66.91897800000001</c:v>
                </c:pt>
                <c:pt idx="302">
                  <c:v>191.2799990143146</c:v>
                </c:pt>
                <c:pt idx="303">
                  <c:v>191.2799990143146</c:v>
                </c:pt>
                <c:pt idx="304">
                  <c:v>191.2799990143146</c:v>
                </c:pt>
                <c:pt idx="305">
                  <c:v>168.84421799999998</c:v>
                </c:pt>
                <c:pt idx="306">
                  <c:v>160.935801</c:v>
                </c:pt>
                <c:pt idx="307">
                  <c:v>96.966331999999994</c:v>
                </c:pt>
                <c:pt idx="308">
                  <c:v>69.069948999999994</c:v>
                </c:pt>
                <c:pt idx="309">
                  <c:v>65.706111000000007</c:v>
                </c:pt>
                <c:pt idx="310">
                  <c:v>43.798284000000002</c:v>
                </c:pt>
                <c:pt idx="311">
                  <c:v>84.453948999999994</c:v>
                </c:pt>
                <c:pt idx="312">
                  <c:v>225.3691466531568</c:v>
                </c:pt>
                <c:pt idx="313">
                  <c:v>225.3691466531568</c:v>
                </c:pt>
                <c:pt idx="314">
                  <c:v>225.3691466531568</c:v>
                </c:pt>
                <c:pt idx="315">
                  <c:v>208.80787000000004</c:v>
                </c:pt>
                <c:pt idx="316">
                  <c:v>197.88169099999999</c:v>
                </c:pt>
                <c:pt idx="317">
                  <c:v>148.073992</c:v>
                </c:pt>
                <c:pt idx="318">
                  <c:v>150.789468</c:v>
                </c:pt>
                <c:pt idx="319">
                  <c:v>180.418012</c:v>
                </c:pt>
                <c:pt idx="320">
                  <c:v>225.3691466531568</c:v>
                </c:pt>
                <c:pt idx="321">
                  <c:v>225.3691466531568</c:v>
                </c:pt>
                <c:pt idx="322">
                  <c:v>225.3691466531568</c:v>
                </c:pt>
                <c:pt idx="323">
                  <c:v>225.3691466531568</c:v>
                </c:pt>
                <c:pt idx="324">
                  <c:v>225.3691466531568</c:v>
                </c:pt>
                <c:pt idx="325">
                  <c:v>225.3691466531568</c:v>
                </c:pt>
                <c:pt idx="326">
                  <c:v>225.3691466531568</c:v>
                </c:pt>
                <c:pt idx="327">
                  <c:v>225.3691466531568</c:v>
                </c:pt>
                <c:pt idx="328">
                  <c:v>225.3691466531568</c:v>
                </c:pt>
                <c:pt idx="329">
                  <c:v>225.3691466531568</c:v>
                </c:pt>
                <c:pt idx="330">
                  <c:v>219.82315800000001</c:v>
                </c:pt>
                <c:pt idx="331">
                  <c:v>225.3691466531568</c:v>
                </c:pt>
                <c:pt idx="332">
                  <c:v>225.3691466531568</c:v>
                </c:pt>
                <c:pt idx="333">
                  <c:v>225.3691466531568</c:v>
                </c:pt>
                <c:pt idx="334">
                  <c:v>225.3691466531568</c:v>
                </c:pt>
                <c:pt idx="335">
                  <c:v>154.95181599999998</c:v>
                </c:pt>
                <c:pt idx="336">
                  <c:v>209.53903200000002</c:v>
                </c:pt>
                <c:pt idx="337">
                  <c:v>214.66819099999998</c:v>
                </c:pt>
                <c:pt idx="338">
                  <c:v>113.531948</c:v>
                </c:pt>
                <c:pt idx="339">
                  <c:v>62.026834000000001</c:v>
                </c:pt>
                <c:pt idx="340">
                  <c:v>186.65705500000001</c:v>
                </c:pt>
                <c:pt idx="341">
                  <c:v>228.61213933920766</c:v>
                </c:pt>
                <c:pt idx="342">
                  <c:v>228.61213933920766</c:v>
                </c:pt>
                <c:pt idx="343">
                  <c:v>188.20928000000001</c:v>
                </c:pt>
                <c:pt idx="344">
                  <c:v>171.25630999999998</c:v>
                </c:pt>
                <c:pt idx="345">
                  <c:v>137.45270300000001</c:v>
                </c:pt>
                <c:pt idx="346">
                  <c:v>127.43710400000001</c:v>
                </c:pt>
                <c:pt idx="347">
                  <c:v>156.803438</c:v>
                </c:pt>
                <c:pt idx="348">
                  <c:v>146.98482899999999</c:v>
                </c:pt>
                <c:pt idx="349">
                  <c:v>153.12428299999999</c:v>
                </c:pt>
                <c:pt idx="350">
                  <c:v>216.527355</c:v>
                </c:pt>
                <c:pt idx="351">
                  <c:v>116.140531</c:v>
                </c:pt>
                <c:pt idx="352">
                  <c:v>58.767522</c:v>
                </c:pt>
                <c:pt idx="353">
                  <c:v>135.07408600000002</c:v>
                </c:pt>
                <c:pt idx="354">
                  <c:v>108.783957</c:v>
                </c:pt>
                <c:pt idx="355">
                  <c:v>119.477476</c:v>
                </c:pt>
                <c:pt idx="356">
                  <c:v>140.929328</c:v>
                </c:pt>
                <c:pt idx="357">
                  <c:v>71.582761000000005</c:v>
                </c:pt>
                <c:pt idx="358">
                  <c:v>61.505489999999995</c:v>
                </c:pt>
                <c:pt idx="359">
                  <c:v>149.07123499999997</c:v>
                </c:pt>
                <c:pt idx="360">
                  <c:v>73.495833000000005</c:v>
                </c:pt>
                <c:pt idx="361">
                  <c:v>106.81062300000001</c:v>
                </c:pt>
                <c:pt idx="362">
                  <c:v>228.61213933920766</c:v>
                </c:pt>
                <c:pt idx="363">
                  <c:v>228.61213933920766</c:v>
                </c:pt>
                <c:pt idx="364">
                  <c:v>228.61213933920766</c:v>
                </c:pt>
                <c:pt idx="365">
                  <c:v>185.51078700000002</c:v>
                </c:pt>
                <c:pt idx="366">
                  <c:v>213.27336600000001</c:v>
                </c:pt>
                <c:pt idx="367">
                  <c:v>186.28090899999998</c:v>
                </c:pt>
                <c:pt idx="368">
                  <c:v>100.62124899999999</c:v>
                </c:pt>
                <c:pt idx="369">
                  <c:v>62.971556</c:v>
                </c:pt>
                <c:pt idx="370">
                  <c:v>150.92666299999999</c:v>
                </c:pt>
                <c:pt idx="371">
                  <c:v>223.09192557104552</c:v>
                </c:pt>
                <c:pt idx="372">
                  <c:v>223.09192557104552</c:v>
                </c:pt>
                <c:pt idx="373">
                  <c:v>223.09192557104552</c:v>
                </c:pt>
                <c:pt idx="374">
                  <c:v>223.09192557104552</c:v>
                </c:pt>
                <c:pt idx="375">
                  <c:v>223.09192557104552</c:v>
                </c:pt>
                <c:pt idx="376">
                  <c:v>178.25108700000001</c:v>
                </c:pt>
                <c:pt idx="377">
                  <c:v>223.09192557104552</c:v>
                </c:pt>
                <c:pt idx="378">
                  <c:v>223.09192557104552</c:v>
                </c:pt>
                <c:pt idx="379">
                  <c:v>90.627562000000012</c:v>
                </c:pt>
                <c:pt idx="380">
                  <c:v>223.09192557104552</c:v>
                </c:pt>
                <c:pt idx="381">
                  <c:v>223.09192557104552</c:v>
                </c:pt>
                <c:pt idx="382">
                  <c:v>180.768044</c:v>
                </c:pt>
                <c:pt idx="383">
                  <c:v>86.936888999999994</c:v>
                </c:pt>
                <c:pt idx="384">
                  <c:v>70.575761</c:v>
                </c:pt>
                <c:pt idx="385">
                  <c:v>55.322572000000001</c:v>
                </c:pt>
                <c:pt idx="386">
                  <c:v>123.57921499999999</c:v>
                </c:pt>
                <c:pt idx="387">
                  <c:v>202.28049599999997</c:v>
                </c:pt>
                <c:pt idx="388">
                  <c:v>223.09192557104552</c:v>
                </c:pt>
                <c:pt idx="389">
                  <c:v>161.71668300000002</c:v>
                </c:pt>
                <c:pt idx="390">
                  <c:v>223.09192557104552</c:v>
                </c:pt>
                <c:pt idx="391">
                  <c:v>167.026746</c:v>
                </c:pt>
                <c:pt idx="392">
                  <c:v>105.001492</c:v>
                </c:pt>
                <c:pt idx="393">
                  <c:v>205.62717900000001</c:v>
                </c:pt>
                <c:pt idx="394">
                  <c:v>223.09192557104552</c:v>
                </c:pt>
                <c:pt idx="395">
                  <c:v>223.09192557104552</c:v>
                </c:pt>
                <c:pt idx="396">
                  <c:v>178.27413072131017</c:v>
                </c:pt>
                <c:pt idx="397">
                  <c:v>178.27413072131017</c:v>
                </c:pt>
                <c:pt idx="398">
                  <c:v>168.990081</c:v>
                </c:pt>
                <c:pt idx="399">
                  <c:v>178.27413072131017</c:v>
                </c:pt>
                <c:pt idx="400">
                  <c:v>133.22213300000001</c:v>
                </c:pt>
                <c:pt idx="401">
                  <c:v>123.136791</c:v>
                </c:pt>
                <c:pt idx="402">
                  <c:v>72.104573000000002</c:v>
                </c:pt>
                <c:pt idx="403">
                  <c:v>63.974471999999999</c:v>
                </c:pt>
                <c:pt idx="404">
                  <c:v>58.373131000000001</c:v>
                </c:pt>
                <c:pt idx="405">
                  <c:v>105.38276399999999</c:v>
                </c:pt>
                <c:pt idx="406">
                  <c:v>129.31162900000001</c:v>
                </c:pt>
                <c:pt idx="407">
                  <c:v>178.27413072131017</c:v>
                </c:pt>
                <c:pt idx="408">
                  <c:v>178.27413072131017</c:v>
                </c:pt>
                <c:pt idx="409">
                  <c:v>178.27413072131017</c:v>
                </c:pt>
                <c:pt idx="410">
                  <c:v>178.27413072131017</c:v>
                </c:pt>
                <c:pt idx="411">
                  <c:v>178.27413072131017</c:v>
                </c:pt>
                <c:pt idx="412">
                  <c:v>178.27413072131017</c:v>
                </c:pt>
                <c:pt idx="413">
                  <c:v>178.27413072131017</c:v>
                </c:pt>
                <c:pt idx="414">
                  <c:v>124.69744100000001</c:v>
                </c:pt>
                <c:pt idx="415">
                  <c:v>75.424515999999997</c:v>
                </c:pt>
                <c:pt idx="416">
                  <c:v>149.416954</c:v>
                </c:pt>
                <c:pt idx="417">
                  <c:v>155.21762700000002</c:v>
                </c:pt>
                <c:pt idx="418">
                  <c:v>178.27413072131017</c:v>
                </c:pt>
                <c:pt idx="419">
                  <c:v>112.95561899999998</c:v>
                </c:pt>
                <c:pt idx="420">
                  <c:v>128.05893700000001</c:v>
                </c:pt>
                <c:pt idx="421">
                  <c:v>61.149663000000004</c:v>
                </c:pt>
                <c:pt idx="422">
                  <c:v>58.789270999999999</c:v>
                </c:pt>
                <c:pt idx="423">
                  <c:v>123.81271000000001</c:v>
                </c:pt>
                <c:pt idx="424">
                  <c:v>159.585734</c:v>
                </c:pt>
                <c:pt idx="425">
                  <c:v>178.27413072131017</c:v>
                </c:pt>
                <c:pt idx="426">
                  <c:v>130.874887</c:v>
                </c:pt>
                <c:pt idx="427">
                  <c:v>97.244559999999993</c:v>
                </c:pt>
                <c:pt idx="428">
                  <c:v>162.70626060639816</c:v>
                </c:pt>
                <c:pt idx="429">
                  <c:v>162.70626060639816</c:v>
                </c:pt>
                <c:pt idx="430">
                  <c:v>92.116522000000003</c:v>
                </c:pt>
                <c:pt idx="431">
                  <c:v>107.07831</c:v>
                </c:pt>
                <c:pt idx="432">
                  <c:v>128.00228100000001</c:v>
                </c:pt>
                <c:pt idx="433">
                  <c:v>116.596884</c:v>
                </c:pt>
                <c:pt idx="434">
                  <c:v>162.70626060639816</c:v>
                </c:pt>
                <c:pt idx="435">
                  <c:v>162.70626060639816</c:v>
                </c:pt>
                <c:pt idx="436">
                  <c:v>162.70626060639816</c:v>
                </c:pt>
                <c:pt idx="437">
                  <c:v>162.70626060639816</c:v>
                </c:pt>
                <c:pt idx="438">
                  <c:v>162.70626060639816</c:v>
                </c:pt>
                <c:pt idx="439">
                  <c:v>162.70626060639816</c:v>
                </c:pt>
                <c:pt idx="440">
                  <c:v>162.70626060639816</c:v>
                </c:pt>
                <c:pt idx="441">
                  <c:v>162.70626060639816</c:v>
                </c:pt>
                <c:pt idx="442">
                  <c:v>162.70626060639816</c:v>
                </c:pt>
                <c:pt idx="443">
                  <c:v>162.70626060639816</c:v>
                </c:pt>
                <c:pt idx="444">
                  <c:v>162.70626060639816</c:v>
                </c:pt>
                <c:pt idx="445">
                  <c:v>162.70626060639816</c:v>
                </c:pt>
                <c:pt idx="446">
                  <c:v>162.70626060639816</c:v>
                </c:pt>
                <c:pt idx="447">
                  <c:v>162.70626060639816</c:v>
                </c:pt>
                <c:pt idx="448">
                  <c:v>162.70626060639816</c:v>
                </c:pt>
                <c:pt idx="449">
                  <c:v>153.51276999999999</c:v>
                </c:pt>
                <c:pt idx="450">
                  <c:v>162.70626060639816</c:v>
                </c:pt>
                <c:pt idx="451">
                  <c:v>162.70626060639816</c:v>
                </c:pt>
                <c:pt idx="452">
                  <c:v>92.437781000000001</c:v>
                </c:pt>
                <c:pt idx="453">
                  <c:v>60.719230000000003</c:v>
                </c:pt>
                <c:pt idx="454">
                  <c:v>77.339371999999997</c:v>
                </c:pt>
                <c:pt idx="455">
                  <c:v>48.226339999999993</c:v>
                </c:pt>
                <c:pt idx="456">
                  <c:v>39.278343999999997</c:v>
                </c:pt>
                <c:pt idx="457">
                  <c:v>65.043498999999997</c:v>
                </c:pt>
                <c:pt idx="458">
                  <c:v>59.870453000000005</c:v>
                </c:pt>
                <c:pt idx="459">
                  <c:v>36.766540999999997</c:v>
                </c:pt>
                <c:pt idx="460">
                  <c:v>35.177381000000004</c:v>
                </c:pt>
                <c:pt idx="461">
                  <c:v>43.021312999999999</c:v>
                </c:pt>
                <c:pt idx="462">
                  <c:v>84.618122</c:v>
                </c:pt>
                <c:pt idx="463">
                  <c:v>132.97977590111603</c:v>
                </c:pt>
                <c:pt idx="464">
                  <c:v>113.05998299999999</c:v>
                </c:pt>
                <c:pt idx="465">
                  <c:v>132.97977590111603</c:v>
                </c:pt>
                <c:pt idx="466">
                  <c:v>55.950822000000002</c:v>
                </c:pt>
                <c:pt idx="467">
                  <c:v>49.472637000000006</c:v>
                </c:pt>
                <c:pt idx="468">
                  <c:v>47.239418000000001</c:v>
                </c:pt>
                <c:pt idx="469">
                  <c:v>115.54714</c:v>
                </c:pt>
                <c:pt idx="470">
                  <c:v>132.97977590111603</c:v>
                </c:pt>
                <c:pt idx="471">
                  <c:v>94.628765000000001</c:v>
                </c:pt>
                <c:pt idx="472">
                  <c:v>54.170434999999998</c:v>
                </c:pt>
                <c:pt idx="473">
                  <c:v>99.021672999999993</c:v>
                </c:pt>
                <c:pt idx="474">
                  <c:v>132.97977590111603</c:v>
                </c:pt>
                <c:pt idx="475">
                  <c:v>106.90828</c:v>
                </c:pt>
                <c:pt idx="476">
                  <c:v>68.056787999999997</c:v>
                </c:pt>
                <c:pt idx="477">
                  <c:v>61.214120999999999</c:v>
                </c:pt>
                <c:pt idx="478">
                  <c:v>67.968643</c:v>
                </c:pt>
                <c:pt idx="479">
                  <c:v>90.615945000000011</c:v>
                </c:pt>
                <c:pt idx="480">
                  <c:v>90.214257000000003</c:v>
                </c:pt>
                <c:pt idx="481">
                  <c:v>77.504070999999996</c:v>
                </c:pt>
                <c:pt idx="482">
                  <c:v>132.97977590111603</c:v>
                </c:pt>
                <c:pt idx="483">
                  <c:v>132.97977590111603</c:v>
                </c:pt>
                <c:pt idx="484">
                  <c:v>129.84499299999999</c:v>
                </c:pt>
                <c:pt idx="485">
                  <c:v>132.97977590111603</c:v>
                </c:pt>
                <c:pt idx="486">
                  <c:v>132.97977590111603</c:v>
                </c:pt>
                <c:pt idx="487">
                  <c:v>132.32076000000001</c:v>
                </c:pt>
                <c:pt idx="488">
                  <c:v>135.99042281783323</c:v>
                </c:pt>
                <c:pt idx="489">
                  <c:v>107.69463500000001</c:v>
                </c:pt>
                <c:pt idx="490">
                  <c:v>89.430616999999998</c:v>
                </c:pt>
                <c:pt idx="491">
                  <c:v>80.094169999999991</c:v>
                </c:pt>
                <c:pt idx="492">
                  <c:v>94.565114000000008</c:v>
                </c:pt>
                <c:pt idx="493">
                  <c:v>135.99042281783323</c:v>
                </c:pt>
                <c:pt idx="494">
                  <c:v>97.303382999999997</c:v>
                </c:pt>
                <c:pt idx="495">
                  <c:v>60.951149999999998</c:v>
                </c:pt>
                <c:pt idx="496">
                  <c:v>75.659120999999999</c:v>
                </c:pt>
                <c:pt idx="497">
                  <c:v>126.90398399999999</c:v>
                </c:pt>
                <c:pt idx="498">
                  <c:v>134.49626000000001</c:v>
                </c:pt>
                <c:pt idx="499">
                  <c:v>85.908894999999987</c:v>
                </c:pt>
                <c:pt idx="500">
                  <c:v>135.99042281783323</c:v>
                </c:pt>
                <c:pt idx="501">
                  <c:v>135.99042281783323</c:v>
                </c:pt>
                <c:pt idx="502">
                  <c:v>106.67068500000001</c:v>
                </c:pt>
                <c:pt idx="503">
                  <c:v>135.99042281783323</c:v>
                </c:pt>
                <c:pt idx="504">
                  <c:v>122.81375100000001</c:v>
                </c:pt>
                <c:pt idx="505">
                  <c:v>131.732677</c:v>
                </c:pt>
                <c:pt idx="506">
                  <c:v>135.99042281783323</c:v>
                </c:pt>
                <c:pt idx="507">
                  <c:v>135.99042281783323</c:v>
                </c:pt>
                <c:pt idx="508">
                  <c:v>91.243051999999992</c:v>
                </c:pt>
                <c:pt idx="509">
                  <c:v>111.43429399999999</c:v>
                </c:pt>
                <c:pt idx="510">
                  <c:v>135.99042281783323</c:v>
                </c:pt>
                <c:pt idx="511">
                  <c:v>135.99042281783323</c:v>
                </c:pt>
                <c:pt idx="512">
                  <c:v>90.717434999999995</c:v>
                </c:pt>
                <c:pt idx="513">
                  <c:v>101.117637</c:v>
                </c:pt>
                <c:pt idx="514">
                  <c:v>91.322076999999993</c:v>
                </c:pt>
                <c:pt idx="515">
                  <c:v>95.518872999999999</c:v>
                </c:pt>
                <c:pt idx="516">
                  <c:v>106.39381300000001</c:v>
                </c:pt>
                <c:pt idx="517">
                  <c:v>94.132784999999984</c:v>
                </c:pt>
                <c:pt idx="518">
                  <c:v>131.29490490319</c:v>
                </c:pt>
                <c:pt idx="519">
                  <c:v>131.29490490319</c:v>
                </c:pt>
                <c:pt idx="520">
                  <c:v>131.29490490319</c:v>
                </c:pt>
                <c:pt idx="521">
                  <c:v>131.29490490319</c:v>
                </c:pt>
                <c:pt idx="522">
                  <c:v>131.29490490319</c:v>
                </c:pt>
                <c:pt idx="523">
                  <c:v>131.29490490319</c:v>
                </c:pt>
                <c:pt idx="524">
                  <c:v>131.29490490319</c:v>
                </c:pt>
                <c:pt idx="525">
                  <c:v>98.636789000000007</c:v>
                </c:pt>
                <c:pt idx="526">
                  <c:v>77.100153999999989</c:v>
                </c:pt>
                <c:pt idx="527">
                  <c:v>131.29490490319</c:v>
                </c:pt>
                <c:pt idx="528">
                  <c:v>69.409424999999999</c:v>
                </c:pt>
                <c:pt idx="529">
                  <c:v>83.631951999999998</c:v>
                </c:pt>
                <c:pt idx="530">
                  <c:v>125.80086200000001</c:v>
                </c:pt>
                <c:pt idx="531">
                  <c:v>124.384985</c:v>
                </c:pt>
                <c:pt idx="532">
                  <c:v>100.18844299999999</c:v>
                </c:pt>
                <c:pt idx="533">
                  <c:v>103.259569</c:v>
                </c:pt>
                <c:pt idx="534">
                  <c:v>68.429573999999988</c:v>
                </c:pt>
                <c:pt idx="535">
                  <c:v>131.29490490319</c:v>
                </c:pt>
                <c:pt idx="536">
                  <c:v>54.799492000000001</c:v>
                </c:pt>
                <c:pt idx="537">
                  <c:v>48.366249000000003</c:v>
                </c:pt>
                <c:pt idx="538">
                  <c:v>94.316125</c:v>
                </c:pt>
                <c:pt idx="539">
                  <c:v>112.26301099999999</c:v>
                </c:pt>
                <c:pt idx="540">
                  <c:v>106.89461200000001</c:v>
                </c:pt>
                <c:pt idx="541">
                  <c:v>103.63361900000001</c:v>
                </c:pt>
                <c:pt idx="542">
                  <c:v>124.854539</c:v>
                </c:pt>
                <c:pt idx="543">
                  <c:v>131.29490490319</c:v>
                </c:pt>
                <c:pt idx="544">
                  <c:v>131.29490490319</c:v>
                </c:pt>
                <c:pt idx="545">
                  <c:v>131.29490490319</c:v>
                </c:pt>
                <c:pt idx="546">
                  <c:v>121.53883948770532</c:v>
                </c:pt>
                <c:pt idx="547">
                  <c:v>121.53883948770532</c:v>
                </c:pt>
                <c:pt idx="548">
                  <c:v>69.018527000000006</c:v>
                </c:pt>
                <c:pt idx="549">
                  <c:v>125.59013413729549</c:v>
                </c:pt>
                <c:pt idx="550">
                  <c:v>125.59013413729549</c:v>
                </c:pt>
                <c:pt idx="551">
                  <c:v>125.59013413729549</c:v>
                </c:pt>
                <c:pt idx="552">
                  <c:v>125.59013413729549</c:v>
                </c:pt>
                <c:pt idx="553">
                  <c:v>112.376633</c:v>
                </c:pt>
                <c:pt idx="554">
                  <c:v>80.775775999999993</c:v>
                </c:pt>
                <c:pt idx="555">
                  <c:v>87.517318000000003</c:v>
                </c:pt>
                <c:pt idx="556">
                  <c:v>90.350184999999996</c:v>
                </c:pt>
                <c:pt idx="557">
                  <c:v>109.16140900000001</c:v>
                </c:pt>
                <c:pt idx="558">
                  <c:v>69.483063000000001</c:v>
                </c:pt>
                <c:pt idx="559">
                  <c:v>51.617401000000001</c:v>
                </c:pt>
                <c:pt idx="560">
                  <c:v>56.063391000000003</c:v>
                </c:pt>
                <c:pt idx="561">
                  <c:v>115.816581</c:v>
                </c:pt>
                <c:pt idx="562">
                  <c:v>109.817306</c:v>
                </c:pt>
                <c:pt idx="563">
                  <c:v>98.778859999999995</c:v>
                </c:pt>
                <c:pt idx="564">
                  <c:v>122.66425</c:v>
                </c:pt>
                <c:pt idx="565">
                  <c:v>125.59013413729549</c:v>
                </c:pt>
                <c:pt idx="566">
                  <c:v>119.86378999999999</c:v>
                </c:pt>
                <c:pt idx="567">
                  <c:v>54.818041000000001</c:v>
                </c:pt>
                <c:pt idx="568">
                  <c:v>125.59013413729549</c:v>
                </c:pt>
                <c:pt idx="569">
                  <c:v>125.59013413729549</c:v>
                </c:pt>
                <c:pt idx="570">
                  <c:v>125.59013413729549</c:v>
                </c:pt>
                <c:pt idx="571">
                  <c:v>57.579214</c:v>
                </c:pt>
                <c:pt idx="572">
                  <c:v>77.504825999999994</c:v>
                </c:pt>
                <c:pt idx="573">
                  <c:v>56.623999000000005</c:v>
                </c:pt>
                <c:pt idx="574">
                  <c:v>61.613292999999999</c:v>
                </c:pt>
                <c:pt idx="575">
                  <c:v>112.85042299999999</c:v>
                </c:pt>
                <c:pt idx="576">
                  <c:v>87.513448000000011</c:v>
                </c:pt>
                <c:pt idx="577">
                  <c:v>47.587671</c:v>
                </c:pt>
                <c:pt idx="578">
                  <c:v>71.112015999999997</c:v>
                </c:pt>
                <c:pt idx="579">
                  <c:v>65.010852999999997</c:v>
                </c:pt>
                <c:pt idx="580">
                  <c:v>119.595054</c:v>
                </c:pt>
                <c:pt idx="581">
                  <c:v>119.29588199999999</c:v>
                </c:pt>
                <c:pt idx="582">
                  <c:v>100.617614</c:v>
                </c:pt>
                <c:pt idx="583">
                  <c:v>47.969997999999997</c:v>
                </c:pt>
                <c:pt idx="584">
                  <c:v>62.839870000000005</c:v>
                </c:pt>
                <c:pt idx="585">
                  <c:v>73.685134999999988</c:v>
                </c:pt>
                <c:pt idx="586">
                  <c:v>58.411174000000003</c:v>
                </c:pt>
                <c:pt idx="587">
                  <c:v>53.081889000000004</c:v>
                </c:pt>
                <c:pt idx="588">
                  <c:v>39.551927000000006</c:v>
                </c:pt>
                <c:pt idx="589">
                  <c:v>44.508303999999995</c:v>
                </c:pt>
                <c:pt idx="590">
                  <c:v>84.965941000000001</c:v>
                </c:pt>
                <c:pt idx="591">
                  <c:v>153.81281429631619</c:v>
                </c:pt>
                <c:pt idx="592">
                  <c:v>77.564145000000011</c:v>
                </c:pt>
                <c:pt idx="593">
                  <c:v>55.796743999999997</c:v>
                </c:pt>
                <c:pt idx="594">
                  <c:v>100.030469</c:v>
                </c:pt>
                <c:pt idx="595">
                  <c:v>153.81281429631619</c:v>
                </c:pt>
                <c:pt idx="596">
                  <c:v>153.81281429631619</c:v>
                </c:pt>
                <c:pt idx="597">
                  <c:v>153.81281429631619</c:v>
                </c:pt>
                <c:pt idx="598">
                  <c:v>153.81281429631619</c:v>
                </c:pt>
                <c:pt idx="599">
                  <c:v>153.81281429631619</c:v>
                </c:pt>
                <c:pt idx="600">
                  <c:v>153.81281429631619</c:v>
                </c:pt>
                <c:pt idx="601">
                  <c:v>147.10712599999999</c:v>
                </c:pt>
                <c:pt idx="602">
                  <c:v>153.81281429631619</c:v>
                </c:pt>
                <c:pt idx="603">
                  <c:v>153.81281429631619</c:v>
                </c:pt>
                <c:pt idx="604">
                  <c:v>153.81281429631619</c:v>
                </c:pt>
                <c:pt idx="605">
                  <c:v>153.81281429631619</c:v>
                </c:pt>
                <c:pt idx="606">
                  <c:v>153.81281429631619</c:v>
                </c:pt>
                <c:pt idx="607">
                  <c:v>153.81281429631619</c:v>
                </c:pt>
                <c:pt idx="608">
                  <c:v>153.81281429631619</c:v>
                </c:pt>
                <c:pt idx="609">
                  <c:v>153.81281429631619</c:v>
                </c:pt>
                <c:pt idx="610">
                  <c:v>207.77304190419628</c:v>
                </c:pt>
                <c:pt idx="611">
                  <c:v>207.77304190419628</c:v>
                </c:pt>
                <c:pt idx="612">
                  <c:v>207.77304190419628</c:v>
                </c:pt>
                <c:pt idx="613">
                  <c:v>207.77304190419628</c:v>
                </c:pt>
                <c:pt idx="614">
                  <c:v>207.77304190419628</c:v>
                </c:pt>
                <c:pt idx="615">
                  <c:v>207.77304190419628</c:v>
                </c:pt>
                <c:pt idx="616">
                  <c:v>166.87135000000001</c:v>
                </c:pt>
                <c:pt idx="617">
                  <c:v>181.521907</c:v>
                </c:pt>
                <c:pt idx="618">
                  <c:v>207.77304190419628</c:v>
                </c:pt>
                <c:pt idx="619">
                  <c:v>207.77304190419628</c:v>
                </c:pt>
                <c:pt idx="620">
                  <c:v>207.77304190419628</c:v>
                </c:pt>
                <c:pt idx="621">
                  <c:v>207.77304190419628</c:v>
                </c:pt>
                <c:pt idx="622">
                  <c:v>207.77304190419628</c:v>
                </c:pt>
                <c:pt idx="623">
                  <c:v>195.84528600000002</c:v>
                </c:pt>
                <c:pt idx="624">
                  <c:v>103.63966099999999</c:v>
                </c:pt>
                <c:pt idx="625">
                  <c:v>164.571258</c:v>
                </c:pt>
                <c:pt idx="626">
                  <c:v>106.43720399999999</c:v>
                </c:pt>
                <c:pt idx="627">
                  <c:v>92.351899000000003</c:v>
                </c:pt>
                <c:pt idx="628">
                  <c:v>33.739069999999998</c:v>
                </c:pt>
                <c:pt idx="629">
                  <c:v>127.556757</c:v>
                </c:pt>
                <c:pt idx="630">
                  <c:v>207.77304190419628</c:v>
                </c:pt>
                <c:pt idx="631">
                  <c:v>207.77304190419628</c:v>
                </c:pt>
                <c:pt idx="632">
                  <c:v>207.77304190419628</c:v>
                </c:pt>
                <c:pt idx="633">
                  <c:v>207.77304190419628</c:v>
                </c:pt>
                <c:pt idx="634">
                  <c:v>171.069649</c:v>
                </c:pt>
                <c:pt idx="635">
                  <c:v>30.735408</c:v>
                </c:pt>
                <c:pt idx="636">
                  <c:v>201.74135699999999</c:v>
                </c:pt>
                <c:pt idx="637">
                  <c:v>207.77304190419628</c:v>
                </c:pt>
                <c:pt idx="638">
                  <c:v>207.77304190419628</c:v>
                </c:pt>
                <c:pt idx="639">
                  <c:v>207.77304190419628</c:v>
                </c:pt>
                <c:pt idx="640">
                  <c:v>195.82097441715905</c:v>
                </c:pt>
                <c:pt idx="641">
                  <c:v>195.82097441715905</c:v>
                </c:pt>
                <c:pt idx="642">
                  <c:v>179.16206299999999</c:v>
                </c:pt>
                <c:pt idx="643">
                  <c:v>195.82097441715905</c:v>
                </c:pt>
                <c:pt idx="644">
                  <c:v>117.27066099999999</c:v>
                </c:pt>
                <c:pt idx="645">
                  <c:v>86.179502000000014</c:v>
                </c:pt>
                <c:pt idx="646">
                  <c:v>195.82097441715905</c:v>
                </c:pt>
                <c:pt idx="647">
                  <c:v>195.82097441715905</c:v>
                </c:pt>
                <c:pt idx="648">
                  <c:v>195.82097441715905</c:v>
                </c:pt>
                <c:pt idx="649">
                  <c:v>195.82097441715905</c:v>
                </c:pt>
                <c:pt idx="650">
                  <c:v>195.82097441715905</c:v>
                </c:pt>
                <c:pt idx="651">
                  <c:v>195.82097441715905</c:v>
                </c:pt>
                <c:pt idx="652">
                  <c:v>195.82097441715905</c:v>
                </c:pt>
                <c:pt idx="653">
                  <c:v>195.82097441715905</c:v>
                </c:pt>
                <c:pt idx="654">
                  <c:v>195.82097441715905</c:v>
                </c:pt>
                <c:pt idx="655">
                  <c:v>117.79346</c:v>
                </c:pt>
                <c:pt idx="656">
                  <c:v>36.700868999999997</c:v>
                </c:pt>
                <c:pt idx="657">
                  <c:v>21.168843000000003</c:v>
                </c:pt>
                <c:pt idx="658">
                  <c:v>100.086298</c:v>
                </c:pt>
                <c:pt idx="659">
                  <c:v>195.82097441715905</c:v>
                </c:pt>
                <c:pt idx="660">
                  <c:v>195.82097441715905</c:v>
                </c:pt>
                <c:pt idx="661">
                  <c:v>195.82097441715905</c:v>
                </c:pt>
                <c:pt idx="662">
                  <c:v>186.19649699999999</c:v>
                </c:pt>
                <c:pt idx="663">
                  <c:v>40.526524999999999</c:v>
                </c:pt>
                <c:pt idx="664">
                  <c:v>34.68506</c:v>
                </c:pt>
                <c:pt idx="665">
                  <c:v>55.791398000000001</c:v>
                </c:pt>
                <c:pt idx="666">
                  <c:v>115.922409</c:v>
                </c:pt>
                <c:pt idx="667">
                  <c:v>82.692546000000007</c:v>
                </c:pt>
                <c:pt idx="668">
                  <c:v>38.915436</c:v>
                </c:pt>
                <c:pt idx="669">
                  <c:v>135.71794500000001</c:v>
                </c:pt>
                <c:pt idx="670">
                  <c:v>195.82097441715905</c:v>
                </c:pt>
                <c:pt idx="671">
                  <c:v>159.60731900000002</c:v>
                </c:pt>
                <c:pt idx="672">
                  <c:v>226.88280316780788</c:v>
                </c:pt>
                <c:pt idx="673">
                  <c:v>226.88280316780788</c:v>
                </c:pt>
                <c:pt idx="674">
                  <c:v>137.70837299999999</c:v>
                </c:pt>
                <c:pt idx="675">
                  <c:v>226.88280316780788</c:v>
                </c:pt>
                <c:pt idx="676">
                  <c:v>226.88280316780788</c:v>
                </c:pt>
                <c:pt idx="677">
                  <c:v>226.88280316780788</c:v>
                </c:pt>
                <c:pt idx="678">
                  <c:v>193.81571499999998</c:v>
                </c:pt>
                <c:pt idx="679">
                  <c:v>24.501615000000001</c:v>
                </c:pt>
                <c:pt idx="680">
                  <c:v>90.165134000000009</c:v>
                </c:pt>
                <c:pt idx="681">
                  <c:v>145.66655799999998</c:v>
                </c:pt>
                <c:pt idx="682">
                  <c:v>122.95275599999999</c:v>
                </c:pt>
                <c:pt idx="683">
                  <c:v>155.15355400000001</c:v>
                </c:pt>
                <c:pt idx="684">
                  <c:v>226.88280316780788</c:v>
                </c:pt>
                <c:pt idx="685">
                  <c:v>226.88280316780788</c:v>
                </c:pt>
                <c:pt idx="686">
                  <c:v>226.88280316780788</c:v>
                </c:pt>
                <c:pt idx="687">
                  <c:v>226.88280316780788</c:v>
                </c:pt>
                <c:pt idx="688">
                  <c:v>226.88280316780788</c:v>
                </c:pt>
                <c:pt idx="689">
                  <c:v>226.88280316780788</c:v>
                </c:pt>
                <c:pt idx="690">
                  <c:v>128.34716900000001</c:v>
                </c:pt>
                <c:pt idx="691">
                  <c:v>122.565285</c:v>
                </c:pt>
                <c:pt idx="692">
                  <c:v>207.38079099999999</c:v>
                </c:pt>
                <c:pt idx="693">
                  <c:v>126.362179</c:v>
                </c:pt>
                <c:pt idx="694">
                  <c:v>82.124434999999991</c:v>
                </c:pt>
                <c:pt idx="695">
                  <c:v>80.573524999999989</c:v>
                </c:pt>
                <c:pt idx="696">
                  <c:v>44.098828999999995</c:v>
                </c:pt>
                <c:pt idx="697">
                  <c:v>85.233969999999999</c:v>
                </c:pt>
                <c:pt idx="698">
                  <c:v>161.50379799999999</c:v>
                </c:pt>
                <c:pt idx="699">
                  <c:v>136.78900099999998</c:v>
                </c:pt>
                <c:pt idx="700">
                  <c:v>64.648055999999997</c:v>
                </c:pt>
                <c:pt idx="701">
                  <c:v>66.609024999999988</c:v>
                </c:pt>
                <c:pt idx="702">
                  <c:v>159.570932</c:v>
                </c:pt>
                <c:pt idx="703">
                  <c:v>203.41647500000002</c:v>
                </c:pt>
                <c:pt idx="704">
                  <c:v>75.142522999999997</c:v>
                </c:pt>
                <c:pt idx="705">
                  <c:v>28.402622000000001</c:v>
                </c:pt>
                <c:pt idx="706">
                  <c:v>16.478073000000002</c:v>
                </c:pt>
                <c:pt idx="707">
                  <c:v>109.887308</c:v>
                </c:pt>
                <c:pt idx="708">
                  <c:v>217.02516159158938</c:v>
                </c:pt>
                <c:pt idx="709">
                  <c:v>217.02516159158938</c:v>
                </c:pt>
                <c:pt idx="710">
                  <c:v>217.02516159158938</c:v>
                </c:pt>
                <c:pt idx="711">
                  <c:v>217.02516159158938</c:v>
                </c:pt>
                <c:pt idx="712">
                  <c:v>217.02516159158938</c:v>
                </c:pt>
                <c:pt idx="713">
                  <c:v>217.02516159158938</c:v>
                </c:pt>
                <c:pt idx="714">
                  <c:v>168.00345800000002</c:v>
                </c:pt>
                <c:pt idx="715">
                  <c:v>158.361592</c:v>
                </c:pt>
                <c:pt idx="716">
                  <c:v>217.02516159158938</c:v>
                </c:pt>
                <c:pt idx="717">
                  <c:v>217.02516159158938</c:v>
                </c:pt>
                <c:pt idx="718">
                  <c:v>145.812714</c:v>
                </c:pt>
                <c:pt idx="719">
                  <c:v>94.996506999999994</c:v>
                </c:pt>
                <c:pt idx="720">
                  <c:v>217.02516159158938</c:v>
                </c:pt>
                <c:pt idx="721">
                  <c:v>147.89119399999998</c:v>
                </c:pt>
                <c:pt idx="722">
                  <c:v>141.72768400000001</c:v>
                </c:pt>
                <c:pt idx="723">
                  <c:v>217.02516159158938</c:v>
                </c:pt>
                <c:pt idx="724">
                  <c:v>217.02516159158938</c:v>
                </c:pt>
                <c:pt idx="725">
                  <c:v>217.02516159158938</c:v>
                </c:pt>
                <c:pt idx="726">
                  <c:v>217.02516159158938</c:v>
                </c:pt>
                <c:pt idx="727">
                  <c:v>217.02516159158938</c:v>
                </c:pt>
                <c:pt idx="728">
                  <c:v>217.02516159158938</c:v>
                </c:pt>
                <c:pt idx="729">
                  <c:v>217.02516159158938</c:v>
                </c:pt>
                <c:pt idx="730">
                  <c:v>217.02516159158938</c:v>
                </c:pt>
                <c:pt idx="731">
                  <c:v>223.03625876074639</c:v>
                </c:pt>
                <c:pt idx="732">
                  <c:v>223.03625876074639</c:v>
                </c:pt>
                <c:pt idx="733">
                  <c:v>223.03625876074639</c:v>
                </c:pt>
                <c:pt idx="734">
                  <c:v>223.03625876074639</c:v>
                </c:pt>
                <c:pt idx="735">
                  <c:v>142.24659299999999</c:v>
                </c:pt>
                <c:pt idx="736">
                  <c:v>73.999161999999998</c:v>
                </c:pt>
                <c:pt idx="737">
                  <c:v>223.03625876074639</c:v>
                </c:pt>
                <c:pt idx="738">
                  <c:v>223.03625876074639</c:v>
                </c:pt>
                <c:pt idx="739">
                  <c:v>223.03625876074639</c:v>
                </c:pt>
                <c:pt idx="740">
                  <c:v>223.03625876074639</c:v>
                </c:pt>
                <c:pt idx="741">
                  <c:v>223.03625876074639</c:v>
                </c:pt>
                <c:pt idx="742">
                  <c:v>92.806984999999997</c:v>
                </c:pt>
                <c:pt idx="743">
                  <c:v>77.202893000000003</c:v>
                </c:pt>
                <c:pt idx="744">
                  <c:v>155.45879300000001</c:v>
                </c:pt>
                <c:pt idx="745">
                  <c:v>123.792081</c:v>
                </c:pt>
                <c:pt idx="746">
                  <c:v>93.912283000000002</c:v>
                </c:pt>
                <c:pt idx="747">
                  <c:v>83.048638000000011</c:v>
                </c:pt>
                <c:pt idx="748">
                  <c:v>35.575354999999995</c:v>
                </c:pt>
                <c:pt idx="749">
                  <c:v>42.525300999999999</c:v>
                </c:pt>
                <c:pt idx="750">
                  <c:v>129.293679</c:v>
                </c:pt>
                <c:pt idx="751">
                  <c:v>187.288241</c:v>
                </c:pt>
                <c:pt idx="752">
                  <c:v>133.58196000000001</c:v>
                </c:pt>
                <c:pt idx="753">
                  <c:v>223.03625876074639</c:v>
                </c:pt>
                <c:pt idx="754">
                  <c:v>191.61256399999999</c:v>
                </c:pt>
                <c:pt idx="755">
                  <c:v>196.29643099999998</c:v>
                </c:pt>
                <c:pt idx="756">
                  <c:v>223.03625876074639</c:v>
                </c:pt>
                <c:pt idx="757">
                  <c:v>223.03625876074639</c:v>
                </c:pt>
                <c:pt idx="758">
                  <c:v>223.03625876074639</c:v>
                </c:pt>
                <c:pt idx="759">
                  <c:v>207.19015400000001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25B-41FB-B4FF-442B24B1BF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1950624"/>
        <c:axId val="511951016"/>
      </c:areaChart>
      <c:barChart>
        <c:barDir val="col"/>
        <c:grouping val="clustered"/>
        <c:varyColors val="0"/>
        <c:ser>
          <c:idx val="4"/>
          <c:order val="3"/>
          <c:tx>
            <c:v>CARACT</c:v>
          </c:tx>
          <c:spPr>
            <a:noFill/>
            <a:ln>
              <a:noFill/>
            </a:ln>
          </c:spPr>
          <c:invertIfNegative val="0"/>
          <c:dPt>
            <c:idx val="10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C25B-41FB-B4FF-442B24B1BF2E}"/>
              </c:ext>
            </c:extLst>
          </c:dPt>
          <c:cat>
            <c:strRef>
              <c:f>'Data 4'!$G$2:$G$761</c:f>
              <c:strCache>
                <c:ptCount val="746"/>
                <c:pt idx="14">
                  <c:v>M</c:v>
                </c:pt>
                <c:pt idx="45">
                  <c:v>A</c:v>
                </c:pt>
                <c:pt idx="75">
                  <c:v>M</c:v>
                </c:pt>
                <c:pt idx="106">
                  <c:v>J</c:v>
                </c:pt>
                <c:pt idx="136">
                  <c:v>J</c:v>
                </c:pt>
                <c:pt idx="167">
                  <c:v>A</c:v>
                </c:pt>
                <c:pt idx="198">
                  <c:v>S</c:v>
                </c:pt>
                <c:pt idx="228">
                  <c:v>O</c:v>
                </c:pt>
                <c:pt idx="259">
                  <c:v>N</c:v>
                </c:pt>
                <c:pt idx="289">
                  <c:v>D</c:v>
                </c:pt>
                <c:pt idx="320">
                  <c:v>E</c:v>
                </c:pt>
                <c:pt idx="351">
                  <c:v>F</c:v>
                </c:pt>
                <c:pt idx="379">
                  <c:v>M</c:v>
                </c:pt>
                <c:pt idx="410">
                  <c:v>A</c:v>
                </c:pt>
                <c:pt idx="440">
                  <c:v>M</c:v>
                </c:pt>
                <c:pt idx="471">
                  <c:v>J</c:v>
                </c:pt>
                <c:pt idx="501">
                  <c:v>J</c:v>
                </c:pt>
                <c:pt idx="532">
                  <c:v>A</c:v>
                </c:pt>
                <c:pt idx="563">
                  <c:v>S</c:v>
                </c:pt>
                <c:pt idx="593">
                  <c:v>O</c:v>
                </c:pt>
                <c:pt idx="624">
                  <c:v>N</c:v>
                </c:pt>
                <c:pt idx="654">
                  <c:v>D</c:v>
                </c:pt>
                <c:pt idx="685">
                  <c:v>E</c:v>
                </c:pt>
                <c:pt idx="716">
                  <c:v>F</c:v>
                </c:pt>
                <c:pt idx="745">
                  <c:v>M</c:v>
                </c:pt>
              </c:strCache>
            </c:strRef>
          </c:cat>
          <c:val>
            <c:numRef>
              <c:f>'Data 4'!$H$2:$H$761</c:f>
              <c:numCache>
                <c:formatCode>0.0</c:formatCode>
                <c:ptCount val="76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25B-41FB-B4FF-442B24B1BF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511950624"/>
        <c:axId val="511951016"/>
      </c:barChart>
      <c:catAx>
        <c:axId val="511949840"/>
        <c:scaling>
          <c:orientation val="minMax"/>
        </c:scaling>
        <c:delete val="0"/>
        <c:axPos val="b"/>
        <c:numFmt formatCode="mmm" sourceLinked="0"/>
        <c:majorTickMark val="none"/>
        <c:minorTickMark val="none"/>
        <c:tickLblPos val="nextTo"/>
        <c:spPr>
          <a:ln>
            <a:solidFill>
              <a:srgbClr val="004563"/>
            </a:solidFill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11950232"/>
        <c:crossesAt val="0"/>
        <c:auto val="0"/>
        <c:lblAlgn val="ctr"/>
        <c:lblOffset val="100"/>
        <c:tickLblSkip val="1"/>
        <c:noMultiLvlLbl val="0"/>
      </c:catAx>
      <c:valAx>
        <c:axId val="511950232"/>
        <c:scaling>
          <c:orientation val="minMax"/>
          <c:max val="500"/>
          <c:min val="0"/>
        </c:scaling>
        <c:delete val="0"/>
        <c:axPos val="l"/>
        <c:majorGridlines>
          <c:spPr>
            <a:ln w="12700">
              <a:solidFill>
                <a:srgbClr val="BFBFBF"/>
              </a:solidFill>
              <a:prstDash val="solid"/>
            </a:ln>
          </c:spPr>
        </c:majorGridlines>
        <c:numFmt formatCode="#,##0" sourceLinked="1"/>
        <c:majorTickMark val="cross"/>
        <c:minorTickMark val="none"/>
        <c:tickLblPos val="nextTo"/>
        <c:spPr>
          <a:ln w="12700">
            <a:solidFill>
              <a:srgbClr val="004563"/>
            </a:solidFill>
            <a:prstDash val="solid"/>
          </a:ln>
        </c:spPr>
        <c:txPr>
          <a:bodyPr rot="0" vert="horz"/>
          <a:lstStyle/>
          <a:p>
            <a:pPr algn="ctr" rtl="0">
              <a:defRPr lang="es-ES"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511949840"/>
        <c:crosses val="autoZero"/>
        <c:crossBetween val="midCat"/>
        <c:majorUnit val="100"/>
        <c:minorUnit val="100"/>
      </c:valAx>
      <c:catAx>
        <c:axId val="511950624"/>
        <c:scaling>
          <c:orientation val="minMax"/>
        </c:scaling>
        <c:delete val="1"/>
        <c:axPos val="b"/>
        <c:majorTickMark val="out"/>
        <c:minorTickMark val="none"/>
        <c:tickLblPos val="nextTo"/>
        <c:crossAx val="511951016"/>
        <c:crosses val="autoZero"/>
        <c:auto val="0"/>
        <c:lblAlgn val="ctr"/>
        <c:lblOffset val="100"/>
        <c:noMultiLvlLbl val="0"/>
      </c:catAx>
      <c:valAx>
        <c:axId val="511951016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511950624"/>
        <c:crosses val="autoZero"/>
        <c:crossBetween val="midCat"/>
      </c:valAx>
      <c:spPr>
        <a:noFill/>
        <a:ln w="12700">
          <a:noFill/>
          <a:prstDash val="solid"/>
        </a:ln>
      </c:spPr>
    </c:plotArea>
    <c:plotVisOnly val="0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Futura"/>
          <a:ea typeface="Futura"/>
          <a:cs typeface="Futura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31300862004442E-2"/>
          <c:y val="0.18352005286750084"/>
          <c:w val="0.87861960913213566"/>
          <c:h val="0.70602926415670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Dat_01!$Y$178</c:f>
              <c:strCache>
                <c:ptCount val="1"/>
                <c:pt idx="0">
                  <c:v>Generación solar fotovoltaica (GWh)</c:v>
                </c:pt>
              </c:strCache>
            </c:strRef>
          </c:tx>
          <c:spPr>
            <a:solidFill>
              <a:srgbClr val="ED7D3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ED7D3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DD5D-4EFF-9011-2DD7F9615E43}"/>
              </c:ext>
            </c:extLst>
          </c:dPt>
          <c:dPt>
            <c:idx val="1"/>
            <c:invertIfNegative val="0"/>
            <c:bubble3D val="0"/>
            <c:spPr>
              <a:solidFill>
                <a:srgbClr val="ED7D3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584C-422F-A67C-FD4E602D12F2}"/>
              </c:ext>
            </c:extLst>
          </c:dPt>
          <c:dPt>
            <c:idx val="4"/>
            <c:invertIfNegative val="0"/>
            <c:bubble3D val="0"/>
            <c:spPr>
              <a:solidFill>
                <a:srgbClr val="ED7D3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EF2D-4C84-9DA0-251C271BE607}"/>
              </c:ext>
            </c:extLst>
          </c:dPt>
          <c:dPt>
            <c:idx val="11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3614-48DC-A440-119339425588}"/>
              </c:ext>
            </c:extLst>
          </c:dPt>
          <c:dPt>
            <c:idx val="13"/>
            <c:invertIfNegative val="0"/>
            <c:bubble3D val="0"/>
            <c:spPr>
              <a:solidFill>
                <a:srgbClr val="ED7D3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6D17-4E14-A539-892DD7405B2D}"/>
              </c:ext>
            </c:extLst>
          </c:dPt>
          <c:dPt>
            <c:idx val="15"/>
            <c:invertIfNegative val="0"/>
            <c:bubble3D val="0"/>
            <c:spPr>
              <a:solidFill>
                <a:srgbClr val="ED7D3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11E7-41E3-AA6E-5E0FA72F0C15}"/>
              </c:ext>
            </c:extLst>
          </c:dPt>
          <c:dPt>
            <c:idx val="19"/>
            <c:invertIfNegative val="0"/>
            <c:bubble3D val="0"/>
            <c:spPr>
              <a:solidFill>
                <a:srgbClr val="ED7D3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5A78-4F72-AD28-A283E6D0A492}"/>
              </c:ext>
            </c:extLst>
          </c:dPt>
          <c:dPt>
            <c:idx val="22"/>
            <c:invertIfNegative val="0"/>
            <c:bubble3D val="0"/>
            <c:spPr>
              <a:solidFill>
                <a:srgbClr val="ED7D3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C5F2-47EC-A220-AD730E91A1EA}"/>
              </c:ext>
            </c:extLst>
          </c:dPt>
          <c:dPt>
            <c:idx val="23"/>
            <c:invertIfNegative val="0"/>
            <c:bubble3D val="0"/>
            <c:spPr>
              <a:solidFill>
                <a:srgbClr val="ED7D3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C5F2-47EC-A220-AD730E91A1EA}"/>
              </c:ext>
            </c:extLst>
          </c:dPt>
          <c:dPt>
            <c:idx val="24"/>
            <c:invertIfNegative val="0"/>
            <c:bubble3D val="0"/>
            <c:spPr>
              <a:solidFill>
                <a:srgbClr val="ED7D3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0C17-4C23-9F93-F76F9F40DDF4}"/>
              </c:ext>
            </c:extLst>
          </c:dPt>
          <c:dPt>
            <c:idx val="25"/>
            <c:invertIfNegative val="0"/>
            <c:bubble3D val="0"/>
            <c:spPr>
              <a:solidFill>
                <a:srgbClr val="ED7D3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B-6645-4432-963D-235F454CF342}"/>
              </c:ext>
            </c:extLst>
          </c:dPt>
          <c:dPt>
            <c:idx val="27"/>
            <c:invertIfNegative val="0"/>
            <c:bubble3D val="0"/>
            <c:spPr>
              <a:solidFill>
                <a:srgbClr val="ED7D3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2A0E-4BDE-9882-51AE7BF37A6E}"/>
              </c:ext>
            </c:extLst>
          </c:dPt>
          <c:cat>
            <c:numRef>
              <c:f>[0]!Eol_Fechas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Dat_01!$Y$180:$Y$210</c:f>
              <c:numCache>
                <c:formatCode>0_)</c:formatCode>
                <c:ptCount val="31"/>
                <c:pt idx="0">
                  <c:v>121.60061599999999</c:v>
                </c:pt>
                <c:pt idx="1">
                  <c:v>55.331459000000002</c:v>
                </c:pt>
                <c:pt idx="2">
                  <c:v>96.291117999999997</c:v>
                </c:pt>
                <c:pt idx="3">
                  <c:v>72.200810000000004</c:v>
                </c:pt>
                <c:pt idx="4">
                  <c:v>141.17894699999999</c:v>
                </c:pt>
                <c:pt idx="5">
                  <c:v>139.45210699999998</c:v>
                </c:pt>
                <c:pt idx="6">
                  <c:v>71.912965</c:v>
                </c:pt>
                <c:pt idx="7">
                  <c:v>82.087441999999996</c:v>
                </c:pt>
                <c:pt idx="8">
                  <c:v>47.678432000000001</c:v>
                </c:pt>
                <c:pt idx="9">
                  <c:v>72.397199999999998</c:v>
                </c:pt>
                <c:pt idx="10">
                  <c:v>119.78096499999999</c:v>
                </c:pt>
                <c:pt idx="11">
                  <c:v>147.561531</c:v>
                </c:pt>
                <c:pt idx="12">
                  <c:v>141.632531</c:v>
                </c:pt>
                <c:pt idx="13">
                  <c:v>115.56585199999999</c:v>
                </c:pt>
                <c:pt idx="14">
                  <c:v>121.07140099999999</c:v>
                </c:pt>
                <c:pt idx="15">
                  <c:v>130.38302899999999</c:v>
                </c:pt>
                <c:pt idx="16">
                  <c:v>123.592359</c:v>
                </c:pt>
                <c:pt idx="17">
                  <c:v>104.670186</c:v>
                </c:pt>
                <c:pt idx="18">
                  <c:v>122.445205</c:v>
                </c:pt>
                <c:pt idx="19">
                  <c:v>106.079413</c:v>
                </c:pt>
                <c:pt idx="20">
                  <c:v>97.996581999999989</c:v>
                </c:pt>
                <c:pt idx="21">
                  <c:v>109.81231600000001</c:v>
                </c:pt>
                <c:pt idx="22">
                  <c:v>85.931160999999989</c:v>
                </c:pt>
                <c:pt idx="23">
                  <c:v>69.925910000000002</c:v>
                </c:pt>
                <c:pt idx="24">
                  <c:v>51.232773999999999</c:v>
                </c:pt>
                <c:pt idx="25">
                  <c:v>94.592787000000001</c:v>
                </c:pt>
                <c:pt idx="26">
                  <c:v>70.600798999999995</c:v>
                </c:pt>
                <c:pt idx="27">
                  <c:v>72.165244999999999</c:v>
                </c:pt>
                <c:pt idx="28">
                  <c:v>69.475298999999993</c:v>
                </c:pt>
                <c:pt idx="29">
                  <c:v>72.760616999999996</c:v>
                </c:pt>
                <c:pt idx="30">
                  <c:v>56.133758999999998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0-6645-4432-963D-235F454CF3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0944464"/>
        <c:axId val="690944856"/>
      </c:barChart>
      <c:lineChart>
        <c:grouping val="standard"/>
        <c:varyColors val="0"/>
        <c:ser>
          <c:idx val="1"/>
          <c:order val="1"/>
          <c:tx>
            <c:strRef>
              <c:f>Dat_01!$X$178</c:f>
              <c:strCache>
                <c:ptCount val="1"/>
                <c:pt idx="0">
                  <c:v>Generación solar fotovoltaica/Generación (%)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[0]!Eol_Fechas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Dat_01!$X$180:$X$210</c:f>
              <c:numCache>
                <c:formatCode>0.0_)</c:formatCode>
                <c:ptCount val="31"/>
                <c:pt idx="0">
                  <c:v>15.238715037493533</c:v>
                </c:pt>
                <c:pt idx="1">
                  <c:v>7.9063854632083057</c:v>
                </c:pt>
                <c:pt idx="2">
                  <c:v>13.731365834391132</c:v>
                </c:pt>
                <c:pt idx="3">
                  <c:v>9.9133155624549278</c:v>
                </c:pt>
                <c:pt idx="4">
                  <c:v>19.55626061827806</c:v>
                </c:pt>
                <c:pt idx="5">
                  <c:v>20.097061036228673</c:v>
                </c:pt>
                <c:pt idx="6">
                  <c:v>9.5000531516455382</c:v>
                </c:pt>
                <c:pt idx="7">
                  <c:v>10.794631625565613</c:v>
                </c:pt>
                <c:pt idx="8">
                  <c:v>6.8874278234673891</c:v>
                </c:pt>
                <c:pt idx="9">
                  <c:v>11.266843241817369</c:v>
                </c:pt>
                <c:pt idx="10">
                  <c:v>16.392833342721428</c:v>
                </c:pt>
                <c:pt idx="11">
                  <c:v>21.347210445670097</c:v>
                </c:pt>
                <c:pt idx="12">
                  <c:v>20.803864530968323</c:v>
                </c:pt>
                <c:pt idx="13">
                  <c:v>16.529945602423027</c:v>
                </c:pt>
                <c:pt idx="14">
                  <c:v>17.936049673235701</c:v>
                </c:pt>
                <c:pt idx="15">
                  <c:v>20.480939302055052</c:v>
                </c:pt>
                <c:pt idx="16">
                  <c:v>19.614280155203907</c:v>
                </c:pt>
                <c:pt idx="17">
                  <c:v>16.696032280680701</c:v>
                </c:pt>
                <c:pt idx="18">
                  <c:v>18.448830266050894</c:v>
                </c:pt>
                <c:pt idx="19">
                  <c:v>15.438417049760089</c:v>
                </c:pt>
                <c:pt idx="20">
                  <c:v>14.052508760759878</c:v>
                </c:pt>
                <c:pt idx="21">
                  <c:v>16.645672296650439</c:v>
                </c:pt>
                <c:pt idx="22">
                  <c:v>12.829300169731194</c:v>
                </c:pt>
                <c:pt idx="23">
                  <c:v>11.715122543804577</c:v>
                </c:pt>
                <c:pt idx="24">
                  <c:v>7.6145574138132961</c:v>
                </c:pt>
                <c:pt idx="25">
                  <c:v>12.654910922703639</c:v>
                </c:pt>
                <c:pt idx="26">
                  <c:v>9.6303259327547792</c:v>
                </c:pt>
                <c:pt idx="27">
                  <c:v>10.3810275688476</c:v>
                </c:pt>
                <c:pt idx="28">
                  <c:v>10.747088587299183</c:v>
                </c:pt>
                <c:pt idx="29">
                  <c:v>11.492441118543603</c:v>
                </c:pt>
                <c:pt idx="30">
                  <c:v>9.1054191352060769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1-6645-4432-963D-235F454CF3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0945640"/>
        <c:axId val="690945248"/>
      </c:lineChart>
      <c:catAx>
        <c:axId val="6909444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4856"/>
        <c:crosses val="autoZero"/>
        <c:auto val="0"/>
        <c:lblAlgn val="ctr"/>
        <c:lblOffset val="100"/>
        <c:noMultiLvlLbl val="0"/>
      </c:catAx>
      <c:valAx>
        <c:axId val="69094485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9.0309775329189806E-3"/>
              <c:y val="7.943508249117316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0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4464"/>
        <c:crosses val="autoZero"/>
        <c:crossBetween val="between"/>
      </c:valAx>
      <c:valAx>
        <c:axId val="690945248"/>
        <c:scaling>
          <c:orientation val="minMax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%</a:t>
                </a:r>
              </a:p>
            </c:rich>
          </c:tx>
          <c:layout>
            <c:manualLayout>
              <c:xMode val="edge"/>
              <c:yMode val="edge"/>
              <c:x val="0.94435111644215319"/>
              <c:y val="7.151742611745978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5640"/>
        <c:crosses val="max"/>
        <c:crossBetween val="between"/>
        <c:majorUnit val="3"/>
      </c:valAx>
      <c:catAx>
        <c:axId val="690945640"/>
        <c:scaling>
          <c:orientation val="minMax"/>
        </c:scaling>
        <c:delete val="1"/>
        <c:axPos val="b"/>
        <c:numFmt formatCode="0_)" sourceLinked="1"/>
        <c:majorTickMark val="out"/>
        <c:minorTickMark val="none"/>
        <c:tickLblPos val="nextTo"/>
        <c:crossAx val="690945248"/>
        <c:crosses val="autoZero"/>
        <c:auto val="0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1712702844999698"/>
          <c:y val="3.6949063077329113E-2"/>
          <c:w val="0.71566002792634253"/>
          <c:h val="7.83615230993987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790633608815426E-2"/>
          <c:y val="6.4971625915181658E-2"/>
          <c:w val="0.89118457300275478"/>
          <c:h val="0.74282612579186769"/>
        </c:manualLayout>
      </c:layout>
      <c:areaChart>
        <c:grouping val="standard"/>
        <c:varyColors val="0"/>
        <c:ser>
          <c:idx val="1"/>
          <c:order val="0"/>
          <c:tx>
            <c:v>HUMEDO</c:v>
          </c:tx>
          <c:spPr>
            <a:solidFill>
              <a:srgbClr val="FFC000"/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'Data 5'!$F$2:$G$761</c:f>
              <c:multiLvlStrCache>
                <c:ptCount val="746"/>
                <c:lvl>
                  <c:pt idx="14">
                    <c:v>M</c:v>
                  </c:pt>
                  <c:pt idx="45">
                    <c:v>A</c:v>
                  </c:pt>
                  <c:pt idx="75">
                    <c:v>M</c:v>
                  </c:pt>
                  <c:pt idx="106">
                    <c:v>J</c:v>
                  </c:pt>
                  <c:pt idx="136">
                    <c:v>J</c:v>
                  </c:pt>
                  <c:pt idx="167">
                    <c:v>A</c:v>
                  </c:pt>
                  <c:pt idx="198">
                    <c:v>S</c:v>
                  </c:pt>
                  <c:pt idx="228">
                    <c:v>O</c:v>
                  </c:pt>
                  <c:pt idx="259">
                    <c:v>N</c:v>
                  </c:pt>
                  <c:pt idx="289">
                    <c:v>D</c:v>
                  </c:pt>
                  <c:pt idx="320">
                    <c:v>E</c:v>
                  </c:pt>
                  <c:pt idx="351">
                    <c:v>F</c:v>
                  </c:pt>
                  <c:pt idx="379">
                    <c:v>M</c:v>
                  </c:pt>
                  <c:pt idx="410">
                    <c:v>A</c:v>
                  </c:pt>
                  <c:pt idx="440">
                    <c:v>M</c:v>
                  </c:pt>
                  <c:pt idx="471">
                    <c:v>J</c:v>
                  </c:pt>
                  <c:pt idx="501">
                    <c:v>J</c:v>
                  </c:pt>
                  <c:pt idx="532">
                    <c:v>A</c:v>
                  </c:pt>
                  <c:pt idx="563">
                    <c:v>S</c:v>
                  </c:pt>
                  <c:pt idx="593">
                    <c:v>O</c:v>
                  </c:pt>
                  <c:pt idx="624">
                    <c:v>N</c:v>
                  </c:pt>
                  <c:pt idx="654">
                    <c:v>D</c:v>
                  </c:pt>
                  <c:pt idx="685">
                    <c:v>E</c:v>
                  </c:pt>
                  <c:pt idx="716">
                    <c:v>F</c:v>
                  </c:pt>
                  <c:pt idx="745">
                    <c:v>M</c:v>
                  </c:pt>
                </c:lvl>
                <c:lvl>
                  <c:pt idx="0">
                    <c:v>2022</c:v>
                  </c:pt>
                  <c:pt idx="306">
                    <c:v>2023</c:v>
                  </c:pt>
                  <c:pt idx="671">
                    <c:v>2024</c:v>
                  </c:pt>
                </c:lvl>
              </c:multiLvlStrCache>
            </c:multiLvlStrRef>
          </c:cat>
          <c:val>
            <c:numRef>
              <c:f>'Data 5'!$C$2:$C$761</c:f>
              <c:numCache>
                <c:formatCode>#,##0</c:formatCode>
                <c:ptCount val="760"/>
                <c:pt idx="0">
                  <c:v>76.296301</c:v>
                </c:pt>
                <c:pt idx="1">
                  <c:v>71.628574000000015</c:v>
                </c:pt>
                <c:pt idx="2">
                  <c:v>35.527419999999999</c:v>
                </c:pt>
                <c:pt idx="3">
                  <c:v>54.084353999999998</c:v>
                </c:pt>
                <c:pt idx="4">
                  <c:v>56.345740000000006</c:v>
                </c:pt>
                <c:pt idx="5">
                  <c:v>57.480072999999997</c:v>
                </c:pt>
                <c:pt idx="6">
                  <c:v>46.524450999999999</c:v>
                </c:pt>
                <c:pt idx="7">
                  <c:v>51.734838000000003</c:v>
                </c:pt>
                <c:pt idx="8">
                  <c:v>67.636289999999988</c:v>
                </c:pt>
                <c:pt idx="9">
                  <c:v>66.398049</c:v>
                </c:pt>
                <c:pt idx="10">
                  <c:v>24.921495</c:v>
                </c:pt>
                <c:pt idx="11">
                  <c:v>61.151569000000002</c:v>
                </c:pt>
                <c:pt idx="12">
                  <c:v>75.262876000000006</c:v>
                </c:pt>
                <c:pt idx="13">
                  <c:v>18.20748</c:v>
                </c:pt>
                <c:pt idx="14">
                  <c:v>19.085939</c:v>
                </c:pt>
                <c:pt idx="15">
                  <c:v>10.901577</c:v>
                </c:pt>
                <c:pt idx="16">
                  <c:v>23.206485000000001</c:v>
                </c:pt>
                <c:pt idx="17">
                  <c:v>38.313834999999997</c:v>
                </c:pt>
                <c:pt idx="18">
                  <c:v>45.825392999999998</c:v>
                </c:pt>
                <c:pt idx="19">
                  <c:v>43.448278000000002</c:v>
                </c:pt>
                <c:pt idx="20">
                  <c:v>31.658595999999999</c:v>
                </c:pt>
                <c:pt idx="21">
                  <c:v>36.070926</c:v>
                </c:pt>
                <c:pt idx="22">
                  <c:v>27.752193999999999</c:v>
                </c:pt>
                <c:pt idx="23">
                  <c:v>21.947319</c:v>
                </c:pt>
                <c:pt idx="24">
                  <c:v>26.550758000000002</c:v>
                </c:pt>
                <c:pt idx="25">
                  <c:v>42.189472000000002</c:v>
                </c:pt>
                <c:pt idx="26">
                  <c:v>68.668347999999995</c:v>
                </c:pt>
                <c:pt idx="27">
                  <c:v>55.508578</c:v>
                </c:pt>
                <c:pt idx="28">
                  <c:v>40.792732000000001</c:v>
                </c:pt>
                <c:pt idx="29">
                  <c:v>53.814214</c:v>
                </c:pt>
                <c:pt idx="30">
                  <c:v>68.404088000000002</c:v>
                </c:pt>
                <c:pt idx="31">
                  <c:v>87.895004</c:v>
                </c:pt>
                <c:pt idx="32">
                  <c:v>104.82602</c:v>
                </c:pt>
                <c:pt idx="33">
                  <c:v>99.979323000000008</c:v>
                </c:pt>
                <c:pt idx="34">
                  <c:v>55.087336000000001</c:v>
                </c:pt>
                <c:pt idx="35">
                  <c:v>39.091197000000001</c:v>
                </c:pt>
                <c:pt idx="36">
                  <c:v>93.150326000000007</c:v>
                </c:pt>
                <c:pt idx="37">
                  <c:v>105.14336499999999</c:v>
                </c:pt>
                <c:pt idx="38">
                  <c:v>77.472667000000001</c:v>
                </c:pt>
                <c:pt idx="39">
                  <c:v>80.196585999999996</c:v>
                </c:pt>
                <c:pt idx="40">
                  <c:v>97.129922000000008</c:v>
                </c:pt>
                <c:pt idx="41">
                  <c:v>69.466175000000007</c:v>
                </c:pt>
                <c:pt idx="42">
                  <c:v>51.714264999999997</c:v>
                </c:pt>
                <c:pt idx="43">
                  <c:v>75.035882000000001</c:v>
                </c:pt>
                <c:pt idx="44">
                  <c:v>95.315332999999995</c:v>
                </c:pt>
                <c:pt idx="45">
                  <c:v>103.832346</c:v>
                </c:pt>
                <c:pt idx="46">
                  <c:v>110.89655999999999</c:v>
                </c:pt>
                <c:pt idx="47">
                  <c:v>101.88423</c:v>
                </c:pt>
                <c:pt idx="48">
                  <c:v>106.44025000000001</c:v>
                </c:pt>
                <c:pt idx="49">
                  <c:v>69.877051999999992</c:v>
                </c:pt>
                <c:pt idx="50">
                  <c:v>49.988691999999993</c:v>
                </c:pt>
                <c:pt idx="51">
                  <c:v>98.236498000000012</c:v>
                </c:pt>
                <c:pt idx="52">
                  <c:v>37.812838999999997</c:v>
                </c:pt>
                <c:pt idx="53">
                  <c:v>70.766553999999999</c:v>
                </c:pt>
                <c:pt idx="54">
                  <c:v>105.22932</c:v>
                </c:pt>
                <c:pt idx="55">
                  <c:v>115.178146</c:v>
                </c:pt>
                <c:pt idx="56">
                  <c:v>84.243058999999988</c:v>
                </c:pt>
                <c:pt idx="57">
                  <c:v>66.081136999999998</c:v>
                </c:pt>
                <c:pt idx="58">
                  <c:v>67.240855999999994</c:v>
                </c:pt>
                <c:pt idx="59">
                  <c:v>112.928438</c:v>
                </c:pt>
                <c:pt idx="60">
                  <c:v>103.47963300000001</c:v>
                </c:pt>
                <c:pt idx="61">
                  <c:v>111.138558</c:v>
                </c:pt>
                <c:pt idx="62">
                  <c:v>85.090758000000008</c:v>
                </c:pt>
                <c:pt idx="63">
                  <c:v>66.185267999999994</c:v>
                </c:pt>
                <c:pt idx="64">
                  <c:v>72.241969999999995</c:v>
                </c:pt>
                <c:pt idx="65">
                  <c:v>111.378096</c:v>
                </c:pt>
                <c:pt idx="66">
                  <c:v>121.32761000000001</c:v>
                </c:pt>
                <c:pt idx="67">
                  <c:v>120.202611</c:v>
                </c:pt>
                <c:pt idx="68">
                  <c:v>117.552834</c:v>
                </c:pt>
                <c:pt idx="69">
                  <c:v>119.16309800000001</c:v>
                </c:pt>
                <c:pt idx="70">
                  <c:v>119.58870300000001</c:v>
                </c:pt>
                <c:pt idx="71">
                  <c:v>112.651034</c:v>
                </c:pt>
                <c:pt idx="72">
                  <c:v>100.531626</c:v>
                </c:pt>
                <c:pt idx="73">
                  <c:v>114.21579700000001</c:v>
                </c:pt>
                <c:pt idx="74">
                  <c:v>97.462623999999991</c:v>
                </c:pt>
                <c:pt idx="75">
                  <c:v>96.442486000000002</c:v>
                </c:pt>
                <c:pt idx="76">
                  <c:v>116.139053</c:v>
                </c:pt>
                <c:pt idx="77">
                  <c:v>117.95047199999999</c:v>
                </c:pt>
                <c:pt idx="78">
                  <c:v>108.768536</c:v>
                </c:pt>
                <c:pt idx="79">
                  <c:v>107.064959</c:v>
                </c:pt>
                <c:pt idx="80">
                  <c:v>92.292722999999995</c:v>
                </c:pt>
                <c:pt idx="81">
                  <c:v>82.564250999999999</c:v>
                </c:pt>
                <c:pt idx="82">
                  <c:v>80.571767000000008</c:v>
                </c:pt>
                <c:pt idx="83">
                  <c:v>113.180476</c:v>
                </c:pt>
                <c:pt idx="84">
                  <c:v>95.798518999999999</c:v>
                </c:pt>
                <c:pt idx="85">
                  <c:v>115.30036800000001</c:v>
                </c:pt>
                <c:pt idx="86">
                  <c:v>126.23812800000002</c:v>
                </c:pt>
                <c:pt idx="87">
                  <c:v>124.336591</c:v>
                </c:pt>
                <c:pt idx="88">
                  <c:v>120.71422</c:v>
                </c:pt>
                <c:pt idx="89">
                  <c:v>112.37822199999999</c:v>
                </c:pt>
                <c:pt idx="90">
                  <c:v>94.097832999999994</c:v>
                </c:pt>
                <c:pt idx="91">
                  <c:v>120.835729</c:v>
                </c:pt>
                <c:pt idx="92">
                  <c:v>104.083229</c:v>
                </c:pt>
                <c:pt idx="93">
                  <c:v>96.941939000000005</c:v>
                </c:pt>
                <c:pt idx="94">
                  <c:v>106.861419</c:v>
                </c:pt>
                <c:pt idx="95">
                  <c:v>107.799632</c:v>
                </c:pt>
                <c:pt idx="96">
                  <c:v>122.337391</c:v>
                </c:pt>
                <c:pt idx="97">
                  <c:v>111.287632</c:v>
                </c:pt>
                <c:pt idx="98">
                  <c:v>119.504161</c:v>
                </c:pt>
                <c:pt idx="99">
                  <c:v>96.868734000000003</c:v>
                </c:pt>
                <c:pt idx="100">
                  <c:v>121.76086599999999</c:v>
                </c:pt>
                <c:pt idx="101">
                  <c:v>104.01856600000001</c:v>
                </c:pt>
                <c:pt idx="102">
                  <c:v>108.42855800000001</c:v>
                </c:pt>
                <c:pt idx="103">
                  <c:v>103.64943799999999</c:v>
                </c:pt>
                <c:pt idx="104">
                  <c:v>94.731854000000013</c:v>
                </c:pt>
                <c:pt idx="105">
                  <c:v>98.790509</c:v>
                </c:pt>
                <c:pt idx="106">
                  <c:v>84.602587999999997</c:v>
                </c:pt>
                <c:pt idx="107">
                  <c:v>88.870991000000004</c:v>
                </c:pt>
                <c:pt idx="108">
                  <c:v>96.983722</c:v>
                </c:pt>
                <c:pt idx="109">
                  <c:v>105.176568</c:v>
                </c:pt>
                <c:pt idx="110">
                  <c:v>103.564939</c:v>
                </c:pt>
                <c:pt idx="111">
                  <c:v>98.235765999999998</c:v>
                </c:pt>
                <c:pt idx="112">
                  <c:v>90.255692999999994</c:v>
                </c:pt>
                <c:pt idx="113">
                  <c:v>91.027507</c:v>
                </c:pt>
                <c:pt idx="114">
                  <c:v>92.468627999999995</c:v>
                </c:pt>
                <c:pt idx="115">
                  <c:v>120.737334</c:v>
                </c:pt>
                <c:pt idx="116">
                  <c:v>112.647632</c:v>
                </c:pt>
                <c:pt idx="117">
                  <c:v>119.115561</c:v>
                </c:pt>
                <c:pt idx="118">
                  <c:v>110.757907</c:v>
                </c:pt>
                <c:pt idx="119">
                  <c:v>119.171032</c:v>
                </c:pt>
                <c:pt idx="120">
                  <c:v>122.26088100000001</c:v>
                </c:pt>
                <c:pt idx="121">
                  <c:v>115.170466</c:v>
                </c:pt>
                <c:pt idx="122">
                  <c:v>116.58381299999999</c:v>
                </c:pt>
                <c:pt idx="123">
                  <c:v>110.452427</c:v>
                </c:pt>
                <c:pt idx="124">
                  <c:v>98.633498000000003</c:v>
                </c:pt>
                <c:pt idx="125">
                  <c:v>116.44512</c:v>
                </c:pt>
                <c:pt idx="126">
                  <c:v>103.126893</c:v>
                </c:pt>
                <c:pt idx="127">
                  <c:v>99.138910999999993</c:v>
                </c:pt>
                <c:pt idx="128">
                  <c:v>115.21581500000001</c:v>
                </c:pt>
                <c:pt idx="129">
                  <c:v>115.75514</c:v>
                </c:pt>
                <c:pt idx="130">
                  <c:v>118.009929</c:v>
                </c:pt>
                <c:pt idx="131">
                  <c:v>110.51159699999999</c:v>
                </c:pt>
                <c:pt idx="132">
                  <c:v>106.59627</c:v>
                </c:pt>
                <c:pt idx="133">
                  <c:v>95.874361000000007</c:v>
                </c:pt>
                <c:pt idx="134">
                  <c:v>103.022245</c:v>
                </c:pt>
                <c:pt idx="135">
                  <c:v>97.873906000000005</c:v>
                </c:pt>
                <c:pt idx="136">
                  <c:v>97.851228000000006</c:v>
                </c:pt>
                <c:pt idx="137">
                  <c:v>105.386781</c:v>
                </c:pt>
                <c:pt idx="138">
                  <c:v>98.98554399999999</c:v>
                </c:pt>
                <c:pt idx="139">
                  <c:v>105.91879999999999</c:v>
                </c:pt>
                <c:pt idx="140">
                  <c:v>114.513373</c:v>
                </c:pt>
                <c:pt idx="141">
                  <c:v>116.04289600000001</c:v>
                </c:pt>
                <c:pt idx="142">
                  <c:v>113.04319599999999</c:v>
                </c:pt>
                <c:pt idx="143">
                  <c:v>108.79373199999999</c:v>
                </c:pt>
                <c:pt idx="144">
                  <c:v>111.474874</c:v>
                </c:pt>
                <c:pt idx="145">
                  <c:v>106.53438800000001</c:v>
                </c:pt>
                <c:pt idx="146">
                  <c:v>106.168576</c:v>
                </c:pt>
                <c:pt idx="147">
                  <c:v>111.07996399999999</c:v>
                </c:pt>
                <c:pt idx="148">
                  <c:v>111.32187399999999</c:v>
                </c:pt>
                <c:pt idx="149">
                  <c:v>110.28612700000001</c:v>
                </c:pt>
                <c:pt idx="150">
                  <c:v>106.11463900000001</c:v>
                </c:pt>
                <c:pt idx="151">
                  <c:v>98.030478000000002</c:v>
                </c:pt>
                <c:pt idx="152">
                  <c:v>107.301874</c:v>
                </c:pt>
                <c:pt idx="153">
                  <c:v>104.883492</c:v>
                </c:pt>
                <c:pt idx="154">
                  <c:v>103.92816499999999</c:v>
                </c:pt>
                <c:pt idx="155">
                  <c:v>105.714797</c:v>
                </c:pt>
                <c:pt idx="156">
                  <c:v>107.61541099999999</c:v>
                </c:pt>
                <c:pt idx="157">
                  <c:v>113.442243</c:v>
                </c:pt>
                <c:pt idx="158">
                  <c:v>111.025901</c:v>
                </c:pt>
                <c:pt idx="159">
                  <c:v>108.75178100000001</c:v>
                </c:pt>
                <c:pt idx="160">
                  <c:v>106.94131</c:v>
                </c:pt>
                <c:pt idx="161">
                  <c:v>100.025716</c:v>
                </c:pt>
                <c:pt idx="162">
                  <c:v>98.243588000000003</c:v>
                </c:pt>
                <c:pt idx="163">
                  <c:v>104.675783</c:v>
                </c:pt>
                <c:pt idx="164">
                  <c:v>95.983908999999997</c:v>
                </c:pt>
                <c:pt idx="165">
                  <c:v>50.748120999999998</c:v>
                </c:pt>
                <c:pt idx="166">
                  <c:v>108.196793</c:v>
                </c:pt>
                <c:pt idx="167">
                  <c:v>114.16419500000001</c:v>
                </c:pt>
                <c:pt idx="168">
                  <c:v>105.23657</c:v>
                </c:pt>
                <c:pt idx="169">
                  <c:v>109.50990700000001</c:v>
                </c:pt>
                <c:pt idx="170">
                  <c:v>112.26128</c:v>
                </c:pt>
                <c:pt idx="171">
                  <c:v>114.770071</c:v>
                </c:pt>
                <c:pt idx="172">
                  <c:v>111.32323</c:v>
                </c:pt>
                <c:pt idx="173">
                  <c:v>112.944857</c:v>
                </c:pt>
                <c:pt idx="174">
                  <c:v>112.02901800000001</c:v>
                </c:pt>
                <c:pt idx="175">
                  <c:v>103.475763</c:v>
                </c:pt>
                <c:pt idx="176">
                  <c:v>95.388464000000013</c:v>
                </c:pt>
                <c:pt idx="177">
                  <c:v>100.801827</c:v>
                </c:pt>
                <c:pt idx="178">
                  <c:v>100.194118</c:v>
                </c:pt>
                <c:pt idx="179">
                  <c:v>103.183612</c:v>
                </c:pt>
                <c:pt idx="180">
                  <c:v>99.031807000000001</c:v>
                </c:pt>
                <c:pt idx="181">
                  <c:v>79.453776999999988</c:v>
                </c:pt>
                <c:pt idx="182">
                  <c:v>86.174580000000006</c:v>
                </c:pt>
                <c:pt idx="183">
                  <c:v>100.05690300000001</c:v>
                </c:pt>
                <c:pt idx="184">
                  <c:v>90.975528999999995</c:v>
                </c:pt>
                <c:pt idx="185">
                  <c:v>95.764218</c:v>
                </c:pt>
                <c:pt idx="186">
                  <c:v>103.73116400000001</c:v>
                </c:pt>
                <c:pt idx="187">
                  <c:v>111.029898</c:v>
                </c:pt>
                <c:pt idx="188">
                  <c:v>108.017042</c:v>
                </c:pt>
                <c:pt idx="189">
                  <c:v>103.323973</c:v>
                </c:pt>
                <c:pt idx="190">
                  <c:v>89.186820000000012</c:v>
                </c:pt>
                <c:pt idx="191">
                  <c:v>90.566204999999997</c:v>
                </c:pt>
                <c:pt idx="192">
                  <c:v>99.45468799999999</c:v>
                </c:pt>
                <c:pt idx="193">
                  <c:v>104.498205</c:v>
                </c:pt>
                <c:pt idx="194">
                  <c:v>97.449359000000001</c:v>
                </c:pt>
                <c:pt idx="195">
                  <c:v>44.881042000000001</c:v>
                </c:pt>
                <c:pt idx="196">
                  <c:v>43.219239000000002</c:v>
                </c:pt>
                <c:pt idx="197">
                  <c:v>64.212167999999991</c:v>
                </c:pt>
                <c:pt idx="198">
                  <c:v>75.54827499999999</c:v>
                </c:pt>
                <c:pt idx="199">
                  <c:v>98.857866000000016</c:v>
                </c:pt>
                <c:pt idx="200">
                  <c:v>97.618347999999997</c:v>
                </c:pt>
                <c:pt idx="201">
                  <c:v>84.792062999999999</c:v>
                </c:pt>
                <c:pt idx="202">
                  <c:v>85.655837000000005</c:v>
                </c:pt>
                <c:pt idx="203">
                  <c:v>94.4238</c:v>
                </c:pt>
                <c:pt idx="204">
                  <c:v>73.583860999999999</c:v>
                </c:pt>
                <c:pt idx="205">
                  <c:v>94.146371000000002</c:v>
                </c:pt>
                <c:pt idx="206">
                  <c:v>89.998292000000006</c:v>
                </c:pt>
                <c:pt idx="207">
                  <c:v>84.75018399999999</c:v>
                </c:pt>
                <c:pt idx="208">
                  <c:v>77.135643000000002</c:v>
                </c:pt>
                <c:pt idx="209">
                  <c:v>88.685634999999991</c:v>
                </c:pt>
                <c:pt idx="210">
                  <c:v>99.836092999999991</c:v>
                </c:pt>
                <c:pt idx="211">
                  <c:v>94.513408999999996</c:v>
                </c:pt>
                <c:pt idx="212">
                  <c:v>60.079542000000004</c:v>
                </c:pt>
                <c:pt idx="213">
                  <c:v>101.46353300000001</c:v>
                </c:pt>
                <c:pt idx="214">
                  <c:v>102.002253</c:v>
                </c:pt>
                <c:pt idx="215">
                  <c:v>95.179627999999994</c:v>
                </c:pt>
                <c:pt idx="216">
                  <c:v>72.560278000000011</c:v>
                </c:pt>
                <c:pt idx="217">
                  <c:v>84.722206</c:v>
                </c:pt>
                <c:pt idx="218">
                  <c:v>82.966399999999993</c:v>
                </c:pt>
                <c:pt idx="219">
                  <c:v>79.116305999999994</c:v>
                </c:pt>
                <c:pt idx="220">
                  <c:v>81.048804000000004</c:v>
                </c:pt>
                <c:pt idx="221">
                  <c:v>85.245213000000007</c:v>
                </c:pt>
                <c:pt idx="222">
                  <c:v>77.987379000000004</c:v>
                </c:pt>
                <c:pt idx="223">
                  <c:v>50.409033999999998</c:v>
                </c:pt>
                <c:pt idx="224">
                  <c:v>58.465622000000003</c:v>
                </c:pt>
                <c:pt idx="225">
                  <c:v>83.235032000000004</c:v>
                </c:pt>
                <c:pt idx="226">
                  <c:v>87.707205000000002</c:v>
                </c:pt>
                <c:pt idx="227">
                  <c:v>91.32136100000001</c:v>
                </c:pt>
                <c:pt idx="228">
                  <c:v>89.414111999999989</c:v>
                </c:pt>
                <c:pt idx="229">
                  <c:v>55.389625000000002</c:v>
                </c:pt>
                <c:pt idx="230">
                  <c:v>72.229038000000003</c:v>
                </c:pt>
                <c:pt idx="231">
                  <c:v>68.891384000000002</c:v>
                </c:pt>
                <c:pt idx="232">
                  <c:v>32.231015999999997</c:v>
                </c:pt>
                <c:pt idx="233">
                  <c:v>17.944908999999999</c:v>
                </c:pt>
                <c:pt idx="234">
                  <c:v>28.016767999999999</c:v>
                </c:pt>
                <c:pt idx="235">
                  <c:v>52.259012000000006</c:v>
                </c:pt>
                <c:pt idx="236">
                  <c:v>40.707363999999998</c:v>
                </c:pt>
                <c:pt idx="237">
                  <c:v>49.593767999999997</c:v>
                </c:pt>
                <c:pt idx="238">
                  <c:v>45.384362000000003</c:v>
                </c:pt>
                <c:pt idx="239">
                  <c:v>43.150815999999999</c:v>
                </c:pt>
                <c:pt idx="240">
                  <c:v>58.521273999999998</c:v>
                </c:pt>
                <c:pt idx="241">
                  <c:v>56.667131999999995</c:v>
                </c:pt>
                <c:pt idx="242">
                  <c:v>62.325137000000005</c:v>
                </c:pt>
                <c:pt idx="243">
                  <c:v>48.903733000000003</c:v>
                </c:pt>
                <c:pt idx="244">
                  <c:v>23.888902999999999</c:v>
                </c:pt>
                <c:pt idx="245">
                  <c:v>65.973414999999989</c:v>
                </c:pt>
                <c:pt idx="246">
                  <c:v>66.712455000000006</c:v>
                </c:pt>
                <c:pt idx="247">
                  <c:v>32.841544999999996</c:v>
                </c:pt>
                <c:pt idx="248">
                  <c:v>63.790446000000003</c:v>
                </c:pt>
                <c:pt idx="249">
                  <c:v>83.030772999999996</c:v>
                </c:pt>
                <c:pt idx="250">
                  <c:v>78.164403000000007</c:v>
                </c:pt>
                <c:pt idx="251">
                  <c:v>69.787165999999999</c:v>
                </c:pt>
                <c:pt idx="252">
                  <c:v>43.503295000000001</c:v>
                </c:pt>
                <c:pt idx="253">
                  <c:v>41.389898000000002</c:v>
                </c:pt>
                <c:pt idx="254">
                  <c:v>71.225363000000002</c:v>
                </c:pt>
                <c:pt idx="255">
                  <c:v>53.491374999999998</c:v>
                </c:pt>
                <c:pt idx="256">
                  <c:v>52.760112999999997</c:v>
                </c:pt>
                <c:pt idx="257">
                  <c:v>66.839287999999996</c:v>
                </c:pt>
                <c:pt idx="258">
                  <c:v>37.535010999999997</c:v>
                </c:pt>
                <c:pt idx="259">
                  <c:v>27.310642999999999</c:v>
                </c:pt>
                <c:pt idx="260">
                  <c:v>17.075662000000001</c:v>
                </c:pt>
                <c:pt idx="261">
                  <c:v>33.559718999999994</c:v>
                </c:pt>
                <c:pt idx="262">
                  <c:v>37.354078000000001</c:v>
                </c:pt>
                <c:pt idx="263">
                  <c:v>55.645926999999993</c:v>
                </c:pt>
                <c:pt idx="264">
                  <c:v>47.439793999999999</c:v>
                </c:pt>
                <c:pt idx="265">
                  <c:v>19.948184999999999</c:v>
                </c:pt>
                <c:pt idx="266">
                  <c:v>22.616401999999997</c:v>
                </c:pt>
                <c:pt idx="267">
                  <c:v>29.251636999999999</c:v>
                </c:pt>
                <c:pt idx="268">
                  <c:v>29.942883000000002</c:v>
                </c:pt>
                <c:pt idx="269">
                  <c:v>56.534925000000001</c:v>
                </c:pt>
                <c:pt idx="270">
                  <c:v>67.33386999999999</c:v>
                </c:pt>
                <c:pt idx="271">
                  <c:v>58.553756999999997</c:v>
                </c:pt>
                <c:pt idx="272">
                  <c:v>64.551169999999999</c:v>
                </c:pt>
                <c:pt idx="273">
                  <c:v>61.353738</c:v>
                </c:pt>
                <c:pt idx="274">
                  <c:v>45.062063999999999</c:v>
                </c:pt>
                <c:pt idx="275">
                  <c:v>46.886746000000002</c:v>
                </c:pt>
                <c:pt idx="276">
                  <c:v>50.67116</c:v>
                </c:pt>
                <c:pt idx="277">
                  <c:v>44.133541999999998</c:v>
                </c:pt>
                <c:pt idx="278">
                  <c:v>37.185421999999996</c:v>
                </c:pt>
                <c:pt idx="279">
                  <c:v>14.289721999999999</c:v>
                </c:pt>
                <c:pt idx="280">
                  <c:v>23.730008000000002</c:v>
                </c:pt>
                <c:pt idx="281">
                  <c:v>28.687491000000001</c:v>
                </c:pt>
                <c:pt idx="282">
                  <c:v>17.119696000000001</c:v>
                </c:pt>
                <c:pt idx="283">
                  <c:v>16.471001000000001</c:v>
                </c:pt>
                <c:pt idx="284">
                  <c:v>34.717674000000009</c:v>
                </c:pt>
                <c:pt idx="285">
                  <c:v>18.780669999999997</c:v>
                </c:pt>
                <c:pt idx="286">
                  <c:v>15.768985000000001</c:v>
                </c:pt>
                <c:pt idx="287">
                  <c:v>10.982524999999999</c:v>
                </c:pt>
                <c:pt idx="288">
                  <c:v>23.570340000000002</c:v>
                </c:pt>
                <c:pt idx="289">
                  <c:v>31.111670999999998</c:v>
                </c:pt>
                <c:pt idx="290">
                  <c:v>29.784642999999999</c:v>
                </c:pt>
                <c:pt idx="291">
                  <c:v>37.532074999999999</c:v>
                </c:pt>
                <c:pt idx="292">
                  <c:v>53.596322000000001</c:v>
                </c:pt>
                <c:pt idx="293">
                  <c:v>47.079932999999997</c:v>
                </c:pt>
                <c:pt idx="294">
                  <c:v>25.723277</c:v>
                </c:pt>
                <c:pt idx="295">
                  <c:v>31.128603999999999</c:v>
                </c:pt>
                <c:pt idx="296">
                  <c:v>32.173569999999998</c:v>
                </c:pt>
                <c:pt idx="297">
                  <c:v>41.164495000000002</c:v>
                </c:pt>
                <c:pt idx="298">
                  <c:v>47.874561999999997</c:v>
                </c:pt>
                <c:pt idx="299">
                  <c:v>42.630766000000001</c:v>
                </c:pt>
                <c:pt idx="300">
                  <c:v>56.757370000000002</c:v>
                </c:pt>
                <c:pt idx="301">
                  <c:v>61.114052000000001</c:v>
                </c:pt>
                <c:pt idx="302">
                  <c:v>56.928246000000001</c:v>
                </c:pt>
                <c:pt idx="303">
                  <c:v>32.912245999999996</c:v>
                </c:pt>
                <c:pt idx="304">
                  <c:v>36.463912999999998</c:v>
                </c:pt>
                <c:pt idx="305">
                  <c:v>50.449203000000004</c:v>
                </c:pt>
                <c:pt idx="306">
                  <c:v>33.473076999999996</c:v>
                </c:pt>
                <c:pt idx="307">
                  <c:v>30.679369999999999</c:v>
                </c:pt>
                <c:pt idx="308">
                  <c:v>52.748882999999999</c:v>
                </c:pt>
                <c:pt idx="309">
                  <c:v>56.922052999999998</c:v>
                </c:pt>
                <c:pt idx="310">
                  <c:v>56.962680999999996</c:v>
                </c:pt>
                <c:pt idx="311">
                  <c:v>53.861737999999995</c:v>
                </c:pt>
                <c:pt idx="312">
                  <c:v>34.926500999999995</c:v>
                </c:pt>
                <c:pt idx="313">
                  <c:v>16.516825000000001</c:v>
                </c:pt>
                <c:pt idx="314">
                  <c:v>48.540538999999995</c:v>
                </c:pt>
                <c:pt idx="315">
                  <c:v>45.012703999999999</c:v>
                </c:pt>
                <c:pt idx="316">
                  <c:v>35.881593000000002</c:v>
                </c:pt>
                <c:pt idx="317">
                  <c:v>59.340322999999998</c:v>
                </c:pt>
                <c:pt idx="318">
                  <c:v>54.161625999999998</c:v>
                </c:pt>
                <c:pt idx="319">
                  <c:v>56.192132999999998</c:v>
                </c:pt>
                <c:pt idx="320">
                  <c:v>40.939911000000002</c:v>
                </c:pt>
                <c:pt idx="321">
                  <c:v>29.573712</c:v>
                </c:pt>
                <c:pt idx="322">
                  <c:v>36.903005999999991</c:v>
                </c:pt>
                <c:pt idx="323">
                  <c:v>55.997805</c:v>
                </c:pt>
                <c:pt idx="324">
                  <c:v>59.907061999999996</c:v>
                </c:pt>
                <c:pt idx="325">
                  <c:v>53.090128000000007</c:v>
                </c:pt>
                <c:pt idx="326">
                  <c:v>58.987027999999995</c:v>
                </c:pt>
                <c:pt idx="327">
                  <c:v>73.917321000000001</c:v>
                </c:pt>
                <c:pt idx="328">
                  <c:v>72.698616000000001</c:v>
                </c:pt>
                <c:pt idx="329">
                  <c:v>60.787726999999997</c:v>
                </c:pt>
                <c:pt idx="330">
                  <c:v>73.094904</c:v>
                </c:pt>
                <c:pt idx="331">
                  <c:v>53.021622000000001</c:v>
                </c:pt>
                <c:pt idx="332">
                  <c:v>75.791345000000007</c:v>
                </c:pt>
                <c:pt idx="333">
                  <c:v>82.199021999999999</c:v>
                </c:pt>
                <c:pt idx="334">
                  <c:v>79.251259000000005</c:v>
                </c:pt>
                <c:pt idx="335">
                  <c:v>79.953611000000009</c:v>
                </c:pt>
                <c:pt idx="336">
                  <c:v>82.789330000000007</c:v>
                </c:pt>
                <c:pt idx="337">
                  <c:v>81.991658999999999</c:v>
                </c:pt>
                <c:pt idx="338">
                  <c:v>86.131803000000005</c:v>
                </c:pt>
                <c:pt idx="339">
                  <c:v>89.821308000000002</c:v>
                </c:pt>
                <c:pt idx="340">
                  <c:v>92.349772999999999</c:v>
                </c:pt>
                <c:pt idx="341">
                  <c:v>87.295928000000004</c:v>
                </c:pt>
                <c:pt idx="342">
                  <c:v>77.827664999999996</c:v>
                </c:pt>
                <c:pt idx="343">
                  <c:v>42.269485000000003</c:v>
                </c:pt>
                <c:pt idx="344">
                  <c:v>40.880480000000006</c:v>
                </c:pt>
                <c:pt idx="345">
                  <c:v>71.397311999999999</c:v>
                </c:pt>
                <c:pt idx="346">
                  <c:v>73.991411999999997</c:v>
                </c:pt>
                <c:pt idx="347">
                  <c:v>73.875215999999995</c:v>
                </c:pt>
                <c:pt idx="348">
                  <c:v>67.877244000000005</c:v>
                </c:pt>
                <c:pt idx="349">
                  <c:v>78.837722999999997</c:v>
                </c:pt>
                <c:pt idx="350">
                  <c:v>58.580880999999998</c:v>
                </c:pt>
                <c:pt idx="351">
                  <c:v>71.233261999999996</c:v>
                </c:pt>
                <c:pt idx="352">
                  <c:v>87.471001000000001</c:v>
                </c:pt>
                <c:pt idx="353">
                  <c:v>74.355675000000005</c:v>
                </c:pt>
                <c:pt idx="354">
                  <c:v>65.193995999999999</c:v>
                </c:pt>
                <c:pt idx="355">
                  <c:v>65.838386</c:v>
                </c:pt>
                <c:pt idx="356">
                  <c:v>62.712156</c:v>
                </c:pt>
                <c:pt idx="357">
                  <c:v>68.458113999999995</c:v>
                </c:pt>
                <c:pt idx="358">
                  <c:v>79.482206000000005</c:v>
                </c:pt>
                <c:pt idx="359">
                  <c:v>69.471451999999999</c:v>
                </c:pt>
                <c:pt idx="360">
                  <c:v>91.260942</c:v>
                </c:pt>
                <c:pt idx="361">
                  <c:v>68.566562999999988</c:v>
                </c:pt>
                <c:pt idx="362">
                  <c:v>77.522385999999997</c:v>
                </c:pt>
                <c:pt idx="363">
                  <c:v>98.971661000000012</c:v>
                </c:pt>
                <c:pt idx="364">
                  <c:v>105.192836</c:v>
                </c:pt>
                <c:pt idx="365">
                  <c:v>103.75190499999999</c:v>
                </c:pt>
                <c:pt idx="366">
                  <c:v>107.401613</c:v>
                </c:pt>
                <c:pt idx="367">
                  <c:v>111.377053</c:v>
                </c:pt>
                <c:pt idx="368">
                  <c:v>105.17206200000001</c:v>
                </c:pt>
                <c:pt idx="369">
                  <c:v>48.205492</c:v>
                </c:pt>
                <c:pt idx="370">
                  <c:v>50.202725000000001</c:v>
                </c:pt>
                <c:pt idx="371">
                  <c:v>68.237877999999995</c:v>
                </c:pt>
                <c:pt idx="372">
                  <c:v>57.461326</c:v>
                </c:pt>
                <c:pt idx="373">
                  <c:v>52.935957000000002</c:v>
                </c:pt>
                <c:pt idx="374">
                  <c:v>93.369154000000009</c:v>
                </c:pt>
                <c:pt idx="375">
                  <c:v>76.153103000000002</c:v>
                </c:pt>
                <c:pt idx="376">
                  <c:v>105.938069</c:v>
                </c:pt>
                <c:pt idx="377">
                  <c:v>92.950095000000005</c:v>
                </c:pt>
                <c:pt idx="378">
                  <c:v>113.28592999999999</c:v>
                </c:pt>
                <c:pt idx="379">
                  <c:v>123.55278600000001</c:v>
                </c:pt>
                <c:pt idx="380">
                  <c:v>108.713094</c:v>
                </c:pt>
                <c:pt idx="381">
                  <c:v>84.449888000000001</c:v>
                </c:pt>
                <c:pt idx="382">
                  <c:v>81.073100000000011</c:v>
                </c:pt>
                <c:pt idx="383">
                  <c:v>114.28722200000001</c:v>
                </c:pt>
                <c:pt idx="384">
                  <c:v>122.43408899999999</c:v>
                </c:pt>
                <c:pt idx="385">
                  <c:v>121.16906200000001</c:v>
                </c:pt>
                <c:pt idx="386">
                  <c:v>120.25963800000001</c:v>
                </c:pt>
                <c:pt idx="387">
                  <c:v>112.19162299999999</c:v>
                </c:pt>
                <c:pt idx="388">
                  <c:v>86.766396</c:v>
                </c:pt>
                <c:pt idx="389">
                  <c:v>110.426202</c:v>
                </c:pt>
                <c:pt idx="390">
                  <c:v>95.68594800000001</c:v>
                </c:pt>
                <c:pt idx="391">
                  <c:v>123.89347199999999</c:v>
                </c:pt>
                <c:pt idx="392">
                  <c:v>130.54026500000001</c:v>
                </c:pt>
                <c:pt idx="393">
                  <c:v>115.048315</c:v>
                </c:pt>
                <c:pt idx="394">
                  <c:v>104.59406299999999</c:v>
                </c:pt>
                <c:pt idx="395">
                  <c:v>87.638688999999999</c:v>
                </c:pt>
                <c:pt idx="396">
                  <c:v>94.293553000000003</c:v>
                </c:pt>
                <c:pt idx="397">
                  <c:v>110.53283799999998</c:v>
                </c:pt>
                <c:pt idx="398">
                  <c:v>127.551481</c:v>
                </c:pt>
                <c:pt idx="399">
                  <c:v>117.66016999999999</c:v>
                </c:pt>
                <c:pt idx="400">
                  <c:v>140.45421900000002</c:v>
                </c:pt>
                <c:pt idx="401">
                  <c:v>131.96858600000002</c:v>
                </c:pt>
                <c:pt idx="402">
                  <c:v>126.82693399999999</c:v>
                </c:pt>
                <c:pt idx="403">
                  <c:v>132.18222399999999</c:v>
                </c:pt>
                <c:pt idx="404">
                  <c:v>116.71104700000001</c:v>
                </c:pt>
                <c:pt idx="405">
                  <c:v>114.17147</c:v>
                </c:pt>
                <c:pt idx="406">
                  <c:v>138.33109600000003</c:v>
                </c:pt>
                <c:pt idx="407">
                  <c:v>104.06918</c:v>
                </c:pt>
                <c:pt idx="408">
                  <c:v>121.37198299999999</c:v>
                </c:pt>
                <c:pt idx="409">
                  <c:v>110.630771</c:v>
                </c:pt>
                <c:pt idx="410">
                  <c:v>122.35445199999999</c:v>
                </c:pt>
                <c:pt idx="411">
                  <c:v>119.342474</c:v>
                </c:pt>
                <c:pt idx="412">
                  <c:v>144.188198</c:v>
                </c:pt>
                <c:pt idx="413">
                  <c:v>145.05044599999999</c:v>
                </c:pt>
                <c:pt idx="414">
                  <c:v>136.194278</c:v>
                </c:pt>
                <c:pt idx="415">
                  <c:v>139.79872800000001</c:v>
                </c:pt>
                <c:pt idx="416">
                  <c:v>114.334315</c:v>
                </c:pt>
                <c:pt idx="417">
                  <c:v>107.769004</c:v>
                </c:pt>
                <c:pt idx="418">
                  <c:v>116.34672400000001</c:v>
                </c:pt>
                <c:pt idx="419">
                  <c:v>145.25350899999998</c:v>
                </c:pt>
                <c:pt idx="420">
                  <c:v>143.50723099999999</c:v>
                </c:pt>
                <c:pt idx="421">
                  <c:v>144.78818500000003</c:v>
                </c:pt>
                <c:pt idx="422">
                  <c:v>125.38563799999999</c:v>
                </c:pt>
                <c:pt idx="423">
                  <c:v>109.92610400000001</c:v>
                </c:pt>
                <c:pt idx="424">
                  <c:v>103.34577400000001</c:v>
                </c:pt>
                <c:pt idx="425">
                  <c:v>110.06460700000001</c:v>
                </c:pt>
                <c:pt idx="426">
                  <c:v>127.70328099999999</c:v>
                </c:pt>
                <c:pt idx="427">
                  <c:v>133.54557800000001</c:v>
                </c:pt>
                <c:pt idx="428">
                  <c:v>124.455432</c:v>
                </c:pt>
                <c:pt idx="429">
                  <c:v>140.48423600000001</c:v>
                </c:pt>
                <c:pt idx="430">
                  <c:v>155.09906099999998</c:v>
                </c:pt>
                <c:pt idx="431">
                  <c:v>142.350458</c:v>
                </c:pt>
                <c:pt idx="432">
                  <c:v>142.07624900000002</c:v>
                </c:pt>
                <c:pt idx="433">
                  <c:v>140.72897700000001</c:v>
                </c:pt>
                <c:pt idx="434">
                  <c:v>137.97235899999998</c:v>
                </c:pt>
                <c:pt idx="435">
                  <c:v>154.38725099999999</c:v>
                </c:pt>
                <c:pt idx="436">
                  <c:v>147.037983</c:v>
                </c:pt>
                <c:pt idx="437">
                  <c:v>136.12856500000001</c:v>
                </c:pt>
                <c:pt idx="438">
                  <c:v>134.17357800000002</c:v>
                </c:pt>
                <c:pt idx="439">
                  <c:v>122.26504100000001</c:v>
                </c:pt>
                <c:pt idx="440">
                  <c:v>144.82706199999998</c:v>
                </c:pt>
                <c:pt idx="441">
                  <c:v>150.76968199999999</c:v>
                </c:pt>
                <c:pt idx="442">
                  <c:v>121.58065300000001</c:v>
                </c:pt>
                <c:pt idx="443">
                  <c:v>126.31832799999999</c:v>
                </c:pt>
                <c:pt idx="444">
                  <c:v>127.47469700000001</c:v>
                </c:pt>
                <c:pt idx="445">
                  <c:v>109.751002</c:v>
                </c:pt>
                <c:pt idx="446">
                  <c:v>100.609866</c:v>
                </c:pt>
                <c:pt idx="447">
                  <c:v>76.472811000000007</c:v>
                </c:pt>
                <c:pt idx="448">
                  <c:v>76.783833000000001</c:v>
                </c:pt>
                <c:pt idx="449">
                  <c:v>110.17815299999999</c:v>
                </c:pt>
                <c:pt idx="450">
                  <c:v>123.15555499999999</c:v>
                </c:pt>
                <c:pt idx="451">
                  <c:v>93.167641000000003</c:v>
                </c:pt>
                <c:pt idx="452">
                  <c:v>72.789244999999994</c:v>
                </c:pt>
                <c:pt idx="453">
                  <c:v>85.305626999999987</c:v>
                </c:pt>
                <c:pt idx="454">
                  <c:v>105.54447400000001</c:v>
                </c:pt>
                <c:pt idx="455">
                  <c:v>106.250502</c:v>
                </c:pt>
                <c:pt idx="456">
                  <c:v>129.569952</c:v>
                </c:pt>
                <c:pt idx="457">
                  <c:v>98.401563999999993</c:v>
                </c:pt>
                <c:pt idx="458">
                  <c:v>103.16937</c:v>
                </c:pt>
                <c:pt idx="459">
                  <c:v>120.423085</c:v>
                </c:pt>
                <c:pt idx="460">
                  <c:v>125.16096499999999</c:v>
                </c:pt>
                <c:pt idx="461">
                  <c:v>127.735816</c:v>
                </c:pt>
                <c:pt idx="462">
                  <c:v>141.15463800000001</c:v>
                </c:pt>
                <c:pt idx="463">
                  <c:v>59.535052999999998</c:v>
                </c:pt>
                <c:pt idx="464">
                  <c:v>65.587326000000004</c:v>
                </c:pt>
                <c:pt idx="465">
                  <c:v>119.162999</c:v>
                </c:pt>
                <c:pt idx="466">
                  <c:v>133.34664999999998</c:v>
                </c:pt>
                <c:pt idx="467">
                  <c:v>129.843614</c:v>
                </c:pt>
                <c:pt idx="468">
                  <c:v>123.50556399999999</c:v>
                </c:pt>
                <c:pt idx="469">
                  <c:v>124.59960000000001</c:v>
                </c:pt>
                <c:pt idx="470">
                  <c:v>148.34142600000001</c:v>
                </c:pt>
                <c:pt idx="471">
                  <c:v>158.01229800000002</c:v>
                </c:pt>
                <c:pt idx="472">
                  <c:v>152.66743500000001</c:v>
                </c:pt>
                <c:pt idx="473">
                  <c:v>141.857394</c:v>
                </c:pt>
                <c:pt idx="474">
                  <c:v>113.10303200000001</c:v>
                </c:pt>
                <c:pt idx="475">
                  <c:v>117.32886999999999</c:v>
                </c:pt>
                <c:pt idx="476">
                  <c:v>119.38496000000001</c:v>
                </c:pt>
                <c:pt idx="477">
                  <c:v>99.575516000000007</c:v>
                </c:pt>
                <c:pt idx="478">
                  <c:v>155.76371399999999</c:v>
                </c:pt>
                <c:pt idx="479">
                  <c:v>152.01008199999998</c:v>
                </c:pt>
                <c:pt idx="480">
                  <c:v>148.014927</c:v>
                </c:pt>
                <c:pt idx="481">
                  <c:v>134.86253600000001</c:v>
                </c:pt>
                <c:pt idx="482">
                  <c:v>145.55550099999999</c:v>
                </c:pt>
                <c:pt idx="483">
                  <c:v>137.352531</c:v>
                </c:pt>
                <c:pt idx="484">
                  <c:v>137.04166000000001</c:v>
                </c:pt>
                <c:pt idx="485">
                  <c:v>144.070438</c:v>
                </c:pt>
                <c:pt idx="486">
                  <c:v>154.94057400000003</c:v>
                </c:pt>
                <c:pt idx="487">
                  <c:v>146.47155300000003</c:v>
                </c:pt>
                <c:pt idx="488">
                  <c:v>134.50713500000001</c:v>
                </c:pt>
                <c:pt idx="489">
                  <c:v>140.62016599999998</c:v>
                </c:pt>
                <c:pt idx="490">
                  <c:v>150.66038599999999</c:v>
                </c:pt>
                <c:pt idx="491">
                  <c:v>129.60574699999998</c:v>
                </c:pt>
                <c:pt idx="492">
                  <c:v>131.33787000000001</c:v>
                </c:pt>
                <c:pt idx="493">
                  <c:v>144.35227799999998</c:v>
                </c:pt>
                <c:pt idx="494">
                  <c:v>155.54117000000002</c:v>
                </c:pt>
                <c:pt idx="495">
                  <c:v>154.65964600000001</c:v>
                </c:pt>
                <c:pt idx="496">
                  <c:v>146.97024399999998</c:v>
                </c:pt>
                <c:pt idx="497">
                  <c:v>147.10348400000001</c:v>
                </c:pt>
                <c:pt idx="498">
                  <c:v>142.59994</c:v>
                </c:pt>
                <c:pt idx="499">
                  <c:v>161.04785100000004</c:v>
                </c:pt>
                <c:pt idx="500">
                  <c:v>159.127296</c:v>
                </c:pt>
                <c:pt idx="501">
                  <c:v>151.01801900000001</c:v>
                </c:pt>
                <c:pt idx="502">
                  <c:v>144.6146</c:v>
                </c:pt>
                <c:pt idx="503">
                  <c:v>137.15288200000001</c:v>
                </c:pt>
                <c:pt idx="504">
                  <c:v>131.433616</c:v>
                </c:pt>
                <c:pt idx="505">
                  <c:v>141.119574</c:v>
                </c:pt>
                <c:pt idx="506">
                  <c:v>147.220989</c:v>
                </c:pt>
                <c:pt idx="507">
                  <c:v>151.08956000000001</c:v>
                </c:pt>
                <c:pt idx="508">
                  <c:v>148.44709800000001</c:v>
                </c:pt>
                <c:pt idx="509">
                  <c:v>137.361672</c:v>
                </c:pt>
                <c:pt idx="510">
                  <c:v>149.28779</c:v>
                </c:pt>
                <c:pt idx="511">
                  <c:v>164.24027900000002</c:v>
                </c:pt>
                <c:pt idx="512">
                  <c:v>158.25809600000002</c:v>
                </c:pt>
                <c:pt idx="513">
                  <c:v>148.75172800000001</c:v>
                </c:pt>
                <c:pt idx="514">
                  <c:v>157.75624500000001</c:v>
                </c:pt>
                <c:pt idx="515">
                  <c:v>153.59593799999999</c:v>
                </c:pt>
                <c:pt idx="516">
                  <c:v>146.944534</c:v>
                </c:pt>
                <c:pt idx="517">
                  <c:v>157.70444400000002</c:v>
                </c:pt>
                <c:pt idx="518">
                  <c:v>159.641605</c:v>
                </c:pt>
                <c:pt idx="519">
                  <c:v>160.946381</c:v>
                </c:pt>
                <c:pt idx="520">
                  <c:v>154.615095</c:v>
                </c:pt>
                <c:pt idx="521">
                  <c:v>154.15444399999998</c:v>
                </c:pt>
                <c:pt idx="522">
                  <c:v>153.29989799999998</c:v>
                </c:pt>
                <c:pt idx="523">
                  <c:v>130.916706</c:v>
                </c:pt>
                <c:pt idx="524">
                  <c:v>149.32700299999999</c:v>
                </c:pt>
                <c:pt idx="525">
                  <c:v>138.871801</c:v>
                </c:pt>
                <c:pt idx="526">
                  <c:v>118.807481</c:v>
                </c:pt>
                <c:pt idx="527">
                  <c:v>148.40572</c:v>
                </c:pt>
                <c:pt idx="528">
                  <c:v>155.69850099999999</c:v>
                </c:pt>
                <c:pt idx="529">
                  <c:v>152.719471</c:v>
                </c:pt>
                <c:pt idx="530">
                  <c:v>147.996522</c:v>
                </c:pt>
                <c:pt idx="531">
                  <c:v>152.08022599999998</c:v>
                </c:pt>
                <c:pt idx="532">
                  <c:v>141.41481999999999</c:v>
                </c:pt>
                <c:pt idx="533">
                  <c:v>146.34521100000001</c:v>
                </c:pt>
                <c:pt idx="534">
                  <c:v>153.36753200000001</c:v>
                </c:pt>
                <c:pt idx="535">
                  <c:v>137.79235699999998</c:v>
                </c:pt>
                <c:pt idx="536">
                  <c:v>149.33111600000001</c:v>
                </c:pt>
                <c:pt idx="537">
                  <c:v>146.58249599999999</c:v>
                </c:pt>
                <c:pt idx="538">
                  <c:v>146.10304300000001</c:v>
                </c:pt>
                <c:pt idx="539">
                  <c:v>144.10764200000003</c:v>
                </c:pt>
                <c:pt idx="540">
                  <c:v>143.66591500000001</c:v>
                </c:pt>
                <c:pt idx="541">
                  <c:v>143.52281400000001</c:v>
                </c:pt>
                <c:pt idx="542">
                  <c:v>131.73344500000002</c:v>
                </c:pt>
                <c:pt idx="543">
                  <c:v>85.459106000000006</c:v>
                </c:pt>
                <c:pt idx="544">
                  <c:v>110.997637</c:v>
                </c:pt>
                <c:pt idx="545">
                  <c:v>141.29713000000001</c:v>
                </c:pt>
                <c:pt idx="546">
                  <c:v>139.64534900000001</c:v>
                </c:pt>
                <c:pt idx="547">
                  <c:v>135.33954900000001</c:v>
                </c:pt>
                <c:pt idx="548">
                  <c:v>145.87965899999998</c:v>
                </c:pt>
                <c:pt idx="549">
                  <c:v>130.54316800000001</c:v>
                </c:pt>
                <c:pt idx="550">
                  <c:v>69.105034000000003</c:v>
                </c:pt>
                <c:pt idx="551">
                  <c:v>38.813513</c:v>
                </c:pt>
                <c:pt idx="552">
                  <c:v>104.362629</c:v>
                </c:pt>
                <c:pt idx="553">
                  <c:v>119.65685000000001</c:v>
                </c:pt>
                <c:pt idx="554">
                  <c:v>121.33107200000001</c:v>
                </c:pt>
                <c:pt idx="555">
                  <c:v>105.225438</c:v>
                </c:pt>
                <c:pt idx="556">
                  <c:v>124.13243799999999</c:v>
                </c:pt>
                <c:pt idx="557">
                  <c:v>107.31618699999999</c:v>
                </c:pt>
                <c:pt idx="558">
                  <c:v>122.46715500000001</c:v>
                </c:pt>
                <c:pt idx="559">
                  <c:v>116.246014</c:v>
                </c:pt>
                <c:pt idx="560">
                  <c:v>115.80509699999999</c:v>
                </c:pt>
                <c:pt idx="561">
                  <c:v>125.21198299999999</c:v>
                </c:pt>
                <c:pt idx="562">
                  <c:v>113.033214</c:v>
                </c:pt>
                <c:pt idx="563">
                  <c:v>82.169178000000002</c:v>
                </c:pt>
                <c:pt idx="564">
                  <c:v>71.069744999999998</c:v>
                </c:pt>
                <c:pt idx="565">
                  <c:v>80.584566000000009</c:v>
                </c:pt>
                <c:pt idx="566">
                  <c:v>94.975397000000001</c:v>
                </c:pt>
                <c:pt idx="567">
                  <c:v>113.43906700000001</c:v>
                </c:pt>
                <c:pt idx="568">
                  <c:v>134.27815699999999</c:v>
                </c:pt>
                <c:pt idx="569">
                  <c:v>77.363046999999995</c:v>
                </c:pt>
                <c:pt idx="570">
                  <c:v>131.40779599999999</c:v>
                </c:pt>
                <c:pt idx="571">
                  <c:v>135.50163000000001</c:v>
                </c:pt>
                <c:pt idx="572">
                  <c:v>121.84695300000001</c:v>
                </c:pt>
                <c:pt idx="573">
                  <c:v>134.863631</c:v>
                </c:pt>
                <c:pt idx="574">
                  <c:v>128.07150999999999</c:v>
                </c:pt>
                <c:pt idx="575">
                  <c:v>123.78243499999999</c:v>
                </c:pt>
                <c:pt idx="576">
                  <c:v>128.89891</c:v>
                </c:pt>
                <c:pt idx="577">
                  <c:v>130.21517300000002</c:v>
                </c:pt>
                <c:pt idx="578">
                  <c:v>125.488322</c:v>
                </c:pt>
                <c:pt idx="579">
                  <c:v>130.32539199999999</c:v>
                </c:pt>
                <c:pt idx="580">
                  <c:v>125.11716199999999</c:v>
                </c:pt>
                <c:pt idx="581">
                  <c:v>118.01702299999999</c:v>
                </c:pt>
                <c:pt idx="582">
                  <c:v>120.533817</c:v>
                </c:pt>
                <c:pt idx="583">
                  <c:v>122.049132</c:v>
                </c:pt>
                <c:pt idx="584">
                  <c:v>118.636257</c:v>
                </c:pt>
                <c:pt idx="585">
                  <c:v>115.414249</c:v>
                </c:pt>
                <c:pt idx="586">
                  <c:v>118.409454</c:v>
                </c:pt>
                <c:pt idx="587">
                  <c:v>115.360595</c:v>
                </c:pt>
                <c:pt idx="588">
                  <c:v>118.95877399999999</c:v>
                </c:pt>
                <c:pt idx="589">
                  <c:v>120.64824399999999</c:v>
                </c:pt>
                <c:pt idx="590">
                  <c:v>117.48099800000001</c:v>
                </c:pt>
                <c:pt idx="591">
                  <c:v>86.081459000000009</c:v>
                </c:pt>
                <c:pt idx="592">
                  <c:v>68.844414</c:v>
                </c:pt>
                <c:pt idx="593">
                  <c:v>76.667000999999999</c:v>
                </c:pt>
                <c:pt idx="594">
                  <c:v>61.498703999999996</c:v>
                </c:pt>
                <c:pt idx="595">
                  <c:v>63.355337999999996</c:v>
                </c:pt>
                <c:pt idx="596">
                  <c:v>67.985439</c:v>
                </c:pt>
                <c:pt idx="597">
                  <c:v>21.934614</c:v>
                </c:pt>
                <c:pt idx="598">
                  <c:v>69.251991000000004</c:v>
                </c:pt>
                <c:pt idx="599">
                  <c:v>89.275255000000001</c:v>
                </c:pt>
                <c:pt idx="600">
                  <c:v>36.246982000000003</c:v>
                </c:pt>
                <c:pt idx="601">
                  <c:v>47.990879</c:v>
                </c:pt>
                <c:pt idx="602">
                  <c:v>76.558424000000002</c:v>
                </c:pt>
                <c:pt idx="603">
                  <c:v>54.231637999999997</c:v>
                </c:pt>
                <c:pt idx="604">
                  <c:v>36.141512999999996</c:v>
                </c:pt>
                <c:pt idx="605">
                  <c:v>64.703523000000004</c:v>
                </c:pt>
                <c:pt idx="606">
                  <c:v>67.056303</c:v>
                </c:pt>
                <c:pt idx="607">
                  <c:v>50.034962</c:v>
                </c:pt>
                <c:pt idx="608">
                  <c:v>68.188317999999995</c:v>
                </c:pt>
                <c:pt idx="609">
                  <c:v>36.451591000000001</c:v>
                </c:pt>
                <c:pt idx="610">
                  <c:v>46.031711999999999</c:v>
                </c:pt>
                <c:pt idx="611">
                  <c:v>40.612004999999996</c:v>
                </c:pt>
                <c:pt idx="612">
                  <c:v>52.618447999999994</c:v>
                </c:pt>
                <c:pt idx="613">
                  <c:v>41.754472</c:v>
                </c:pt>
                <c:pt idx="614">
                  <c:v>65.843980999999999</c:v>
                </c:pt>
                <c:pt idx="615">
                  <c:v>84.995985999999988</c:v>
                </c:pt>
                <c:pt idx="616">
                  <c:v>79.835048</c:v>
                </c:pt>
                <c:pt idx="617">
                  <c:v>63.507482000000003</c:v>
                </c:pt>
                <c:pt idx="618">
                  <c:v>68.158169999999998</c:v>
                </c:pt>
                <c:pt idx="619">
                  <c:v>72.630984999999995</c:v>
                </c:pt>
                <c:pt idx="620">
                  <c:v>43.655624000000003</c:v>
                </c:pt>
                <c:pt idx="621">
                  <c:v>51.466819000000001</c:v>
                </c:pt>
                <c:pt idx="622">
                  <c:v>72.91707000000001</c:v>
                </c:pt>
                <c:pt idx="623">
                  <c:v>79.759754000000001</c:v>
                </c:pt>
                <c:pt idx="624">
                  <c:v>71.039239999999992</c:v>
                </c:pt>
                <c:pt idx="625">
                  <c:v>59.415500000000002</c:v>
                </c:pt>
                <c:pt idx="626">
                  <c:v>69.848572000000004</c:v>
                </c:pt>
                <c:pt idx="627">
                  <c:v>82.089074999999994</c:v>
                </c:pt>
                <c:pt idx="628">
                  <c:v>86.218192999999999</c:v>
                </c:pt>
                <c:pt idx="629">
                  <c:v>80.296768999999998</c:v>
                </c:pt>
                <c:pt idx="630">
                  <c:v>71.9405</c:v>
                </c:pt>
                <c:pt idx="631">
                  <c:v>80.505577000000002</c:v>
                </c:pt>
                <c:pt idx="632">
                  <c:v>88.164876000000007</c:v>
                </c:pt>
                <c:pt idx="633">
                  <c:v>90.974949000000009</c:v>
                </c:pt>
                <c:pt idx="634">
                  <c:v>82.571436999999989</c:v>
                </c:pt>
                <c:pt idx="635">
                  <c:v>75.435936999999996</c:v>
                </c:pt>
                <c:pt idx="636">
                  <c:v>55.444144999999999</c:v>
                </c:pt>
                <c:pt idx="637">
                  <c:v>29.677868</c:v>
                </c:pt>
                <c:pt idx="638">
                  <c:v>34.865326000000003</c:v>
                </c:pt>
                <c:pt idx="639">
                  <c:v>25.240200000000002</c:v>
                </c:pt>
                <c:pt idx="640">
                  <c:v>46.819038999999997</c:v>
                </c:pt>
                <c:pt idx="641">
                  <c:v>72.090434999999999</c:v>
                </c:pt>
                <c:pt idx="642">
                  <c:v>65.798073000000002</c:v>
                </c:pt>
                <c:pt idx="643">
                  <c:v>32.699455</c:v>
                </c:pt>
                <c:pt idx="644">
                  <c:v>38.376978000000001</c:v>
                </c:pt>
                <c:pt idx="645">
                  <c:v>40.194800999999998</c:v>
                </c:pt>
                <c:pt idx="646">
                  <c:v>32.479962</c:v>
                </c:pt>
                <c:pt idx="647">
                  <c:v>51.001362</c:v>
                </c:pt>
                <c:pt idx="648">
                  <c:v>41.814520999999999</c:v>
                </c:pt>
                <c:pt idx="649">
                  <c:v>44.747978000000003</c:v>
                </c:pt>
                <c:pt idx="650">
                  <c:v>58.435447999999994</c:v>
                </c:pt>
                <c:pt idx="651">
                  <c:v>46.892511999999996</c:v>
                </c:pt>
                <c:pt idx="652">
                  <c:v>48.613869000000001</c:v>
                </c:pt>
                <c:pt idx="653">
                  <c:v>79.640462999999983</c:v>
                </c:pt>
                <c:pt idx="654">
                  <c:v>81.373981000000001</c:v>
                </c:pt>
                <c:pt idx="655">
                  <c:v>81.534304000000006</c:v>
                </c:pt>
                <c:pt idx="656">
                  <c:v>78.983294999999998</c:v>
                </c:pt>
                <c:pt idx="657">
                  <c:v>79.534385</c:v>
                </c:pt>
                <c:pt idx="658">
                  <c:v>78.967001999999994</c:v>
                </c:pt>
                <c:pt idx="659">
                  <c:v>47.568999000000005</c:v>
                </c:pt>
                <c:pt idx="660">
                  <c:v>77.624911999999995</c:v>
                </c:pt>
                <c:pt idx="661">
                  <c:v>78.030814000000007</c:v>
                </c:pt>
                <c:pt idx="662">
                  <c:v>77.777689999999993</c:v>
                </c:pt>
                <c:pt idx="663">
                  <c:v>77.432638999999995</c:v>
                </c:pt>
                <c:pt idx="664">
                  <c:v>71.49633</c:v>
                </c:pt>
                <c:pt idx="665">
                  <c:v>57.709153000000001</c:v>
                </c:pt>
                <c:pt idx="666">
                  <c:v>59.583220000000004</c:v>
                </c:pt>
                <c:pt idx="667">
                  <c:v>42.244174000000001</c:v>
                </c:pt>
                <c:pt idx="668">
                  <c:v>26.728804</c:v>
                </c:pt>
                <c:pt idx="669">
                  <c:v>68.956035</c:v>
                </c:pt>
                <c:pt idx="670">
                  <c:v>35.658654999999996</c:v>
                </c:pt>
                <c:pt idx="671">
                  <c:v>65.163443999999998</c:v>
                </c:pt>
                <c:pt idx="672">
                  <c:v>47.729921000000004</c:v>
                </c:pt>
                <c:pt idx="673">
                  <c:v>34.487565000000004</c:v>
                </c:pt>
                <c:pt idx="674">
                  <c:v>24.777777999999998</c:v>
                </c:pt>
                <c:pt idx="675">
                  <c:v>60.582135000000001</c:v>
                </c:pt>
                <c:pt idx="676">
                  <c:v>76.656891999999999</c:v>
                </c:pt>
                <c:pt idx="677">
                  <c:v>83.016259000000005</c:v>
                </c:pt>
                <c:pt idx="678">
                  <c:v>63.462061999999996</c:v>
                </c:pt>
                <c:pt idx="679">
                  <c:v>35.970074999999994</c:v>
                </c:pt>
                <c:pt idx="680">
                  <c:v>31.920556000000001</c:v>
                </c:pt>
                <c:pt idx="681">
                  <c:v>61.641739999999999</c:v>
                </c:pt>
                <c:pt idx="682">
                  <c:v>70.035195000000002</c:v>
                </c:pt>
                <c:pt idx="683">
                  <c:v>43.716620000000006</c:v>
                </c:pt>
                <c:pt idx="684">
                  <c:v>43.898980000000002</c:v>
                </c:pt>
                <c:pt idx="685">
                  <c:v>22.184312000000002</c:v>
                </c:pt>
                <c:pt idx="686">
                  <c:v>32.061104999999998</c:v>
                </c:pt>
                <c:pt idx="687">
                  <c:v>44.161414999999998</c:v>
                </c:pt>
                <c:pt idx="688">
                  <c:v>43.286101000000002</c:v>
                </c:pt>
                <c:pt idx="689">
                  <c:v>20.905069000000001</c:v>
                </c:pt>
                <c:pt idx="690">
                  <c:v>70.018907999999996</c:v>
                </c:pt>
                <c:pt idx="691">
                  <c:v>79.628083000000004</c:v>
                </c:pt>
                <c:pt idx="692">
                  <c:v>79.113975999999994</c:v>
                </c:pt>
                <c:pt idx="693">
                  <c:v>87.140363000000008</c:v>
                </c:pt>
                <c:pt idx="694">
                  <c:v>90.015534000000002</c:v>
                </c:pt>
                <c:pt idx="695">
                  <c:v>90.191419999999994</c:v>
                </c:pt>
                <c:pt idx="696">
                  <c:v>85.34348</c:v>
                </c:pt>
                <c:pt idx="697">
                  <c:v>84.530421000000004</c:v>
                </c:pt>
                <c:pt idx="698">
                  <c:v>77.504929000000004</c:v>
                </c:pt>
                <c:pt idx="699">
                  <c:v>57.338449999999995</c:v>
                </c:pt>
                <c:pt idx="700">
                  <c:v>71.777050000000003</c:v>
                </c:pt>
                <c:pt idx="701">
                  <c:v>82.371899999999997</c:v>
                </c:pt>
                <c:pt idx="702">
                  <c:v>104.250462</c:v>
                </c:pt>
                <c:pt idx="703">
                  <c:v>107.50809600000001</c:v>
                </c:pt>
                <c:pt idx="704">
                  <c:v>105.6198</c:v>
                </c:pt>
                <c:pt idx="705">
                  <c:v>106.96937200000001</c:v>
                </c:pt>
                <c:pt idx="706">
                  <c:v>85.561145999999994</c:v>
                </c:pt>
                <c:pt idx="707">
                  <c:v>83.265705999999994</c:v>
                </c:pt>
                <c:pt idx="708">
                  <c:v>61.388811000000004</c:v>
                </c:pt>
                <c:pt idx="709">
                  <c:v>37.278991000000005</c:v>
                </c:pt>
                <c:pt idx="710">
                  <c:v>29.274099</c:v>
                </c:pt>
                <c:pt idx="711">
                  <c:v>76.750124</c:v>
                </c:pt>
                <c:pt idx="712">
                  <c:v>40.086457000000003</c:v>
                </c:pt>
                <c:pt idx="713">
                  <c:v>84.733426000000009</c:v>
                </c:pt>
                <c:pt idx="714">
                  <c:v>77.824528000000001</c:v>
                </c:pt>
                <c:pt idx="715">
                  <c:v>75.28002699999999</c:v>
                </c:pt>
                <c:pt idx="716">
                  <c:v>40.478398999999996</c:v>
                </c:pt>
                <c:pt idx="717">
                  <c:v>91.219223999999997</c:v>
                </c:pt>
                <c:pt idx="718">
                  <c:v>125.13515600000001</c:v>
                </c:pt>
                <c:pt idx="719">
                  <c:v>115.84409599999999</c:v>
                </c:pt>
                <c:pt idx="720">
                  <c:v>123.52284399999999</c:v>
                </c:pt>
                <c:pt idx="721">
                  <c:v>123.80621099999999</c:v>
                </c:pt>
                <c:pt idx="722">
                  <c:v>103.80363199999999</c:v>
                </c:pt>
                <c:pt idx="723">
                  <c:v>70.574541000000011</c:v>
                </c:pt>
                <c:pt idx="724">
                  <c:v>97.135263999999992</c:v>
                </c:pt>
                <c:pt idx="725">
                  <c:v>96.760535000000004</c:v>
                </c:pt>
                <c:pt idx="726">
                  <c:v>51.063001999999997</c:v>
                </c:pt>
                <c:pt idx="727">
                  <c:v>84.723232999999993</c:v>
                </c:pt>
                <c:pt idx="728">
                  <c:v>101.48239100000001</c:v>
                </c:pt>
                <c:pt idx="729">
                  <c:v>126.08028599999999</c:v>
                </c:pt>
                <c:pt idx="730">
                  <c:v>118.61503500000001</c:v>
                </c:pt>
                <c:pt idx="731">
                  <c:v>121.60061599999999</c:v>
                </c:pt>
                <c:pt idx="732">
                  <c:v>55.331459000000002</c:v>
                </c:pt>
                <c:pt idx="733">
                  <c:v>96.291117999999997</c:v>
                </c:pt>
                <c:pt idx="734">
                  <c:v>72.200810000000004</c:v>
                </c:pt>
                <c:pt idx="735">
                  <c:v>141.17894699999999</c:v>
                </c:pt>
                <c:pt idx="736">
                  <c:v>139.45210699999998</c:v>
                </c:pt>
                <c:pt idx="737">
                  <c:v>71.912965</c:v>
                </c:pt>
                <c:pt idx="738">
                  <c:v>82.087441999999996</c:v>
                </c:pt>
                <c:pt idx="739">
                  <c:v>47.678432000000001</c:v>
                </c:pt>
                <c:pt idx="740">
                  <c:v>72.397199999999998</c:v>
                </c:pt>
                <c:pt idx="741">
                  <c:v>119.78096499999999</c:v>
                </c:pt>
                <c:pt idx="742">
                  <c:v>147.561531</c:v>
                </c:pt>
                <c:pt idx="743">
                  <c:v>141.632531</c:v>
                </c:pt>
                <c:pt idx="744">
                  <c:v>115.56585199999999</c:v>
                </c:pt>
                <c:pt idx="745">
                  <c:v>121.07140099999999</c:v>
                </c:pt>
                <c:pt idx="746">
                  <c:v>130.38302899999999</c:v>
                </c:pt>
                <c:pt idx="747">
                  <c:v>123.592359</c:v>
                </c:pt>
                <c:pt idx="748">
                  <c:v>104.670186</c:v>
                </c:pt>
                <c:pt idx="749">
                  <c:v>122.66727899999999</c:v>
                </c:pt>
                <c:pt idx="750">
                  <c:v>106.079413</c:v>
                </c:pt>
                <c:pt idx="751">
                  <c:v>97.996581999999989</c:v>
                </c:pt>
                <c:pt idx="752">
                  <c:v>109.81231600000001</c:v>
                </c:pt>
                <c:pt idx="753">
                  <c:v>85.931160999999989</c:v>
                </c:pt>
                <c:pt idx="754">
                  <c:v>69.925910000000002</c:v>
                </c:pt>
                <c:pt idx="755">
                  <c:v>51.232773999999999</c:v>
                </c:pt>
                <c:pt idx="756">
                  <c:v>94.592787000000001</c:v>
                </c:pt>
                <c:pt idx="757">
                  <c:v>70.600798999999995</c:v>
                </c:pt>
                <c:pt idx="758">
                  <c:v>72.165244999999999</c:v>
                </c:pt>
                <c:pt idx="759">
                  <c:v>69.475298999999993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38-44F7-B176-527443CE71EF}"/>
            </c:ext>
          </c:extLst>
        </c:ser>
        <c:ser>
          <c:idx val="2"/>
          <c:order val="1"/>
          <c:tx>
            <c:v>SECO</c:v>
          </c:tx>
          <c:spPr>
            <a:solidFill>
              <a:schemeClr val="accent6">
                <a:lumMod val="40000"/>
                <a:lumOff val="6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'Data 5'!$F$2:$G$761</c:f>
              <c:multiLvlStrCache>
                <c:ptCount val="746"/>
                <c:lvl>
                  <c:pt idx="14">
                    <c:v>M</c:v>
                  </c:pt>
                  <c:pt idx="45">
                    <c:v>A</c:v>
                  </c:pt>
                  <c:pt idx="75">
                    <c:v>M</c:v>
                  </c:pt>
                  <c:pt idx="106">
                    <c:v>J</c:v>
                  </c:pt>
                  <c:pt idx="136">
                    <c:v>J</c:v>
                  </c:pt>
                  <c:pt idx="167">
                    <c:v>A</c:v>
                  </c:pt>
                  <c:pt idx="198">
                    <c:v>S</c:v>
                  </c:pt>
                  <c:pt idx="228">
                    <c:v>O</c:v>
                  </c:pt>
                  <c:pt idx="259">
                    <c:v>N</c:v>
                  </c:pt>
                  <c:pt idx="289">
                    <c:v>D</c:v>
                  </c:pt>
                  <c:pt idx="320">
                    <c:v>E</c:v>
                  </c:pt>
                  <c:pt idx="351">
                    <c:v>F</c:v>
                  </c:pt>
                  <c:pt idx="379">
                    <c:v>M</c:v>
                  </c:pt>
                  <c:pt idx="410">
                    <c:v>A</c:v>
                  </c:pt>
                  <c:pt idx="440">
                    <c:v>M</c:v>
                  </c:pt>
                  <c:pt idx="471">
                    <c:v>J</c:v>
                  </c:pt>
                  <c:pt idx="501">
                    <c:v>J</c:v>
                  </c:pt>
                  <c:pt idx="532">
                    <c:v>A</c:v>
                  </c:pt>
                  <c:pt idx="563">
                    <c:v>S</c:v>
                  </c:pt>
                  <c:pt idx="593">
                    <c:v>O</c:v>
                  </c:pt>
                  <c:pt idx="624">
                    <c:v>N</c:v>
                  </c:pt>
                  <c:pt idx="654">
                    <c:v>D</c:v>
                  </c:pt>
                  <c:pt idx="685">
                    <c:v>E</c:v>
                  </c:pt>
                  <c:pt idx="716">
                    <c:v>F</c:v>
                  </c:pt>
                  <c:pt idx="745">
                    <c:v>M</c:v>
                  </c:pt>
                </c:lvl>
                <c:lvl>
                  <c:pt idx="0">
                    <c:v>2022</c:v>
                  </c:pt>
                  <c:pt idx="306">
                    <c:v>2023</c:v>
                  </c:pt>
                  <c:pt idx="671">
                    <c:v>2024</c:v>
                  </c:pt>
                </c:lvl>
              </c:multiLvlStrCache>
            </c:multiLvlStrRef>
          </c:cat>
          <c:val>
            <c:numRef>
              <c:f>'Data 5'!$D$2:$D$761</c:f>
              <c:numCache>
                <c:formatCode>#,##0.0</c:formatCode>
                <c:ptCount val="760"/>
                <c:pt idx="0">
                  <c:v>69.9909135552316</c:v>
                </c:pt>
                <c:pt idx="1">
                  <c:v>69.9909135552316</c:v>
                </c:pt>
                <c:pt idx="2">
                  <c:v>69.9909135552316</c:v>
                </c:pt>
                <c:pt idx="3">
                  <c:v>69.9909135552316</c:v>
                </c:pt>
                <c:pt idx="4">
                  <c:v>69.9909135552316</c:v>
                </c:pt>
                <c:pt idx="5">
                  <c:v>69.9909135552316</c:v>
                </c:pt>
                <c:pt idx="6">
                  <c:v>69.9909135552316</c:v>
                </c:pt>
                <c:pt idx="7">
                  <c:v>69.9909135552316</c:v>
                </c:pt>
                <c:pt idx="8">
                  <c:v>69.9909135552316</c:v>
                </c:pt>
                <c:pt idx="9">
                  <c:v>69.9909135552316</c:v>
                </c:pt>
                <c:pt idx="10">
                  <c:v>69.9909135552316</c:v>
                </c:pt>
                <c:pt idx="11">
                  <c:v>69.9909135552316</c:v>
                </c:pt>
                <c:pt idx="12">
                  <c:v>69.9909135552316</c:v>
                </c:pt>
                <c:pt idx="13">
                  <c:v>69.9909135552316</c:v>
                </c:pt>
                <c:pt idx="14">
                  <c:v>69.9909135552316</c:v>
                </c:pt>
                <c:pt idx="15">
                  <c:v>69.9909135552316</c:v>
                </c:pt>
                <c:pt idx="16">
                  <c:v>69.9909135552316</c:v>
                </c:pt>
                <c:pt idx="17">
                  <c:v>69.9909135552316</c:v>
                </c:pt>
                <c:pt idx="18">
                  <c:v>69.9909135552316</c:v>
                </c:pt>
                <c:pt idx="19">
                  <c:v>69.9909135552316</c:v>
                </c:pt>
                <c:pt idx="20">
                  <c:v>69.9909135552316</c:v>
                </c:pt>
                <c:pt idx="21">
                  <c:v>69.9909135552316</c:v>
                </c:pt>
                <c:pt idx="22">
                  <c:v>69.9909135552316</c:v>
                </c:pt>
                <c:pt idx="23">
                  <c:v>69.9909135552316</c:v>
                </c:pt>
                <c:pt idx="24">
                  <c:v>69.9909135552316</c:v>
                </c:pt>
                <c:pt idx="25">
                  <c:v>69.9909135552316</c:v>
                </c:pt>
                <c:pt idx="26">
                  <c:v>69.9909135552316</c:v>
                </c:pt>
                <c:pt idx="27">
                  <c:v>69.9909135552316</c:v>
                </c:pt>
                <c:pt idx="28">
                  <c:v>69.9909135552316</c:v>
                </c:pt>
                <c:pt idx="29">
                  <c:v>69.9909135552316</c:v>
                </c:pt>
                <c:pt idx="30">
                  <c:v>69.9909135552316</c:v>
                </c:pt>
                <c:pt idx="31">
                  <c:v>75.313562685937214</c:v>
                </c:pt>
                <c:pt idx="32">
                  <c:v>75.313562685937214</c:v>
                </c:pt>
                <c:pt idx="33">
                  <c:v>75.313562685937214</c:v>
                </c:pt>
                <c:pt idx="34">
                  <c:v>75.313562685937214</c:v>
                </c:pt>
                <c:pt idx="35">
                  <c:v>75.313562685937214</c:v>
                </c:pt>
                <c:pt idx="36">
                  <c:v>75.313562685937214</c:v>
                </c:pt>
                <c:pt idx="37">
                  <c:v>75.313562685937214</c:v>
                </c:pt>
                <c:pt idx="38">
                  <c:v>75.313562685937214</c:v>
                </c:pt>
                <c:pt idx="39">
                  <c:v>75.313562685937214</c:v>
                </c:pt>
                <c:pt idx="40">
                  <c:v>75.313562685937214</c:v>
                </c:pt>
                <c:pt idx="41">
                  <c:v>75.313562685937214</c:v>
                </c:pt>
                <c:pt idx="42">
                  <c:v>75.313562685937214</c:v>
                </c:pt>
                <c:pt idx="43">
                  <c:v>75.313562685937214</c:v>
                </c:pt>
                <c:pt idx="44">
                  <c:v>75.313562685937214</c:v>
                </c:pt>
                <c:pt idx="45">
                  <c:v>75.313562685937214</c:v>
                </c:pt>
                <c:pt idx="46">
                  <c:v>75.313562685937214</c:v>
                </c:pt>
                <c:pt idx="47">
                  <c:v>75.313562685937214</c:v>
                </c:pt>
                <c:pt idx="48">
                  <c:v>75.313562685937214</c:v>
                </c:pt>
                <c:pt idx="49">
                  <c:v>75.313562685937214</c:v>
                </c:pt>
                <c:pt idx="50">
                  <c:v>75.313562685937214</c:v>
                </c:pt>
                <c:pt idx="51">
                  <c:v>75.313562685937214</c:v>
                </c:pt>
                <c:pt idx="52">
                  <c:v>75.313562685937214</c:v>
                </c:pt>
                <c:pt idx="53">
                  <c:v>75.313562685937214</c:v>
                </c:pt>
                <c:pt idx="54">
                  <c:v>75.313562685937214</c:v>
                </c:pt>
                <c:pt idx="55">
                  <c:v>75.313562685937214</c:v>
                </c:pt>
                <c:pt idx="56">
                  <c:v>75.313562685937214</c:v>
                </c:pt>
                <c:pt idx="57">
                  <c:v>75.313562685937214</c:v>
                </c:pt>
                <c:pt idx="58">
                  <c:v>75.313562685937214</c:v>
                </c:pt>
                <c:pt idx="59">
                  <c:v>75.313562685937214</c:v>
                </c:pt>
                <c:pt idx="60">
                  <c:v>75.313562685937214</c:v>
                </c:pt>
                <c:pt idx="61">
                  <c:v>88.924363397018055</c:v>
                </c:pt>
                <c:pt idx="62">
                  <c:v>88.924363397018055</c:v>
                </c:pt>
                <c:pt idx="63">
                  <c:v>88.924363397018055</c:v>
                </c:pt>
                <c:pt idx="64">
                  <c:v>88.924363397018055</c:v>
                </c:pt>
                <c:pt idx="65">
                  <c:v>88.924363397018055</c:v>
                </c:pt>
                <c:pt idx="66">
                  <c:v>88.924363397018055</c:v>
                </c:pt>
                <c:pt idx="67">
                  <c:v>88.924363397018055</c:v>
                </c:pt>
                <c:pt idx="68">
                  <c:v>88.924363397018055</c:v>
                </c:pt>
                <c:pt idx="69">
                  <c:v>88.924363397018055</c:v>
                </c:pt>
                <c:pt idx="70">
                  <c:v>88.924363397018055</c:v>
                </c:pt>
                <c:pt idx="71">
                  <c:v>88.924363397018055</c:v>
                </c:pt>
                <c:pt idx="72">
                  <c:v>88.924363397018055</c:v>
                </c:pt>
                <c:pt idx="73">
                  <c:v>88.924363397018055</c:v>
                </c:pt>
                <c:pt idx="74">
                  <c:v>88.924363397018055</c:v>
                </c:pt>
                <c:pt idx="75">
                  <c:v>88.924363397018055</c:v>
                </c:pt>
                <c:pt idx="76">
                  <c:v>88.924363397018055</c:v>
                </c:pt>
                <c:pt idx="77">
                  <c:v>88.924363397018055</c:v>
                </c:pt>
                <c:pt idx="78">
                  <c:v>88.924363397018055</c:v>
                </c:pt>
                <c:pt idx="79">
                  <c:v>88.924363397018055</c:v>
                </c:pt>
                <c:pt idx="80">
                  <c:v>88.924363397018055</c:v>
                </c:pt>
                <c:pt idx="81">
                  <c:v>88.924363397018055</c:v>
                </c:pt>
                <c:pt idx="82">
                  <c:v>88.924363397018055</c:v>
                </c:pt>
                <c:pt idx="83">
                  <c:v>88.924363397018055</c:v>
                </c:pt>
                <c:pt idx="84">
                  <c:v>88.924363397018055</c:v>
                </c:pt>
                <c:pt idx="85">
                  <c:v>88.924363397018055</c:v>
                </c:pt>
                <c:pt idx="86">
                  <c:v>88.924363397018055</c:v>
                </c:pt>
                <c:pt idx="87">
                  <c:v>88.924363397018055</c:v>
                </c:pt>
                <c:pt idx="88">
                  <c:v>88.924363397018055</c:v>
                </c:pt>
                <c:pt idx="89">
                  <c:v>88.924363397018055</c:v>
                </c:pt>
                <c:pt idx="90">
                  <c:v>88.924363397018055</c:v>
                </c:pt>
                <c:pt idx="91">
                  <c:v>88.924363397018055</c:v>
                </c:pt>
                <c:pt idx="92">
                  <c:v>93.325941984536158</c:v>
                </c:pt>
                <c:pt idx="93">
                  <c:v>93.325941984536158</c:v>
                </c:pt>
                <c:pt idx="94">
                  <c:v>93.325941984536158</c:v>
                </c:pt>
                <c:pt idx="95">
                  <c:v>93.325941984536158</c:v>
                </c:pt>
                <c:pt idx="96">
                  <c:v>93.325941984536158</c:v>
                </c:pt>
                <c:pt idx="97">
                  <c:v>93.325941984536158</c:v>
                </c:pt>
                <c:pt idx="98">
                  <c:v>93.325941984536158</c:v>
                </c:pt>
                <c:pt idx="99">
                  <c:v>93.325941984536158</c:v>
                </c:pt>
                <c:pt idx="100">
                  <c:v>93.325941984536158</c:v>
                </c:pt>
                <c:pt idx="101">
                  <c:v>93.325941984536158</c:v>
                </c:pt>
                <c:pt idx="102">
                  <c:v>93.325941984536158</c:v>
                </c:pt>
                <c:pt idx="103">
                  <c:v>93.325941984536158</c:v>
                </c:pt>
                <c:pt idx="104">
                  <c:v>93.325941984536158</c:v>
                </c:pt>
                <c:pt idx="105">
                  <c:v>93.325941984536158</c:v>
                </c:pt>
                <c:pt idx="106">
                  <c:v>93.325941984536158</c:v>
                </c:pt>
                <c:pt idx="107">
                  <c:v>93.325941984536158</c:v>
                </c:pt>
                <c:pt idx="108">
                  <c:v>93.325941984536158</c:v>
                </c:pt>
                <c:pt idx="109">
                  <c:v>93.325941984536158</c:v>
                </c:pt>
                <c:pt idx="110">
                  <c:v>93.325941984536158</c:v>
                </c:pt>
                <c:pt idx="111">
                  <c:v>93.325941984536158</c:v>
                </c:pt>
                <c:pt idx="112">
                  <c:v>93.325941984536158</c:v>
                </c:pt>
                <c:pt idx="113">
                  <c:v>93.325941984536158</c:v>
                </c:pt>
                <c:pt idx="114">
                  <c:v>93.325941984536158</c:v>
                </c:pt>
                <c:pt idx="115">
                  <c:v>93.325941984536158</c:v>
                </c:pt>
                <c:pt idx="116">
                  <c:v>93.325941984536158</c:v>
                </c:pt>
                <c:pt idx="117">
                  <c:v>93.325941984536158</c:v>
                </c:pt>
                <c:pt idx="118">
                  <c:v>93.325941984536158</c:v>
                </c:pt>
                <c:pt idx="119">
                  <c:v>93.325941984536158</c:v>
                </c:pt>
                <c:pt idx="120">
                  <c:v>93.325941984536158</c:v>
                </c:pt>
                <c:pt idx="121">
                  <c:v>93.325941984536158</c:v>
                </c:pt>
                <c:pt idx="122">
                  <c:v>95.205066243270252</c:v>
                </c:pt>
                <c:pt idx="123">
                  <c:v>95.205066243270252</c:v>
                </c:pt>
                <c:pt idx="124">
                  <c:v>95.205066243270252</c:v>
                </c:pt>
                <c:pt idx="125">
                  <c:v>95.205066243270252</c:v>
                </c:pt>
                <c:pt idx="126">
                  <c:v>95.205066243270252</c:v>
                </c:pt>
                <c:pt idx="127">
                  <c:v>95.205066243270252</c:v>
                </c:pt>
                <c:pt idx="128">
                  <c:v>95.205066243270252</c:v>
                </c:pt>
                <c:pt idx="129">
                  <c:v>95.205066243270252</c:v>
                </c:pt>
                <c:pt idx="130">
                  <c:v>95.205066243270252</c:v>
                </c:pt>
                <c:pt idx="131">
                  <c:v>95.205066243270252</c:v>
                </c:pt>
                <c:pt idx="132">
                  <c:v>95.205066243270252</c:v>
                </c:pt>
                <c:pt idx="133">
                  <c:v>95.205066243270252</c:v>
                </c:pt>
                <c:pt idx="134">
                  <c:v>95.205066243270252</c:v>
                </c:pt>
                <c:pt idx="135">
                  <c:v>88.253446065690824</c:v>
                </c:pt>
                <c:pt idx="136">
                  <c:v>88.253446065690824</c:v>
                </c:pt>
                <c:pt idx="137">
                  <c:v>88.253446065690824</c:v>
                </c:pt>
                <c:pt idx="138">
                  <c:v>88.253446065690824</c:v>
                </c:pt>
                <c:pt idx="139">
                  <c:v>88.253446065690824</c:v>
                </c:pt>
                <c:pt idx="140">
                  <c:v>88.253446065690824</c:v>
                </c:pt>
                <c:pt idx="141">
                  <c:v>88.253446065690824</c:v>
                </c:pt>
                <c:pt idx="142">
                  <c:v>88.253446065690824</c:v>
                </c:pt>
                <c:pt idx="143">
                  <c:v>88.253446065690824</c:v>
                </c:pt>
                <c:pt idx="144">
                  <c:v>88.253446065690824</c:v>
                </c:pt>
                <c:pt idx="145">
                  <c:v>88.253446065690824</c:v>
                </c:pt>
                <c:pt idx="146">
                  <c:v>88.253446065690824</c:v>
                </c:pt>
                <c:pt idx="147">
                  <c:v>88.253446065690824</c:v>
                </c:pt>
                <c:pt idx="148">
                  <c:v>88.253446065690824</c:v>
                </c:pt>
                <c:pt idx="149">
                  <c:v>88.253446065690824</c:v>
                </c:pt>
                <c:pt idx="150">
                  <c:v>88.253446065690824</c:v>
                </c:pt>
                <c:pt idx="151">
                  <c:v>88.253446065690824</c:v>
                </c:pt>
                <c:pt idx="152">
                  <c:v>88.253446065690824</c:v>
                </c:pt>
                <c:pt idx="153">
                  <c:v>88.253446065690824</c:v>
                </c:pt>
                <c:pt idx="154">
                  <c:v>88.253446065690824</c:v>
                </c:pt>
                <c:pt idx="155">
                  <c:v>88.253446065690824</c:v>
                </c:pt>
                <c:pt idx="156">
                  <c:v>88.253446065690824</c:v>
                </c:pt>
                <c:pt idx="157">
                  <c:v>88.253446065690824</c:v>
                </c:pt>
                <c:pt idx="158">
                  <c:v>88.253446065690824</c:v>
                </c:pt>
                <c:pt idx="159">
                  <c:v>88.253446065690824</c:v>
                </c:pt>
                <c:pt idx="160">
                  <c:v>88.253446065690824</c:v>
                </c:pt>
                <c:pt idx="161">
                  <c:v>88.253446065690824</c:v>
                </c:pt>
                <c:pt idx="162">
                  <c:v>88.253446065690824</c:v>
                </c:pt>
                <c:pt idx="163">
                  <c:v>88.253446065690824</c:v>
                </c:pt>
                <c:pt idx="164">
                  <c:v>88.253446065690824</c:v>
                </c:pt>
                <c:pt idx="165">
                  <c:v>88.253446065690824</c:v>
                </c:pt>
                <c:pt idx="166">
                  <c:v>88.253446065690824</c:v>
                </c:pt>
                <c:pt idx="167">
                  <c:v>88.253446065690824</c:v>
                </c:pt>
                <c:pt idx="168">
                  <c:v>88.253446065690824</c:v>
                </c:pt>
                <c:pt idx="169">
                  <c:v>88.253446065690824</c:v>
                </c:pt>
                <c:pt idx="170">
                  <c:v>88.253446065690824</c:v>
                </c:pt>
                <c:pt idx="171">
                  <c:v>88.253446065690824</c:v>
                </c:pt>
                <c:pt idx="172">
                  <c:v>88.253446065690824</c:v>
                </c:pt>
                <c:pt idx="173">
                  <c:v>88.253446065690824</c:v>
                </c:pt>
                <c:pt idx="174">
                  <c:v>88.253446065690824</c:v>
                </c:pt>
                <c:pt idx="175">
                  <c:v>88.253446065690824</c:v>
                </c:pt>
                <c:pt idx="176">
                  <c:v>88.253446065690824</c:v>
                </c:pt>
                <c:pt idx="177">
                  <c:v>88.253446065690824</c:v>
                </c:pt>
                <c:pt idx="178">
                  <c:v>88.253446065690824</c:v>
                </c:pt>
                <c:pt idx="179">
                  <c:v>88.253446065690824</c:v>
                </c:pt>
                <c:pt idx="180">
                  <c:v>88.253446065690824</c:v>
                </c:pt>
                <c:pt idx="181">
                  <c:v>88.253446065690824</c:v>
                </c:pt>
                <c:pt idx="182">
                  <c:v>88.253446065690824</c:v>
                </c:pt>
                <c:pt idx="183">
                  <c:v>88.253446065690824</c:v>
                </c:pt>
                <c:pt idx="184">
                  <c:v>75.53373509869256</c:v>
                </c:pt>
                <c:pt idx="185">
                  <c:v>75.53373509869256</c:v>
                </c:pt>
                <c:pt idx="186">
                  <c:v>75.53373509869256</c:v>
                </c:pt>
                <c:pt idx="187">
                  <c:v>75.53373509869256</c:v>
                </c:pt>
                <c:pt idx="188">
                  <c:v>75.53373509869256</c:v>
                </c:pt>
                <c:pt idx="189">
                  <c:v>75.53373509869256</c:v>
                </c:pt>
                <c:pt idx="190">
                  <c:v>75.53373509869256</c:v>
                </c:pt>
                <c:pt idx="191">
                  <c:v>75.53373509869256</c:v>
                </c:pt>
                <c:pt idx="192">
                  <c:v>75.53373509869256</c:v>
                </c:pt>
                <c:pt idx="193">
                  <c:v>75.53373509869256</c:v>
                </c:pt>
                <c:pt idx="194">
                  <c:v>75.53373509869256</c:v>
                </c:pt>
                <c:pt idx="195">
                  <c:v>75.53373509869256</c:v>
                </c:pt>
                <c:pt idx="196">
                  <c:v>75.53373509869256</c:v>
                </c:pt>
                <c:pt idx="197">
                  <c:v>75.53373509869256</c:v>
                </c:pt>
                <c:pt idx="198">
                  <c:v>75.53373509869256</c:v>
                </c:pt>
                <c:pt idx="199">
                  <c:v>75.53373509869256</c:v>
                </c:pt>
                <c:pt idx="200">
                  <c:v>75.53373509869256</c:v>
                </c:pt>
                <c:pt idx="201">
                  <c:v>75.53373509869256</c:v>
                </c:pt>
                <c:pt idx="202">
                  <c:v>75.53373509869256</c:v>
                </c:pt>
                <c:pt idx="203">
                  <c:v>75.53373509869256</c:v>
                </c:pt>
                <c:pt idx="204">
                  <c:v>75.53373509869256</c:v>
                </c:pt>
                <c:pt idx="205">
                  <c:v>75.53373509869256</c:v>
                </c:pt>
                <c:pt idx="206">
                  <c:v>75.53373509869256</c:v>
                </c:pt>
                <c:pt idx="207">
                  <c:v>75.53373509869256</c:v>
                </c:pt>
                <c:pt idx="208">
                  <c:v>75.53373509869256</c:v>
                </c:pt>
                <c:pt idx="209">
                  <c:v>75.53373509869256</c:v>
                </c:pt>
                <c:pt idx="210">
                  <c:v>75.53373509869256</c:v>
                </c:pt>
                <c:pt idx="211">
                  <c:v>75.53373509869256</c:v>
                </c:pt>
                <c:pt idx="212">
                  <c:v>75.53373509869256</c:v>
                </c:pt>
                <c:pt idx="213">
                  <c:v>75.53373509869256</c:v>
                </c:pt>
                <c:pt idx="214">
                  <c:v>61.15886156730037</c:v>
                </c:pt>
                <c:pt idx="215">
                  <c:v>61.15886156730037</c:v>
                </c:pt>
                <c:pt idx="216">
                  <c:v>61.15886156730037</c:v>
                </c:pt>
                <c:pt idx="217">
                  <c:v>61.15886156730037</c:v>
                </c:pt>
                <c:pt idx="218">
                  <c:v>61.15886156730037</c:v>
                </c:pt>
                <c:pt idx="219">
                  <c:v>61.15886156730037</c:v>
                </c:pt>
                <c:pt idx="220">
                  <c:v>61.15886156730037</c:v>
                </c:pt>
                <c:pt idx="221">
                  <c:v>61.15886156730037</c:v>
                </c:pt>
                <c:pt idx="222">
                  <c:v>61.15886156730037</c:v>
                </c:pt>
                <c:pt idx="223">
                  <c:v>61.15886156730037</c:v>
                </c:pt>
                <c:pt idx="224">
                  <c:v>61.15886156730037</c:v>
                </c:pt>
                <c:pt idx="225">
                  <c:v>61.15886156730037</c:v>
                </c:pt>
                <c:pt idx="226">
                  <c:v>61.15886156730037</c:v>
                </c:pt>
                <c:pt idx="227">
                  <c:v>61.15886156730037</c:v>
                </c:pt>
                <c:pt idx="228">
                  <c:v>61.15886156730037</c:v>
                </c:pt>
                <c:pt idx="229">
                  <c:v>61.15886156730037</c:v>
                </c:pt>
                <c:pt idx="230">
                  <c:v>61.15886156730037</c:v>
                </c:pt>
                <c:pt idx="231">
                  <c:v>61.15886156730037</c:v>
                </c:pt>
                <c:pt idx="232">
                  <c:v>61.15886156730037</c:v>
                </c:pt>
                <c:pt idx="233">
                  <c:v>61.15886156730037</c:v>
                </c:pt>
                <c:pt idx="234">
                  <c:v>61.15886156730037</c:v>
                </c:pt>
                <c:pt idx="235">
                  <c:v>61.15886156730037</c:v>
                </c:pt>
                <c:pt idx="236">
                  <c:v>61.15886156730037</c:v>
                </c:pt>
                <c:pt idx="237">
                  <c:v>61.15886156730037</c:v>
                </c:pt>
                <c:pt idx="238">
                  <c:v>61.15886156730037</c:v>
                </c:pt>
                <c:pt idx="239">
                  <c:v>61.15886156730037</c:v>
                </c:pt>
                <c:pt idx="240">
                  <c:v>61.15886156730037</c:v>
                </c:pt>
                <c:pt idx="241">
                  <c:v>61.15886156730037</c:v>
                </c:pt>
                <c:pt idx="242">
                  <c:v>61.15886156730037</c:v>
                </c:pt>
                <c:pt idx="243">
                  <c:v>61.15886156730037</c:v>
                </c:pt>
                <c:pt idx="244">
                  <c:v>61.15886156730037</c:v>
                </c:pt>
                <c:pt idx="245">
                  <c:v>44.721281663391778</c:v>
                </c:pt>
                <c:pt idx="246">
                  <c:v>44.721281663391778</c:v>
                </c:pt>
                <c:pt idx="247">
                  <c:v>44.721281663391778</c:v>
                </c:pt>
                <c:pt idx="248">
                  <c:v>44.721281663391778</c:v>
                </c:pt>
                <c:pt idx="249">
                  <c:v>44.721281663391778</c:v>
                </c:pt>
                <c:pt idx="250">
                  <c:v>44.721281663391778</c:v>
                </c:pt>
                <c:pt idx="251">
                  <c:v>44.721281663391778</c:v>
                </c:pt>
                <c:pt idx="252">
                  <c:v>44.721281663391778</c:v>
                </c:pt>
                <c:pt idx="253">
                  <c:v>44.721281663391778</c:v>
                </c:pt>
                <c:pt idx="254">
                  <c:v>44.721281663391778</c:v>
                </c:pt>
                <c:pt idx="255">
                  <c:v>44.721281663391778</c:v>
                </c:pt>
                <c:pt idx="256">
                  <c:v>44.721281663391778</c:v>
                </c:pt>
                <c:pt idx="257">
                  <c:v>44.721281663391778</c:v>
                </c:pt>
                <c:pt idx="258">
                  <c:v>44.721281663391778</c:v>
                </c:pt>
                <c:pt idx="259">
                  <c:v>44.721281663391778</c:v>
                </c:pt>
                <c:pt idx="260">
                  <c:v>44.721281663391778</c:v>
                </c:pt>
                <c:pt idx="261">
                  <c:v>44.721281663391778</c:v>
                </c:pt>
                <c:pt idx="262">
                  <c:v>44.721281663391778</c:v>
                </c:pt>
                <c:pt idx="263">
                  <c:v>44.721281663391778</c:v>
                </c:pt>
                <c:pt idx="264">
                  <c:v>44.721281663391778</c:v>
                </c:pt>
                <c:pt idx="265">
                  <c:v>44.721281663391778</c:v>
                </c:pt>
                <c:pt idx="266">
                  <c:v>44.721281663391778</c:v>
                </c:pt>
                <c:pt idx="267">
                  <c:v>44.721281663391778</c:v>
                </c:pt>
                <c:pt idx="268">
                  <c:v>44.721281663391778</c:v>
                </c:pt>
                <c:pt idx="269">
                  <c:v>44.721281663391778</c:v>
                </c:pt>
                <c:pt idx="270">
                  <c:v>44.721281663391778</c:v>
                </c:pt>
                <c:pt idx="271">
                  <c:v>44.721281663391778</c:v>
                </c:pt>
                <c:pt idx="272">
                  <c:v>44.721281663391778</c:v>
                </c:pt>
                <c:pt idx="273">
                  <c:v>44.721281663391778</c:v>
                </c:pt>
                <c:pt idx="274">
                  <c:v>44.721281663391778</c:v>
                </c:pt>
                <c:pt idx="275">
                  <c:v>39.175984869526403</c:v>
                </c:pt>
                <c:pt idx="276">
                  <c:v>39.175984869526403</c:v>
                </c:pt>
                <c:pt idx="277">
                  <c:v>39.175984869526403</c:v>
                </c:pt>
                <c:pt idx="278">
                  <c:v>39.175984869526403</c:v>
                </c:pt>
                <c:pt idx="279">
                  <c:v>39.175984869526403</c:v>
                </c:pt>
                <c:pt idx="280">
                  <c:v>39.175984869526403</c:v>
                </c:pt>
                <c:pt idx="281">
                  <c:v>39.175984869526403</c:v>
                </c:pt>
                <c:pt idx="282">
                  <c:v>39.175984869526403</c:v>
                </c:pt>
                <c:pt idx="283">
                  <c:v>39.175984869526403</c:v>
                </c:pt>
                <c:pt idx="284">
                  <c:v>39.175984869526403</c:v>
                </c:pt>
                <c:pt idx="285">
                  <c:v>39.175984869526403</c:v>
                </c:pt>
                <c:pt idx="286">
                  <c:v>39.175984869526403</c:v>
                </c:pt>
                <c:pt idx="287">
                  <c:v>39.175984869526403</c:v>
                </c:pt>
                <c:pt idx="288">
                  <c:v>39.175984869526403</c:v>
                </c:pt>
                <c:pt idx="289">
                  <c:v>39.175984869526403</c:v>
                </c:pt>
                <c:pt idx="290">
                  <c:v>39.175984869526403</c:v>
                </c:pt>
                <c:pt idx="291">
                  <c:v>39.175984869526403</c:v>
                </c:pt>
                <c:pt idx="292">
                  <c:v>39.175984869526403</c:v>
                </c:pt>
                <c:pt idx="293">
                  <c:v>39.175984869526403</c:v>
                </c:pt>
                <c:pt idx="294">
                  <c:v>39.175984869526403</c:v>
                </c:pt>
                <c:pt idx="295">
                  <c:v>39.175984869526403</c:v>
                </c:pt>
                <c:pt idx="296">
                  <c:v>39.175984869526403</c:v>
                </c:pt>
                <c:pt idx="297">
                  <c:v>39.175984869526403</c:v>
                </c:pt>
                <c:pt idx="298">
                  <c:v>39.175984869526403</c:v>
                </c:pt>
                <c:pt idx="299">
                  <c:v>39.175984869526403</c:v>
                </c:pt>
                <c:pt idx="300">
                  <c:v>39.175984869526403</c:v>
                </c:pt>
                <c:pt idx="301">
                  <c:v>39.175984869526403</c:v>
                </c:pt>
                <c:pt idx="302">
                  <c:v>39.175984869526403</c:v>
                </c:pt>
                <c:pt idx="303">
                  <c:v>39.175984869526403</c:v>
                </c:pt>
                <c:pt idx="304">
                  <c:v>39.175984869526403</c:v>
                </c:pt>
                <c:pt idx="305">
                  <c:v>39.175984869526403</c:v>
                </c:pt>
                <c:pt idx="306">
                  <c:v>57.054845212154397</c:v>
                </c:pt>
                <c:pt idx="307">
                  <c:v>57.054845212154397</c:v>
                </c:pt>
                <c:pt idx="308">
                  <c:v>57.054845212154397</c:v>
                </c:pt>
                <c:pt idx="309">
                  <c:v>57.054845212154397</c:v>
                </c:pt>
                <c:pt idx="310">
                  <c:v>57.054845212154397</c:v>
                </c:pt>
                <c:pt idx="311">
                  <c:v>57.054845212154397</c:v>
                </c:pt>
                <c:pt idx="312">
                  <c:v>57.054845212154397</c:v>
                </c:pt>
                <c:pt idx="313">
                  <c:v>57.054845212154397</c:v>
                </c:pt>
                <c:pt idx="314">
                  <c:v>57.054845212154397</c:v>
                </c:pt>
                <c:pt idx="315">
                  <c:v>57.054845212154397</c:v>
                </c:pt>
                <c:pt idx="316">
                  <c:v>57.054845212154397</c:v>
                </c:pt>
                <c:pt idx="317">
                  <c:v>57.054845212154397</c:v>
                </c:pt>
                <c:pt idx="318">
                  <c:v>57.054845212154397</c:v>
                </c:pt>
                <c:pt idx="319">
                  <c:v>57.054845212154397</c:v>
                </c:pt>
                <c:pt idx="320">
                  <c:v>57.054845212154397</c:v>
                </c:pt>
                <c:pt idx="321">
                  <c:v>57.054845212154397</c:v>
                </c:pt>
                <c:pt idx="322">
                  <c:v>57.054845212154397</c:v>
                </c:pt>
                <c:pt idx="323">
                  <c:v>57.054845212154397</c:v>
                </c:pt>
                <c:pt idx="324">
                  <c:v>57.054845212154397</c:v>
                </c:pt>
                <c:pt idx="325">
                  <c:v>57.054845212154397</c:v>
                </c:pt>
                <c:pt idx="326">
                  <c:v>57.054845212154397</c:v>
                </c:pt>
                <c:pt idx="327">
                  <c:v>57.054845212154397</c:v>
                </c:pt>
                <c:pt idx="328">
                  <c:v>57.054845212154397</c:v>
                </c:pt>
                <c:pt idx="329">
                  <c:v>57.054845212154397</c:v>
                </c:pt>
                <c:pt idx="330">
                  <c:v>57.054845212154397</c:v>
                </c:pt>
                <c:pt idx="331">
                  <c:v>57.054845212154397</c:v>
                </c:pt>
                <c:pt idx="332">
                  <c:v>57.054845212154397</c:v>
                </c:pt>
                <c:pt idx="333">
                  <c:v>57.054845212154397</c:v>
                </c:pt>
                <c:pt idx="334">
                  <c:v>57.054845212154397</c:v>
                </c:pt>
                <c:pt idx="335">
                  <c:v>57.054845212154397</c:v>
                </c:pt>
                <c:pt idx="336">
                  <c:v>57.054845212154397</c:v>
                </c:pt>
                <c:pt idx="337">
                  <c:v>72.463822931430329</c:v>
                </c:pt>
                <c:pt idx="338">
                  <c:v>72.463822931430329</c:v>
                </c:pt>
                <c:pt idx="339">
                  <c:v>72.463822931430329</c:v>
                </c:pt>
                <c:pt idx="340">
                  <c:v>72.463822931430329</c:v>
                </c:pt>
                <c:pt idx="341">
                  <c:v>72.463822931430329</c:v>
                </c:pt>
                <c:pt idx="342">
                  <c:v>72.463822931430329</c:v>
                </c:pt>
                <c:pt idx="343">
                  <c:v>72.463822931430329</c:v>
                </c:pt>
                <c:pt idx="344">
                  <c:v>72.463822931430329</c:v>
                </c:pt>
                <c:pt idx="345">
                  <c:v>72.463822931430329</c:v>
                </c:pt>
                <c:pt idx="346">
                  <c:v>72.463822931430329</c:v>
                </c:pt>
                <c:pt idx="347">
                  <c:v>72.463822931430329</c:v>
                </c:pt>
                <c:pt idx="348">
                  <c:v>72.463822931430329</c:v>
                </c:pt>
                <c:pt idx="349">
                  <c:v>72.463822931430329</c:v>
                </c:pt>
                <c:pt idx="350">
                  <c:v>72.463822931430329</c:v>
                </c:pt>
                <c:pt idx="351">
                  <c:v>72.463822931430329</c:v>
                </c:pt>
                <c:pt idx="352">
                  <c:v>72.463822931430329</c:v>
                </c:pt>
                <c:pt idx="353">
                  <c:v>72.463822931430329</c:v>
                </c:pt>
                <c:pt idx="354">
                  <c:v>72.463822931430329</c:v>
                </c:pt>
                <c:pt idx="355">
                  <c:v>72.463822931430329</c:v>
                </c:pt>
                <c:pt idx="356">
                  <c:v>72.463822931430329</c:v>
                </c:pt>
                <c:pt idx="357">
                  <c:v>72.463822931430329</c:v>
                </c:pt>
                <c:pt idx="358">
                  <c:v>72.463822931430329</c:v>
                </c:pt>
                <c:pt idx="359">
                  <c:v>72.463822931430329</c:v>
                </c:pt>
                <c:pt idx="360">
                  <c:v>72.463822931430329</c:v>
                </c:pt>
                <c:pt idx="361">
                  <c:v>72.463822931430329</c:v>
                </c:pt>
                <c:pt idx="362">
                  <c:v>72.463822931430329</c:v>
                </c:pt>
                <c:pt idx="363">
                  <c:v>72.463822931430329</c:v>
                </c:pt>
                <c:pt idx="364">
                  <c:v>72.463822931430329</c:v>
                </c:pt>
                <c:pt idx="365">
                  <c:v>85.773286821926959</c:v>
                </c:pt>
                <c:pt idx="366">
                  <c:v>85.773286821926959</c:v>
                </c:pt>
                <c:pt idx="367">
                  <c:v>85.773286821926959</c:v>
                </c:pt>
                <c:pt idx="368">
                  <c:v>85.773286821926959</c:v>
                </c:pt>
                <c:pt idx="369">
                  <c:v>85.773286821926959</c:v>
                </c:pt>
                <c:pt idx="370">
                  <c:v>85.773286821926959</c:v>
                </c:pt>
                <c:pt idx="371">
                  <c:v>85.773286821926959</c:v>
                </c:pt>
                <c:pt idx="372">
                  <c:v>85.773286821926959</c:v>
                </c:pt>
                <c:pt idx="373">
                  <c:v>85.773286821926959</c:v>
                </c:pt>
                <c:pt idx="374">
                  <c:v>85.773286821926959</c:v>
                </c:pt>
                <c:pt idx="375">
                  <c:v>85.773286821926959</c:v>
                </c:pt>
                <c:pt idx="376">
                  <c:v>85.773286821926959</c:v>
                </c:pt>
                <c:pt idx="377">
                  <c:v>85.773286821926959</c:v>
                </c:pt>
                <c:pt idx="378">
                  <c:v>85.773286821926959</c:v>
                </c:pt>
                <c:pt idx="379">
                  <c:v>85.773286821926959</c:v>
                </c:pt>
                <c:pt idx="380">
                  <c:v>85.773286821926959</c:v>
                </c:pt>
                <c:pt idx="381">
                  <c:v>85.773286821926959</c:v>
                </c:pt>
                <c:pt idx="382">
                  <c:v>85.773286821926959</c:v>
                </c:pt>
                <c:pt idx="383">
                  <c:v>85.773286821926959</c:v>
                </c:pt>
                <c:pt idx="384">
                  <c:v>85.773286821926959</c:v>
                </c:pt>
                <c:pt idx="385">
                  <c:v>85.773286821926959</c:v>
                </c:pt>
                <c:pt idx="386">
                  <c:v>85.773286821926959</c:v>
                </c:pt>
                <c:pt idx="387">
                  <c:v>85.773286821926959</c:v>
                </c:pt>
                <c:pt idx="388">
                  <c:v>85.773286821926959</c:v>
                </c:pt>
                <c:pt idx="389">
                  <c:v>85.773286821926959</c:v>
                </c:pt>
                <c:pt idx="390">
                  <c:v>85.773286821926959</c:v>
                </c:pt>
                <c:pt idx="391">
                  <c:v>85.773286821926959</c:v>
                </c:pt>
                <c:pt idx="392">
                  <c:v>85.773286821926959</c:v>
                </c:pt>
                <c:pt idx="393">
                  <c:v>85.773286821926959</c:v>
                </c:pt>
                <c:pt idx="394">
                  <c:v>85.773286821926959</c:v>
                </c:pt>
                <c:pt idx="395">
                  <c:v>85.773286821926959</c:v>
                </c:pt>
                <c:pt idx="396">
                  <c:v>98.829108483893535</c:v>
                </c:pt>
                <c:pt idx="397">
                  <c:v>98.829108483893535</c:v>
                </c:pt>
                <c:pt idx="398">
                  <c:v>98.829108483893535</c:v>
                </c:pt>
                <c:pt idx="399">
                  <c:v>98.829108483893535</c:v>
                </c:pt>
                <c:pt idx="400">
                  <c:v>98.829108483893535</c:v>
                </c:pt>
                <c:pt idx="401">
                  <c:v>98.829108483893535</c:v>
                </c:pt>
                <c:pt idx="402">
                  <c:v>98.829108483893535</c:v>
                </c:pt>
                <c:pt idx="403">
                  <c:v>98.829108483893535</c:v>
                </c:pt>
                <c:pt idx="404">
                  <c:v>98.829108483893535</c:v>
                </c:pt>
                <c:pt idx="405">
                  <c:v>98.829108483893535</c:v>
                </c:pt>
                <c:pt idx="406">
                  <c:v>98.829108483893535</c:v>
                </c:pt>
                <c:pt idx="407">
                  <c:v>98.829108483893535</c:v>
                </c:pt>
                <c:pt idx="408">
                  <c:v>98.829108483893535</c:v>
                </c:pt>
                <c:pt idx="409">
                  <c:v>98.829108483893535</c:v>
                </c:pt>
                <c:pt idx="410">
                  <c:v>98.829108483893535</c:v>
                </c:pt>
                <c:pt idx="411">
                  <c:v>98.829108483893535</c:v>
                </c:pt>
                <c:pt idx="412">
                  <c:v>98.829108483893535</c:v>
                </c:pt>
                <c:pt idx="413">
                  <c:v>98.829108483893535</c:v>
                </c:pt>
                <c:pt idx="414">
                  <c:v>98.829108483893535</c:v>
                </c:pt>
                <c:pt idx="415">
                  <c:v>98.829108483893535</c:v>
                </c:pt>
                <c:pt idx="416">
                  <c:v>98.829108483893535</c:v>
                </c:pt>
                <c:pt idx="417">
                  <c:v>98.829108483893535</c:v>
                </c:pt>
                <c:pt idx="418">
                  <c:v>98.829108483893535</c:v>
                </c:pt>
                <c:pt idx="419">
                  <c:v>98.829108483893535</c:v>
                </c:pt>
                <c:pt idx="420">
                  <c:v>98.829108483893535</c:v>
                </c:pt>
                <c:pt idx="421">
                  <c:v>98.829108483893535</c:v>
                </c:pt>
                <c:pt idx="422">
                  <c:v>98.829108483893535</c:v>
                </c:pt>
                <c:pt idx="423">
                  <c:v>98.829108483893535</c:v>
                </c:pt>
                <c:pt idx="424">
                  <c:v>98.829108483893535</c:v>
                </c:pt>
                <c:pt idx="425">
                  <c:v>98.829108483893535</c:v>
                </c:pt>
                <c:pt idx="426">
                  <c:v>116.21973299154708</c:v>
                </c:pt>
                <c:pt idx="427">
                  <c:v>116.21973299154708</c:v>
                </c:pt>
                <c:pt idx="428">
                  <c:v>116.21973299154708</c:v>
                </c:pt>
                <c:pt idx="429">
                  <c:v>116.21973299154708</c:v>
                </c:pt>
                <c:pt idx="430">
                  <c:v>116.21973299154708</c:v>
                </c:pt>
                <c:pt idx="431">
                  <c:v>116.21973299154708</c:v>
                </c:pt>
                <c:pt idx="432">
                  <c:v>116.21973299154708</c:v>
                </c:pt>
                <c:pt idx="433">
                  <c:v>116.21973299154708</c:v>
                </c:pt>
                <c:pt idx="434">
                  <c:v>116.21973299154708</c:v>
                </c:pt>
                <c:pt idx="435">
                  <c:v>116.21973299154708</c:v>
                </c:pt>
                <c:pt idx="436">
                  <c:v>116.21973299154708</c:v>
                </c:pt>
                <c:pt idx="437">
                  <c:v>116.21973299154708</c:v>
                </c:pt>
                <c:pt idx="438">
                  <c:v>116.21973299154708</c:v>
                </c:pt>
                <c:pt idx="439">
                  <c:v>116.21973299154708</c:v>
                </c:pt>
                <c:pt idx="440">
                  <c:v>116.21973299154708</c:v>
                </c:pt>
                <c:pt idx="441">
                  <c:v>116.21973299154708</c:v>
                </c:pt>
                <c:pt idx="442">
                  <c:v>116.21973299154708</c:v>
                </c:pt>
                <c:pt idx="443">
                  <c:v>116.21973299154708</c:v>
                </c:pt>
                <c:pt idx="444">
                  <c:v>116.21973299154708</c:v>
                </c:pt>
                <c:pt idx="445">
                  <c:v>116.21973299154708</c:v>
                </c:pt>
                <c:pt idx="446">
                  <c:v>116.21973299154708</c:v>
                </c:pt>
                <c:pt idx="447">
                  <c:v>116.21973299154708</c:v>
                </c:pt>
                <c:pt idx="448">
                  <c:v>116.21973299154708</c:v>
                </c:pt>
                <c:pt idx="449">
                  <c:v>116.21973299154708</c:v>
                </c:pt>
                <c:pt idx="450">
                  <c:v>116.21973299154708</c:v>
                </c:pt>
                <c:pt idx="451">
                  <c:v>116.21973299154708</c:v>
                </c:pt>
                <c:pt idx="452">
                  <c:v>116.21973299154708</c:v>
                </c:pt>
                <c:pt idx="453">
                  <c:v>116.21973299154708</c:v>
                </c:pt>
                <c:pt idx="454">
                  <c:v>116.21973299154708</c:v>
                </c:pt>
                <c:pt idx="455">
                  <c:v>116.21973299154708</c:v>
                </c:pt>
                <c:pt idx="456">
                  <c:v>116.21973299154708</c:v>
                </c:pt>
                <c:pt idx="457">
                  <c:v>121.20108814209858</c:v>
                </c:pt>
                <c:pt idx="458">
                  <c:v>121.20108814209858</c:v>
                </c:pt>
                <c:pt idx="459">
                  <c:v>121.20108814209858</c:v>
                </c:pt>
                <c:pt idx="460">
                  <c:v>121.20108814209858</c:v>
                </c:pt>
                <c:pt idx="461">
                  <c:v>121.20108814209858</c:v>
                </c:pt>
                <c:pt idx="462">
                  <c:v>121.20108814209858</c:v>
                </c:pt>
                <c:pt idx="463">
                  <c:v>121.20108814209858</c:v>
                </c:pt>
                <c:pt idx="464">
                  <c:v>121.20108814209858</c:v>
                </c:pt>
                <c:pt idx="465">
                  <c:v>121.20108814209858</c:v>
                </c:pt>
                <c:pt idx="466">
                  <c:v>121.20108814209858</c:v>
                </c:pt>
                <c:pt idx="467">
                  <c:v>121.20108814209858</c:v>
                </c:pt>
                <c:pt idx="468">
                  <c:v>121.20108814209858</c:v>
                </c:pt>
                <c:pt idx="469">
                  <c:v>121.20108814209858</c:v>
                </c:pt>
                <c:pt idx="470">
                  <c:v>121.20108814209858</c:v>
                </c:pt>
                <c:pt idx="471">
                  <c:v>121.20108814209858</c:v>
                </c:pt>
                <c:pt idx="472">
                  <c:v>121.20108814209858</c:v>
                </c:pt>
                <c:pt idx="473">
                  <c:v>121.20108814209858</c:v>
                </c:pt>
                <c:pt idx="474">
                  <c:v>121.20108814209858</c:v>
                </c:pt>
                <c:pt idx="475">
                  <c:v>121.20108814209858</c:v>
                </c:pt>
                <c:pt idx="476">
                  <c:v>121.20108814209858</c:v>
                </c:pt>
                <c:pt idx="477">
                  <c:v>121.20108814209858</c:v>
                </c:pt>
                <c:pt idx="478">
                  <c:v>121.20108814209858</c:v>
                </c:pt>
                <c:pt idx="479">
                  <c:v>121.20108814209858</c:v>
                </c:pt>
                <c:pt idx="480">
                  <c:v>121.20108814209858</c:v>
                </c:pt>
                <c:pt idx="481">
                  <c:v>121.20108814209858</c:v>
                </c:pt>
                <c:pt idx="482">
                  <c:v>121.20108814209858</c:v>
                </c:pt>
                <c:pt idx="483">
                  <c:v>121.20108814209858</c:v>
                </c:pt>
                <c:pt idx="484">
                  <c:v>121.20108814209858</c:v>
                </c:pt>
                <c:pt idx="485">
                  <c:v>121.20108814209858</c:v>
                </c:pt>
                <c:pt idx="486">
                  <c:v>121.20108814209858</c:v>
                </c:pt>
                <c:pt idx="487">
                  <c:v>122.82651299125682</c:v>
                </c:pt>
                <c:pt idx="488">
                  <c:v>122.82651299125682</c:v>
                </c:pt>
                <c:pt idx="489">
                  <c:v>122.82651299125682</c:v>
                </c:pt>
                <c:pt idx="490">
                  <c:v>122.82651299125682</c:v>
                </c:pt>
                <c:pt idx="491">
                  <c:v>122.82651299125682</c:v>
                </c:pt>
                <c:pt idx="492">
                  <c:v>122.82651299125682</c:v>
                </c:pt>
                <c:pt idx="493">
                  <c:v>122.82651299125682</c:v>
                </c:pt>
                <c:pt idx="494">
                  <c:v>122.82651299125682</c:v>
                </c:pt>
                <c:pt idx="495">
                  <c:v>122.82651299125682</c:v>
                </c:pt>
                <c:pt idx="496">
                  <c:v>122.82651299125682</c:v>
                </c:pt>
                <c:pt idx="497">
                  <c:v>122.82651299125682</c:v>
                </c:pt>
                <c:pt idx="498">
                  <c:v>122.82651299125682</c:v>
                </c:pt>
                <c:pt idx="499">
                  <c:v>122.82651299125682</c:v>
                </c:pt>
                <c:pt idx="500">
                  <c:v>122.82651299125682</c:v>
                </c:pt>
                <c:pt idx="501">
                  <c:v>122.82651299125682</c:v>
                </c:pt>
                <c:pt idx="502">
                  <c:v>122.82651299125682</c:v>
                </c:pt>
                <c:pt idx="503">
                  <c:v>122.82651299125682</c:v>
                </c:pt>
                <c:pt idx="504">
                  <c:v>122.82651299125682</c:v>
                </c:pt>
                <c:pt idx="505">
                  <c:v>122.82651299125682</c:v>
                </c:pt>
                <c:pt idx="506">
                  <c:v>122.82651299125682</c:v>
                </c:pt>
                <c:pt idx="507">
                  <c:v>122.82651299125682</c:v>
                </c:pt>
                <c:pt idx="508">
                  <c:v>122.82651299125682</c:v>
                </c:pt>
                <c:pt idx="509">
                  <c:v>122.82651299125682</c:v>
                </c:pt>
                <c:pt idx="510">
                  <c:v>122.82651299125682</c:v>
                </c:pt>
                <c:pt idx="511">
                  <c:v>122.82651299125682</c:v>
                </c:pt>
                <c:pt idx="512">
                  <c:v>122.82651299125682</c:v>
                </c:pt>
                <c:pt idx="513">
                  <c:v>122.82651299125682</c:v>
                </c:pt>
                <c:pt idx="514">
                  <c:v>122.82651299125682</c:v>
                </c:pt>
                <c:pt idx="515">
                  <c:v>122.82651299125682</c:v>
                </c:pt>
                <c:pt idx="516">
                  <c:v>122.82651299125682</c:v>
                </c:pt>
                <c:pt idx="517">
                  <c:v>122.82651299125682</c:v>
                </c:pt>
                <c:pt idx="518">
                  <c:v>114.19078946559939</c:v>
                </c:pt>
                <c:pt idx="519">
                  <c:v>114.19078946559939</c:v>
                </c:pt>
                <c:pt idx="520">
                  <c:v>114.19078946559939</c:v>
                </c:pt>
                <c:pt idx="521">
                  <c:v>114.19078946559939</c:v>
                </c:pt>
                <c:pt idx="522">
                  <c:v>114.19078946559939</c:v>
                </c:pt>
                <c:pt idx="523">
                  <c:v>114.19078946559939</c:v>
                </c:pt>
                <c:pt idx="524">
                  <c:v>114.19078946559939</c:v>
                </c:pt>
                <c:pt idx="525">
                  <c:v>114.19078946559939</c:v>
                </c:pt>
                <c:pt idx="526">
                  <c:v>114.19078946559939</c:v>
                </c:pt>
                <c:pt idx="527">
                  <c:v>114.19078946559939</c:v>
                </c:pt>
                <c:pt idx="528">
                  <c:v>114.19078946559939</c:v>
                </c:pt>
                <c:pt idx="529">
                  <c:v>114.19078946559939</c:v>
                </c:pt>
                <c:pt idx="530">
                  <c:v>114.19078946559939</c:v>
                </c:pt>
                <c:pt idx="531">
                  <c:v>114.19078946559939</c:v>
                </c:pt>
                <c:pt idx="532">
                  <c:v>114.19078946559939</c:v>
                </c:pt>
                <c:pt idx="533">
                  <c:v>114.19078946559939</c:v>
                </c:pt>
                <c:pt idx="534">
                  <c:v>114.19078946559939</c:v>
                </c:pt>
                <c:pt idx="535">
                  <c:v>114.19078946559939</c:v>
                </c:pt>
                <c:pt idx="536">
                  <c:v>114.19078946559939</c:v>
                </c:pt>
                <c:pt idx="537">
                  <c:v>114.19078946559939</c:v>
                </c:pt>
                <c:pt idx="538">
                  <c:v>114.19078946559939</c:v>
                </c:pt>
                <c:pt idx="539">
                  <c:v>114.19078946559939</c:v>
                </c:pt>
                <c:pt idx="540">
                  <c:v>114.19078946559939</c:v>
                </c:pt>
                <c:pt idx="541">
                  <c:v>114.19078946559939</c:v>
                </c:pt>
                <c:pt idx="542">
                  <c:v>114.19078946559939</c:v>
                </c:pt>
                <c:pt idx="543">
                  <c:v>114.19078946559939</c:v>
                </c:pt>
                <c:pt idx="544">
                  <c:v>114.19078946559939</c:v>
                </c:pt>
                <c:pt idx="545">
                  <c:v>114.19078946559939</c:v>
                </c:pt>
                <c:pt idx="546">
                  <c:v>114.19078946559939</c:v>
                </c:pt>
                <c:pt idx="547">
                  <c:v>114.19078946559939</c:v>
                </c:pt>
                <c:pt idx="548">
                  <c:v>114.19078946559939</c:v>
                </c:pt>
                <c:pt idx="549">
                  <c:v>98.140348626727686</c:v>
                </c:pt>
                <c:pt idx="550">
                  <c:v>98.140348626727686</c:v>
                </c:pt>
                <c:pt idx="551">
                  <c:v>98.140348626727686</c:v>
                </c:pt>
                <c:pt idx="552">
                  <c:v>98.140348626727686</c:v>
                </c:pt>
                <c:pt idx="553">
                  <c:v>98.140348626727686</c:v>
                </c:pt>
                <c:pt idx="554">
                  <c:v>98.140348626727686</c:v>
                </c:pt>
                <c:pt idx="555">
                  <c:v>98.140348626727686</c:v>
                </c:pt>
                <c:pt idx="556">
                  <c:v>98.140348626727686</c:v>
                </c:pt>
                <c:pt idx="557">
                  <c:v>98.140348626727686</c:v>
                </c:pt>
                <c:pt idx="558">
                  <c:v>98.140348626727686</c:v>
                </c:pt>
                <c:pt idx="559">
                  <c:v>98.140348626727686</c:v>
                </c:pt>
                <c:pt idx="560">
                  <c:v>98.140348626727686</c:v>
                </c:pt>
                <c:pt idx="561">
                  <c:v>98.140348626727686</c:v>
                </c:pt>
                <c:pt idx="562">
                  <c:v>98.140348626727686</c:v>
                </c:pt>
                <c:pt idx="563">
                  <c:v>98.140348626727686</c:v>
                </c:pt>
                <c:pt idx="564">
                  <c:v>98.140348626727686</c:v>
                </c:pt>
                <c:pt idx="565">
                  <c:v>98.140348626727686</c:v>
                </c:pt>
                <c:pt idx="566">
                  <c:v>98.140348626727686</c:v>
                </c:pt>
                <c:pt idx="567">
                  <c:v>98.140348626727686</c:v>
                </c:pt>
                <c:pt idx="568">
                  <c:v>98.140348626727686</c:v>
                </c:pt>
                <c:pt idx="569">
                  <c:v>98.140348626727686</c:v>
                </c:pt>
                <c:pt idx="570">
                  <c:v>98.140348626727686</c:v>
                </c:pt>
                <c:pt idx="571">
                  <c:v>98.140348626727686</c:v>
                </c:pt>
                <c:pt idx="572">
                  <c:v>98.140348626727686</c:v>
                </c:pt>
                <c:pt idx="573">
                  <c:v>98.140348626727686</c:v>
                </c:pt>
                <c:pt idx="574">
                  <c:v>98.140348626727686</c:v>
                </c:pt>
                <c:pt idx="575">
                  <c:v>98.140348626727686</c:v>
                </c:pt>
                <c:pt idx="576">
                  <c:v>98.140348626727686</c:v>
                </c:pt>
                <c:pt idx="577">
                  <c:v>98.140348626727686</c:v>
                </c:pt>
                <c:pt idx="578">
                  <c:v>98.140348626727686</c:v>
                </c:pt>
                <c:pt idx="579">
                  <c:v>78.374494078493669</c:v>
                </c:pt>
                <c:pt idx="580">
                  <c:v>78.374494078493669</c:v>
                </c:pt>
                <c:pt idx="581">
                  <c:v>78.374494078493669</c:v>
                </c:pt>
                <c:pt idx="582">
                  <c:v>78.374494078493669</c:v>
                </c:pt>
                <c:pt idx="583">
                  <c:v>78.374494078493669</c:v>
                </c:pt>
                <c:pt idx="584">
                  <c:v>78.374494078493669</c:v>
                </c:pt>
                <c:pt idx="585">
                  <c:v>78.374494078493669</c:v>
                </c:pt>
                <c:pt idx="586">
                  <c:v>78.374494078493669</c:v>
                </c:pt>
                <c:pt idx="587">
                  <c:v>78.374494078493669</c:v>
                </c:pt>
                <c:pt idx="588">
                  <c:v>78.374494078493669</c:v>
                </c:pt>
                <c:pt idx="589">
                  <c:v>78.374494078493669</c:v>
                </c:pt>
                <c:pt idx="590">
                  <c:v>78.374494078493669</c:v>
                </c:pt>
                <c:pt idx="591">
                  <c:v>78.374494078493669</c:v>
                </c:pt>
                <c:pt idx="592">
                  <c:v>78.374494078493669</c:v>
                </c:pt>
                <c:pt idx="593">
                  <c:v>78.374494078493669</c:v>
                </c:pt>
                <c:pt idx="594">
                  <c:v>78.374494078493669</c:v>
                </c:pt>
                <c:pt idx="595">
                  <c:v>78.374494078493669</c:v>
                </c:pt>
                <c:pt idx="596">
                  <c:v>78.374494078493669</c:v>
                </c:pt>
                <c:pt idx="597">
                  <c:v>78.374494078493669</c:v>
                </c:pt>
                <c:pt idx="598">
                  <c:v>78.374494078493669</c:v>
                </c:pt>
                <c:pt idx="599">
                  <c:v>78.374494078493669</c:v>
                </c:pt>
                <c:pt idx="600">
                  <c:v>78.374494078493669</c:v>
                </c:pt>
                <c:pt idx="601">
                  <c:v>78.374494078493669</c:v>
                </c:pt>
                <c:pt idx="602">
                  <c:v>78.374494078493669</c:v>
                </c:pt>
                <c:pt idx="603">
                  <c:v>78.374494078493669</c:v>
                </c:pt>
                <c:pt idx="604">
                  <c:v>78.374494078493669</c:v>
                </c:pt>
                <c:pt idx="605">
                  <c:v>78.374494078493669</c:v>
                </c:pt>
                <c:pt idx="606">
                  <c:v>78.374494078493669</c:v>
                </c:pt>
                <c:pt idx="607">
                  <c:v>78.374494078493669</c:v>
                </c:pt>
                <c:pt idx="608">
                  <c:v>78.374494078493669</c:v>
                </c:pt>
                <c:pt idx="609">
                  <c:v>78.374494078493669</c:v>
                </c:pt>
                <c:pt idx="610">
                  <c:v>58.21954484549682</c:v>
                </c:pt>
                <c:pt idx="611">
                  <c:v>58.21954484549682</c:v>
                </c:pt>
                <c:pt idx="612">
                  <c:v>58.21954484549682</c:v>
                </c:pt>
                <c:pt idx="613">
                  <c:v>58.21954484549682</c:v>
                </c:pt>
                <c:pt idx="614">
                  <c:v>58.21954484549682</c:v>
                </c:pt>
                <c:pt idx="615">
                  <c:v>58.21954484549682</c:v>
                </c:pt>
                <c:pt idx="616">
                  <c:v>58.21954484549682</c:v>
                </c:pt>
                <c:pt idx="617">
                  <c:v>58.21954484549682</c:v>
                </c:pt>
                <c:pt idx="618">
                  <c:v>58.21954484549682</c:v>
                </c:pt>
                <c:pt idx="619">
                  <c:v>58.21954484549682</c:v>
                </c:pt>
                <c:pt idx="620">
                  <c:v>58.21954484549682</c:v>
                </c:pt>
                <c:pt idx="621">
                  <c:v>58.21954484549682</c:v>
                </c:pt>
                <c:pt idx="622">
                  <c:v>58.21954484549682</c:v>
                </c:pt>
                <c:pt idx="623">
                  <c:v>58.21954484549682</c:v>
                </c:pt>
                <c:pt idx="624">
                  <c:v>58.21954484549682</c:v>
                </c:pt>
                <c:pt idx="625">
                  <c:v>58.21954484549682</c:v>
                </c:pt>
                <c:pt idx="626">
                  <c:v>58.21954484549682</c:v>
                </c:pt>
                <c:pt idx="627">
                  <c:v>58.21954484549682</c:v>
                </c:pt>
                <c:pt idx="628">
                  <c:v>58.21954484549682</c:v>
                </c:pt>
                <c:pt idx="629">
                  <c:v>58.21954484549682</c:v>
                </c:pt>
                <c:pt idx="630">
                  <c:v>58.21954484549682</c:v>
                </c:pt>
                <c:pt idx="631">
                  <c:v>58.21954484549682</c:v>
                </c:pt>
                <c:pt idx="632">
                  <c:v>58.21954484549682</c:v>
                </c:pt>
                <c:pt idx="633">
                  <c:v>58.21954484549682</c:v>
                </c:pt>
                <c:pt idx="634">
                  <c:v>58.21954484549682</c:v>
                </c:pt>
                <c:pt idx="635">
                  <c:v>58.21954484549682</c:v>
                </c:pt>
                <c:pt idx="636">
                  <c:v>58.21954484549682</c:v>
                </c:pt>
                <c:pt idx="637">
                  <c:v>58.21954484549682</c:v>
                </c:pt>
                <c:pt idx="638">
                  <c:v>58.21954484549682</c:v>
                </c:pt>
                <c:pt idx="639">
                  <c:v>58.21954484549682</c:v>
                </c:pt>
                <c:pt idx="640">
                  <c:v>49.218917743854135</c:v>
                </c:pt>
                <c:pt idx="641">
                  <c:v>49.218917743854135</c:v>
                </c:pt>
                <c:pt idx="642">
                  <c:v>49.218917743854135</c:v>
                </c:pt>
                <c:pt idx="643">
                  <c:v>49.218917743854135</c:v>
                </c:pt>
                <c:pt idx="644">
                  <c:v>49.218917743854135</c:v>
                </c:pt>
                <c:pt idx="645">
                  <c:v>49.218917743854135</c:v>
                </c:pt>
                <c:pt idx="646">
                  <c:v>49.218917743854135</c:v>
                </c:pt>
                <c:pt idx="647">
                  <c:v>49.218917743854135</c:v>
                </c:pt>
                <c:pt idx="648">
                  <c:v>49.218917743854135</c:v>
                </c:pt>
                <c:pt idx="649">
                  <c:v>49.218917743854135</c:v>
                </c:pt>
                <c:pt idx="650">
                  <c:v>49.218917743854135</c:v>
                </c:pt>
                <c:pt idx="651">
                  <c:v>49.218917743854135</c:v>
                </c:pt>
                <c:pt idx="652">
                  <c:v>49.218917743854135</c:v>
                </c:pt>
                <c:pt idx="653">
                  <c:v>49.218917743854135</c:v>
                </c:pt>
                <c:pt idx="654">
                  <c:v>49.218917743854135</c:v>
                </c:pt>
                <c:pt idx="655">
                  <c:v>49.218917743854135</c:v>
                </c:pt>
                <c:pt idx="656">
                  <c:v>49.218917743854135</c:v>
                </c:pt>
                <c:pt idx="657">
                  <c:v>49.218917743854135</c:v>
                </c:pt>
                <c:pt idx="658">
                  <c:v>49.218917743854135</c:v>
                </c:pt>
                <c:pt idx="659">
                  <c:v>49.218917743854135</c:v>
                </c:pt>
                <c:pt idx="660">
                  <c:v>49.218917743854135</c:v>
                </c:pt>
                <c:pt idx="661">
                  <c:v>49.218917743854135</c:v>
                </c:pt>
                <c:pt idx="662">
                  <c:v>49.218917743854135</c:v>
                </c:pt>
                <c:pt idx="663">
                  <c:v>49.218917743854135</c:v>
                </c:pt>
                <c:pt idx="664">
                  <c:v>49.218917743854135</c:v>
                </c:pt>
                <c:pt idx="665">
                  <c:v>49.218917743854135</c:v>
                </c:pt>
                <c:pt idx="666">
                  <c:v>49.218917743854135</c:v>
                </c:pt>
                <c:pt idx="667">
                  <c:v>49.218917743854135</c:v>
                </c:pt>
                <c:pt idx="668">
                  <c:v>49.218917743854135</c:v>
                </c:pt>
                <c:pt idx="669">
                  <c:v>49.218917743854135</c:v>
                </c:pt>
                <c:pt idx="670">
                  <c:v>49.218917743854135</c:v>
                </c:pt>
                <c:pt idx="671">
                  <c:v>72.57884828325615</c:v>
                </c:pt>
                <c:pt idx="672">
                  <c:v>72.57884828325615</c:v>
                </c:pt>
                <c:pt idx="673">
                  <c:v>72.57884828325615</c:v>
                </c:pt>
                <c:pt idx="674">
                  <c:v>72.57884828325615</c:v>
                </c:pt>
                <c:pt idx="675">
                  <c:v>72.57884828325615</c:v>
                </c:pt>
                <c:pt idx="676">
                  <c:v>72.57884828325615</c:v>
                </c:pt>
                <c:pt idx="677">
                  <c:v>72.57884828325615</c:v>
                </c:pt>
                <c:pt idx="678">
                  <c:v>72.57884828325615</c:v>
                </c:pt>
                <c:pt idx="679">
                  <c:v>72.57884828325615</c:v>
                </c:pt>
                <c:pt idx="680">
                  <c:v>72.57884828325615</c:v>
                </c:pt>
                <c:pt idx="681">
                  <c:v>72.57884828325615</c:v>
                </c:pt>
                <c:pt idx="682">
                  <c:v>72.57884828325615</c:v>
                </c:pt>
                <c:pt idx="683">
                  <c:v>72.57884828325615</c:v>
                </c:pt>
                <c:pt idx="684">
                  <c:v>72.57884828325615</c:v>
                </c:pt>
                <c:pt idx="685">
                  <c:v>72.57884828325615</c:v>
                </c:pt>
                <c:pt idx="686">
                  <c:v>72.57884828325615</c:v>
                </c:pt>
                <c:pt idx="687">
                  <c:v>72.57884828325615</c:v>
                </c:pt>
                <c:pt idx="688">
                  <c:v>72.57884828325615</c:v>
                </c:pt>
                <c:pt idx="689">
                  <c:v>72.57884828325615</c:v>
                </c:pt>
                <c:pt idx="690">
                  <c:v>72.57884828325615</c:v>
                </c:pt>
                <c:pt idx="691">
                  <c:v>72.57884828325615</c:v>
                </c:pt>
                <c:pt idx="692">
                  <c:v>72.57884828325615</c:v>
                </c:pt>
                <c:pt idx="693">
                  <c:v>72.57884828325615</c:v>
                </c:pt>
                <c:pt idx="694">
                  <c:v>72.57884828325615</c:v>
                </c:pt>
                <c:pt idx="695">
                  <c:v>72.57884828325615</c:v>
                </c:pt>
                <c:pt idx="696">
                  <c:v>72.57884828325615</c:v>
                </c:pt>
                <c:pt idx="697">
                  <c:v>72.57884828325615</c:v>
                </c:pt>
                <c:pt idx="698">
                  <c:v>72.57884828325615</c:v>
                </c:pt>
                <c:pt idx="699">
                  <c:v>72.57884828325615</c:v>
                </c:pt>
                <c:pt idx="700">
                  <c:v>72.57884828325615</c:v>
                </c:pt>
                <c:pt idx="701">
                  <c:v>72.57884828325615</c:v>
                </c:pt>
                <c:pt idx="702">
                  <c:v>89.189500892925906</c:v>
                </c:pt>
                <c:pt idx="703">
                  <c:v>89.189500892925906</c:v>
                </c:pt>
                <c:pt idx="704">
                  <c:v>89.189500892925906</c:v>
                </c:pt>
                <c:pt idx="705">
                  <c:v>89.189500892925906</c:v>
                </c:pt>
                <c:pt idx="706">
                  <c:v>89.189500892925906</c:v>
                </c:pt>
                <c:pt idx="707">
                  <c:v>89.189500892925906</c:v>
                </c:pt>
                <c:pt idx="708">
                  <c:v>89.189500892925906</c:v>
                </c:pt>
                <c:pt idx="709">
                  <c:v>89.189500892925906</c:v>
                </c:pt>
                <c:pt idx="710">
                  <c:v>89.189500892925906</c:v>
                </c:pt>
                <c:pt idx="711">
                  <c:v>89.189500892925906</c:v>
                </c:pt>
                <c:pt idx="712">
                  <c:v>89.189500892925906</c:v>
                </c:pt>
                <c:pt idx="713">
                  <c:v>89.189500892925906</c:v>
                </c:pt>
                <c:pt idx="714">
                  <c:v>89.189500892925906</c:v>
                </c:pt>
                <c:pt idx="715">
                  <c:v>89.189500892925906</c:v>
                </c:pt>
                <c:pt idx="716">
                  <c:v>89.189500892925906</c:v>
                </c:pt>
                <c:pt idx="717">
                  <c:v>89.189500892925906</c:v>
                </c:pt>
                <c:pt idx="718">
                  <c:v>89.189500892925906</c:v>
                </c:pt>
                <c:pt idx="719">
                  <c:v>89.189500892925906</c:v>
                </c:pt>
                <c:pt idx="720">
                  <c:v>89.189500892925906</c:v>
                </c:pt>
                <c:pt idx="721">
                  <c:v>89.189500892925906</c:v>
                </c:pt>
                <c:pt idx="722">
                  <c:v>89.189500892925906</c:v>
                </c:pt>
                <c:pt idx="723">
                  <c:v>89.189500892925906</c:v>
                </c:pt>
                <c:pt idx="724">
                  <c:v>89.189500892925906</c:v>
                </c:pt>
                <c:pt idx="725">
                  <c:v>89.189500892925906</c:v>
                </c:pt>
                <c:pt idx="726">
                  <c:v>89.189500892925906</c:v>
                </c:pt>
                <c:pt idx="727">
                  <c:v>89.189500892925906</c:v>
                </c:pt>
                <c:pt idx="728">
                  <c:v>89.189500892925906</c:v>
                </c:pt>
                <c:pt idx="729">
                  <c:v>89.189500892925906</c:v>
                </c:pt>
                <c:pt idx="730">
                  <c:v>89.189500892925906</c:v>
                </c:pt>
                <c:pt idx="731">
                  <c:v>112.44239310485463</c:v>
                </c:pt>
                <c:pt idx="732">
                  <c:v>112.44239310485463</c:v>
                </c:pt>
                <c:pt idx="733">
                  <c:v>112.44239310485463</c:v>
                </c:pt>
                <c:pt idx="734">
                  <c:v>112.44239310485463</c:v>
                </c:pt>
                <c:pt idx="735">
                  <c:v>112.44239310485463</c:v>
                </c:pt>
                <c:pt idx="736">
                  <c:v>112.44239310485463</c:v>
                </c:pt>
                <c:pt idx="737">
                  <c:v>112.44239310485463</c:v>
                </c:pt>
                <c:pt idx="738">
                  <c:v>112.44239310485463</c:v>
                </c:pt>
                <c:pt idx="739">
                  <c:v>112.44239310485463</c:v>
                </c:pt>
                <c:pt idx="740">
                  <c:v>112.44239310485463</c:v>
                </c:pt>
                <c:pt idx="741">
                  <c:v>112.44239310485463</c:v>
                </c:pt>
                <c:pt idx="742">
                  <c:v>112.44239310485463</c:v>
                </c:pt>
                <c:pt idx="743">
                  <c:v>112.44239310485463</c:v>
                </c:pt>
                <c:pt idx="744">
                  <c:v>112.44239310485463</c:v>
                </c:pt>
                <c:pt idx="745">
                  <c:v>112.44239310485463</c:v>
                </c:pt>
                <c:pt idx="746">
                  <c:v>112.44239310485463</c:v>
                </c:pt>
                <c:pt idx="747">
                  <c:v>112.44239310485463</c:v>
                </c:pt>
                <c:pt idx="748">
                  <c:v>112.44239310485463</c:v>
                </c:pt>
                <c:pt idx="749">
                  <c:v>112.44239310485463</c:v>
                </c:pt>
                <c:pt idx="750">
                  <c:v>112.44239310485463</c:v>
                </c:pt>
                <c:pt idx="751">
                  <c:v>112.44239310485463</c:v>
                </c:pt>
                <c:pt idx="752">
                  <c:v>112.44239310485463</c:v>
                </c:pt>
                <c:pt idx="753">
                  <c:v>112.44239310485463</c:v>
                </c:pt>
                <c:pt idx="754">
                  <c:v>112.44239310485463</c:v>
                </c:pt>
                <c:pt idx="755">
                  <c:v>112.44239310485463</c:v>
                </c:pt>
                <c:pt idx="756">
                  <c:v>112.44239310485463</c:v>
                </c:pt>
                <c:pt idx="757">
                  <c:v>112.44239310485463</c:v>
                </c:pt>
                <c:pt idx="758">
                  <c:v>112.44239310485463</c:v>
                </c:pt>
                <c:pt idx="759">
                  <c:v>112.44239310485463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738-44F7-B176-527443CE71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1949840"/>
        <c:axId val="511950232"/>
      </c:areaChart>
      <c:areaChart>
        <c:grouping val="standard"/>
        <c:varyColors val="0"/>
        <c:ser>
          <c:idx val="0"/>
          <c:order val="2"/>
          <c:tx>
            <c:v>DIFERENCIA</c:v>
          </c:tx>
          <c:spPr>
            <a:solidFill>
              <a:srgbClr val="F5F5F5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'Data 5'!$E$2:$E$761</c:f>
              <c:numCache>
                <c:formatCode>#,##0</c:formatCode>
                <c:ptCount val="760"/>
                <c:pt idx="0">
                  <c:v>69.9909135552316</c:v>
                </c:pt>
                <c:pt idx="1">
                  <c:v>69.9909135552316</c:v>
                </c:pt>
                <c:pt idx="2">
                  <c:v>35.527419999999999</c:v>
                </c:pt>
                <c:pt idx="3">
                  <c:v>54.084353999999998</c:v>
                </c:pt>
                <c:pt idx="4">
                  <c:v>56.345740000000006</c:v>
                </c:pt>
                <c:pt idx="5">
                  <c:v>57.480072999999997</c:v>
                </c:pt>
                <c:pt idx="6">
                  <c:v>46.524450999999999</c:v>
                </c:pt>
                <c:pt idx="7">
                  <c:v>51.734838000000003</c:v>
                </c:pt>
                <c:pt idx="8">
                  <c:v>67.636289999999988</c:v>
                </c:pt>
                <c:pt idx="9">
                  <c:v>66.398049</c:v>
                </c:pt>
                <c:pt idx="10">
                  <c:v>24.921495</c:v>
                </c:pt>
                <c:pt idx="11">
                  <c:v>61.151569000000002</c:v>
                </c:pt>
                <c:pt idx="12">
                  <c:v>69.9909135552316</c:v>
                </c:pt>
                <c:pt idx="13">
                  <c:v>18.20748</c:v>
                </c:pt>
                <c:pt idx="14">
                  <c:v>19.085939</c:v>
                </c:pt>
                <c:pt idx="15">
                  <c:v>10.901577</c:v>
                </c:pt>
                <c:pt idx="16">
                  <c:v>23.206485000000001</c:v>
                </c:pt>
                <c:pt idx="17">
                  <c:v>38.313834999999997</c:v>
                </c:pt>
                <c:pt idx="18">
                  <c:v>45.825392999999998</c:v>
                </c:pt>
                <c:pt idx="19">
                  <c:v>43.448278000000002</c:v>
                </c:pt>
                <c:pt idx="20">
                  <c:v>31.658595999999999</c:v>
                </c:pt>
                <c:pt idx="21">
                  <c:v>36.070926</c:v>
                </c:pt>
                <c:pt idx="22">
                  <c:v>27.752193999999999</c:v>
                </c:pt>
                <c:pt idx="23">
                  <c:v>21.947319</c:v>
                </c:pt>
                <c:pt idx="24">
                  <c:v>26.550758000000002</c:v>
                </c:pt>
                <c:pt idx="25">
                  <c:v>42.189472000000002</c:v>
                </c:pt>
                <c:pt idx="26">
                  <c:v>68.668347999999995</c:v>
                </c:pt>
                <c:pt idx="27">
                  <c:v>55.508578</c:v>
                </c:pt>
                <c:pt idx="28">
                  <c:v>40.792732000000001</c:v>
                </c:pt>
                <c:pt idx="29">
                  <c:v>53.814214</c:v>
                </c:pt>
                <c:pt idx="30">
                  <c:v>68.404088000000002</c:v>
                </c:pt>
                <c:pt idx="31">
                  <c:v>75.313562685937214</c:v>
                </c:pt>
                <c:pt idx="32">
                  <c:v>75.313562685937214</c:v>
                </c:pt>
                <c:pt idx="33">
                  <c:v>75.313562685937214</c:v>
                </c:pt>
                <c:pt idx="34">
                  <c:v>55.087336000000001</c:v>
                </c:pt>
                <c:pt idx="35">
                  <c:v>39.091197000000001</c:v>
                </c:pt>
                <c:pt idx="36">
                  <c:v>75.313562685937214</c:v>
                </c:pt>
                <c:pt idx="37">
                  <c:v>75.313562685937214</c:v>
                </c:pt>
                <c:pt idx="38">
                  <c:v>75.313562685937214</c:v>
                </c:pt>
                <c:pt idx="39">
                  <c:v>75.313562685937214</c:v>
                </c:pt>
                <c:pt idx="40">
                  <c:v>75.313562685937214</c:v>
                </c:pt>
                <c:pt idx="41">
                  <c:v>69.466175000000007</c:v>
                </c:pt>
                <c:pt idx="42">
                  <c:v>51.714264999999997</c:v>
                </c:pt>
                <c:pt idx="43">
                  <c:v>75.035882000000001</c:v>
                </c:pt>
                <c:pt idx="44">
                  <c:v>75.313562685937214</c:v>
                </c:pt>
                <c:pt idx="45">
                  <c:v>75.313562685937214</c:v>
                </c:pt>
                <c:pt idx="46">
                  <c:v>75.313562685937214</c:v>
                </c:pt>
                <c:pt idx="47">
                  <c:v>75.313562685937214</c:v>
                </c:pt>
                <c:pt idx="48">
                  <c:v>75.313562685937214</c:v>
                </c:pt>
                <c:pt idx="49">
                  <c:v>69.877051999999992</c:v>
                </c:pt>
                <c:pt idx="50">
                  <c:v>49.988691999999993</c:v>
                </c:pt>
                <c:pt idx="51">
                  <c:v>75.313562685937214</c:v>
                </c:pt>
                <c:pt idx="52">
                  <c:v>37.812838999999997</c:v>
                </c:pt>
                <c:pt idx="53">
                  <c:v>70.766553999999999</c:v>
                </c:pt>
                <c:pt idx="54">
                  <c:v>75.313562685937214</c:v>
                </c:pt>
                <c:pt idx="55">
                  <c:v>75.313562685937214</c:v>
                </c:pt>
                <c:pt idx="56">
                  <c:v>75.313562685937214</c:v>
                </c:pt>
                <c:pt idx="57">
                  <c:v>66.081136999999998</c:v>
                </c:pt>
                <c:pt idx="58">
                  <c:v>67.240855999999994</c:v>
                </c:pt>
                <c:pt idx="59">
                  <c:v>75.313562685937214</c:v>
                </c:pt>
                <c:pt idx="60">
                  <c:v>75.313562685937214</c:v>
                </c:pt>
                <c:pt idx="61">
                  <c:v>88.924363397018055</c:v>
                </c:pt>
                <c:pt idx="62">
                  <c:v>85.090758000000008</c:v>
                </c:pt>
                <c:pt idx="63">
                  <c:v>66.185267999999994</c:v>
                </c:pt>
                <c:pt idx="64">
                  <c:v>72.241969999999995</c:v>
                </c:pt>
                <c:pt idx="65">
                  <c:v>88.924363397018055</c:v>
                </c:pt>
                <c:pt idx="66">
                  <c:v>88.924363397018055</c:v>
                </c:pt>
                <c:pt idx="67">
                  <c:v>88.924363397018055</c:v>
                </c:pt>
                <c:pt idx="68">
                  <c:v>88.924363397018055</c:v>
                </c:pt>
                <c:pt idx="69">
                  <c:v>88.924363397018055</c:v>
                </c:pt>
                <c:pt idx="70">
                  <c:v>88.924363397018055</c:v>
                </c:pt>
                <c:pt idx="71">
                  <c:v>88.924363397018055</c:v>
                </c:pt>
                <c:pt idx="72">
                  <c:v>88.924363397018055</c:v>
                </c:pt>
                <c:pt idx="73">
                  <c:v>88.924363397018055</c:v>
                </c:pt>
                <c:pt idx="74">
                  <c:v>88.924363397018055</c:v>
                </c:pt>
                <c:pt idx="75">
                  <c:v>88.924363397018055</c:v>
                </c:pt>
                <c:pt idx="76">
                  <c:v>88.924363397018055</c:v>
                </c:pt>
                <c:pt idx="77">
                  <c:v>88.924363397018055</c:v>
                </c:pt>
                <c:pt idx="78">
                  <c:v>88.924363397018055</c:v>
                </c:pt>
                <c:pt idx="79">
                  <c:v>88.924363397018055</c:v>
                </c:pt>
                <c:pt idx="80">
                  <c:v>88.924363397018055</c:v>
                </c:pt>
                <c:pt idx="81">
                  <c:v>82.564250999999999</c:v>
                </c:pt>
                <c:pt idx="82">
                  <c:v>80.571767000000008</c:v>
                </c:pt>
                <c:pt idx="83">
                  <c:v>88.924363397018055</c:v>
                </c:pt>
                <c:pt idx="84">
                  <c:v>88.924363397018055</c:v>
                </c:pt>
                <c:pt idx="85">
                  <c:v>88.924363397018055</c:v>
                </c:pt>
                <c:pt idx="86">
                  <c:v>88.924363397018055</c:v>
                </c:pt>
                <c:pt idx="87">
                  <c:v>88.924363397018055</c:v>
                </c:pt>
                <c:pt idx="88">
                  <c:v>88.924363397018055</c:v>
                </c:pt>
                <c:pt idx="89">
                  <c:v>88.924363397018055</c:v>
                </c:pt>
                <c:pt idx="90">
                  <c:v>88.924363397018055</c:v>
                </c:pt>
                <c:pt idx="91">
                  <c:v>88.924363397018055</c:v>
                </c:pt>
                <c:pt idx="92">
                  <c:v>93.325941984536158</c:v>
                </c:pt>
                <c:pt idx="93">
                  <c:v>93.325941984536158</c:v>
                </c:pt>
                <c:pt idx="94">
                  <c:v>93.325941984536158</c:v>
                </c:pt>
                <c:pt idx="95">
                  <c:v>93.325941984536158</c:v>
                </c:pt>
                <c:pt idx="96">
                  <c:v>93.325941984536158</c:v>
                </c:pt>
                <c:pt idx="97">
                  <c:v>93.325941984536158</c:v>
                </c:pt>
                <c:pt idx="98">
                  <c:v>93.325941984536158</c:v>
                </c:pt>
                <c:pt idx="99">
                  <c:v>93.325941984536158</c:v>
                </c:pt>
                <c:pt idx="100">
                  <c:v>93.325941984536158</c:v>
                </c:pt>
                <c:pt idx="101">
                  <c:v>93.325941984536158</c:v>
                </c:pt>
                <c:pt idx="102">
                  <c:v>93.325941984536158</c:v>
                </c:pt>
                <c:pt idx="103">
                  <c:v>93.325941984536158</c:v>
                </c:pt>
                <c:pt idx="104">
                  <c:v>93.325941984536158</c:v>
                </c:pt>
                <c:pt idx="105">
                  <c:v>93.325941984536158</c:v>
                </c:pt>
                <c:pt idx="106">
                  <c:v>84.602587999999997</c:v>
                </c:pt>
                <c:pt idx="107">
                  <c:v>88.870991000000004</c:v>
                </c:pt>
                <c:pt idx="108">
                  <c:v>93.325941984536158</c:v>
                </c:pt>
                <c:pt idx="109">
                  <c:v>93.325941984536158</c:v>
                </c:pt>
                <c:pt idx="110">
                  <c:v>93.325941984536158</c:v>
                </c:pt>
                <c:pt idx="111">
                  <c:v>93.325941984536158</c:v>
                </c:pt>
                <c:pt idx="112">
                  <c:v>90.255692999999994</c:v>
                </c:pt>
                <c:pt idx="113">
                  <c:v>91.027507</c:v>
                </c:pt>
                <c:pt idx="114">
                  <c:v>92.468627999999995</c:v>
                </c:pt>
                <c:pt idx="115">
                  <c:v>93.325941984536158</c:v>
                </c:pt>
                <c:pt idx="116">
                  <c:v>93.325941984536158</c:v>
                </c:pt>
                <c:pt idx="117">
                  <c:v>93.325941984536158</c:v>
                </c:pt>
                <c:pt idx="118">
                  <c:v>93.325941984536158</c:v>
                </c:pt>
                <c:pt idx="119">
                  <c:v>93.325941984536158</c:v>
                </c:pt>
                <c:pt idx="120">
                  <c:v>93.325941984536158</c:v>
                </c:pt>
                <c:pt idx="121">
                  <c:v>93.325941984536158</c:v>
                </c:pt>
                <c:pt idx="122">
                  <c:v>95.205066243270252</c:v>
                </c:pt>
                <c:pt idx="123">
                  <c:v>95.205066243270252</c:v>
                </c:pt>
                <c:pt idx="124">
                  <c:v>95.205066243270252</c:v>
                </c:pt>
                <c:pt idx="125">
                  <c:v>95.205066243270252</c:v>
                </c:pt>
                <c:pt idx="126">
                  <c:v>95.205066243270252</c:v>
                </c:pt>
                <c:pt idx="127">
                  <c:v>95.205066243270252</c:v>
                </c:pt>
                <c:pt idx="128">
                  <c:v>95.205066243270252</c:v>
                </c:pt>
                <c:pt idx="129">
                  <c:v>95.205066243270252</c:v>
                </c:pt>
                <c:pt idx="130">
                  <c:v>95.205066243270252</c:v>
                </c:pt>
                <c:pt idx="131">
                  <c:v>95.205066243270252</c:v>
                </c:pt>
                <c:pt idx="132">
                  <c:v>95.205066243270252</c:v>
                </c:pt>
                <c:pt idx="133">
                  <c:v>95.205066243270252</c:v>
                </c:pt>
                <c:pt idx="134">
                  <c:v>95.205066243270252</c:v>
                </c:pt>
                <c:pt idx="135">
                  <c:v>88.253446065690824</c:v>
                </c:pt>
                <c:pt idx="136">
                  <c:v>88.253446065690824</c:v>
                </c:pt>
                <c:pt idx="137">
                  <c:v>88.253446065690824</c:v>
                </c:pt>
                <c:pt idx="138">
                  <c:v>88.253446065690824</c:v>
                </c:pt>
                <c:pt idx="139">
                  <c:v>88.253446065690824</c:v>
                </c:pt>
                <c:pt idx="140">
                  <c:v>88.253446065690824</c:v>
                </c:pt>
                <c:pt idx="141">
                  <c:v>88.253446065690824</c:v>
                </c:pt>
                <c:pt idx="142">
                  <c:v>88.253446065690824</c:v>
                </c:pt>
                <c:pt idx="143">
                  <c:v>88.253446065690824</c:v>
                </c:pt>
                <c:pt idx="144">
                  <c:v>88.253446065690824</c:v>
                </c:pt>
                <c:pt idx="145">
                  <c:v>88.253446065690824</c:v>
                </c:pt>
                <c:pt idx="146">
                  <c:v>88.253446065690824</c:v>
                </c:pt>
                <c:pt idx="147">
                  <c:v>88.253446065690824</c:v>
                </c:pt>
                <c:pt idx="148">
                  <c:v>88.253446065690824</c:v>
                </c:pt>
                <c:pt idx="149">
                  <c:v>88.253446065690824</c:v>
                </c:pt>
                <c:pt idx="150">
                  <c:v>88.253446065690824</c:v>
                </c:pt>
                <c:pt idx="151">
                  <c:v>88.253446065690824</c:v>
                </c:pt>
                <c:pt idx="152">
                  <c:v>88.253446065690824</c:v>
                </c:pt>
                <c:pt idx="153">
                  <c:v>88.253446065690824</c:v>
                </c:pt>
                <c:pt idx="154">
                  <c:v>88.253446065690824</c:v>
                </c:pt>
                <c:pt idx="155">
                  <c:v>88.253446065690824</c:v>
                </c:pt>
                <c:pt idx="156">
                  <c:v>88.253446065690824</c:v>
                </c:pt>
                <c:pt idx="157">
                  <c:v>88.253446065690824</c:v>
                </c:pt>
                <c:pt idx="158">
                  <c:v>88.253446065690824</c:v>
                </c:pt>
                <c:pt idx="159">
                  <c:v>88.253446065690824</c:v>
                </c:pt>
                <c:pt idx="160">
                  <c:v>88.253446065690824</c:v>
                </c:pt>
                <c:pt idx="161">
                  <c:v>88.253446065690824</c:v>
                </c:pt>
                <c:pt idx="162">
                  <c:v>88.253446065690824</c:v>
                </c:pt>
                <c:pt idx="163">
                  <c:v>88.253446065690824</c:v>
                </c:pt>
                <c:pt idx="164">
                  <c:v>88.253446065690824</c:v>
                </c:pt>
                <c:pt idx="165">
                  <c:v>50.748120999999998</c:v>
                </c:pt>
                <c:pt idx="166">
                  <c:v>88.253446065690824</c:v>
                </c:pt>
                <c:pt idx="167">
                  <c:v>88.253446065690824</c:v>
                </c:pt>
                <c:pt idx="168">
                  <c:v>88.253446065690824</c:v>
                </c:pt>
                <c:pt idx="169">
                  <c:v>88.253446065690824</c:v>
                </c:pt>
                <c:pt idx="170">
                  <c:v>88.253446065690824</c:v>
                </c:pt>
                <c:pt idx="171">
                  <c:v>88.253446065690824</c:v>
                </c:pt>
                <c:pt idx="172">
                  <c:v>88.253446065690824</c:v>
                </c:pt>
                <c:pt idx="173">
                  <c:v>88.253446065690824</c:v>
                </c:pt>
                <c:pt idx="174">
                  <c:v>88.253446065690824</c:v>
                </c:pt>
                <c:pt idx="175">
                  <c:v>88.253446065690824</c:v>
                </c:pt>
                <c:pt idx="176">
                  <c:v>88.253446065690824</c:v>
                </c:pt>
                <c:pt idx="177">
                  <c:v>88.253446065690824</c:v>
                </c:pt>
                <c:pt idx="178">
                  <c:v>88.253446065690824</c:v>
                </c:pt>
                <c:pt idx="179">
                  <c:v>88.253446065690824</c:v>
                </c:pt>
                <c:pt idx="180">
                  <c:v>88.253446065690824</c:v>
                </c:pt>
                <c:pt idx="181">
                  <c:v>79.453776999999988</c:v>
                </c:pt>
                <c:pt idx="182">
                  <c:v>86.174580000000006</c:v>
                </c:pt>
                <c:pt idx="183">
                  <c:v>88.253446065690824</c:v>
                </c:pt>
                <c:pt idx="184">
                  <c:v>75.53373509869256</c:v>
                </c:pt>
                <c:pt idx="185">
                  <c:v>75.53373509869256</c:v>
                </c:pt>
                <c:pt idx="186">
                  <c:v>75.53373509869256</c:v>
                </c:pt>
                <c:pt idx="187">
                  <c:v>75.53373509869256</c:v>
                </c:pt>
                <c:pt idx="188">
                  <c:v>75.53373509869256</c:v>
                </c:pt>
                <c:pt idx="189">
                  <c:v>75.53373509869256</c:v>
                </c:pt>
                <c:pt idx="190">
                  <c:v>75.53373509869256</c:v>
                </c:pt>
                <c:pt idx="191">
                  <c:v>75.53373509869256</c:v>
                </c:pt>
                <c:pt idx="192">
                  <c:v>75.53373509869256</c:v>
                </c:pt>
                <c:pt idx="193">
                  <c:v>75.53373509869256</c:v>
                </c:pt>
                <c:pt idx="194">
                  <c:v>75.53373509869256</c:v>
                </c:pt>
                <c:pt idx="195">
                  <c:v>44.881042000000001</c:v>
                </c:pt>
                <c:pt idx="196">
                  <c:v>43.219239000000002</c:v>
                </c:pt>
                <c:pt idx="197">
                  <c:v>64.212167999999991</c:v>
                </c:pt>
                <c:pt idx="198">
                  <c:v>75.53373509869256</c:v>
                </c:pt>
                <c:pt idx="199">
                  <c:v>75.53373509869256</c:v>
                </c:pt>
                <c:pt idx="200">
                  <c:v>75.53373509869256</c:v>
                </c:pt>
                <c:pt idx="201">
                  <c:v>75.53373509869256</c:v>
                </c:pt>
                <c:pt idx="202">
                  <c:v>75.53373509869256</c:v>
                </c:pt>
                <c:pt idx="203">
                  <c:v>75.53373509869256</c:v>
                </c:pt>
                <c:pt idx="204">
                  <c:v>73.583860999999999</c:v>
                </c:pt>
                <c:pt idx="205">
                  <c:v>75.53373509869256</c:v>
                </c:pt>
                <c:pt idx="206">
                  <c:v>75.53373509869256</c:v>
                </c:pt>
                <c:pt idx="207">
                  <c:v>75.53373509869256</c:v>
                </c:pt>
                <c:pt idx="208">
                  <c:v>75.53373509869256</c:v>
                </c:pt>
                <c:pt idx="209">
                  <c:v>75.53373509869256</c:v>
                </c:pt>
                <c:pt idx="210">
                  <c:v>75.53373509869256</c:v>
                </c:pt>
                <c:pt idx="211">
                  <c:v>75.53373509869256</c:v>
                </c:pt>
                <c:pt idx="212">
                  <c:v>60.079542000000004</c:v>
                </c:pt>
                <c:pt idx="213">
                  <c:v>75.53373509869256</c:v>
                </c:pt>
                <c:pt idx="214">
                  <c:v>61.15886156730037</c:v>
                </c:pt>
                <c:pt idx="215">
                  <c:v>61.15886156730037</c:v>
                </c:pt>
                <c:pt idx="216">
                  <c:v>61.15886156730037</c:v>
                </c:pt>
                <c:pt idx="217">
                  <c:v>61.15886156730037</c:v>
                </c:pt>
                <c:pt idx="218">
                  <c:v>61.15886156730037</c:v>
                </c:pt>
                <c:pt idx="219">
                  <c:v>61.15886156730037</c:v>
                </c:pt>
                <c:pt idx="220">
                  <c:v>61.15886156730037</c:v>
                </c:pt>
                <c:pt idx="221">
                  <c:v>61.15886156730037</c:v>
                </c:pt>
                <c:pt idx="222">
                  <c:v>61.15886156730037</c:v>
                </c:pt>
                <c:pt idx="223">
                  <c:v>50.409033999999998</c:v>
                </c:pt>
                <c:pt idx="224">
                  <c:v>58.465622000000003</c:v>
                </c:pt>
                <c:pt idx="225">
                  <c:v>61.15886156730037</c:v>
                </c:pt>
                <c:pt idx="226">
                  <c:v>61.15886156730037</c:v>
                </c:pt>
                <c:pt idx="227">
                  <c:v>61.15886156730037</c:v>
                </c:pt>
                <c:pt idx="228">
                  <c:v>61.15886156730037</c:v>
                </c:pt>
                <c:pt idx="229">
                  <c:v>55.389625000000002</c:v>
                </c:pt>
                <c:pt idx="230">
                  <c:v>61.15886156730037</c:v>
                </c:pt>
                <c:pt idx="231">
                  <c:v>61.15886156730037</c:v>
                </c:pt>
                <c:pt idx="232">
                  <c:v>32.231015999999997</c:v>
                </c:pt>
                <c:pt idx="233">
                  <c:v>17.944908999999999</c:v>
                </c:pt>
                <c:pt idx="234">
                  <c:v>28.016767999999999</c:v>
                </c:pt>
                <c:pt idx="235">
                  <c:v>52.259012000000006</c:v>
                </c:pt>
                <c:pt idx="236">
                  <c:v>40.707363999999998</c:v>
                </c:pt>
                <c:pt idx="237">
                  <c:v>49.593767999999997</c:v>
                </c:pt>
                <c:pt idx="238">
                  <c:v>45.384362000000003</c:v>
                </c:pt>
                <c:pt idx="239">
                  <c:v>43.150815999999999</c:v>
                </c:pt>
                <c:pt idx="240">
                  <c:v>58.521273999999998</c:v>
                </c:pt>
                <c:pt idx="241">
                  <c:v>56.667131999999995</c:v>
                </c:pt>
                <c:pt idx="242">
                  <c:v>61.15886156730037</c:v>
                </c:pt>
                <c:pt idx="243">
                  <c:v>48.903733000000003</c:v>
                </c:pt>
                <c:pt idx="244">
                  <c:v>23.888902999999999</c:v>
                </c:pt>
                <c:pt idx="245">
                  <c:v>44.721281663391778</c:v>
                </c:pt>
                <c:pt idx="246">
                  <c:v>44.721281663391778</c:v>
                </c:pt>
                <c:pt idx="247">
                  <c:v>32.841544999999996</c:v>
                </c:pt>
                <c:pt idx="248">
                  <c:v>44.721281663391778</c:v>
                </c:pt>
                <c:pt idx="249">
                  <c:v>44.721281663391778</c:v>
                </c:pt>
                <c:pt idx="250">
                  <c:v>44.721281663391778</c:v>
                </c:pt>
                <c:pt idx="251">
                  <c:v>44.721281663391778</c:v>
                </c:pt>
                <c:pt idx="252">
                  <c:v>43.503295000000001</c:v>
                </c:pt>
                <c:pt idx="253">
                  <c:v>41.389898000000002</c:v>
                </c:pt>
                <c:pt idx="254">
                  <c:v>44.721281663391778</c:v>
                </c:pt>
                <c:pt idx="255">
                  <c:v>44.721281663391778</c:v>
                </c:pt>
                <c:pt idx="256">
                  <c:v>44.721281663391778</c:v>
                </c:pt>
                <c:pt idx="257">
                  <c:v>44.721281663391778</c:v>
                </c:pt>
                <c:pt idx="258">
                  <c:v>37.535010999999997</c:v>
                </c:pt>
                <c:pt idx="259">
                  <c:v>27.310642999999999</c:v>
                </c:pt>
                <c:pt idx="260">
                  <c:v>17.075662000000001</c:v>
                </c:pt>
                <c:pt idx="261">
                  <c:v>33.559718999999994</c:v>
                </c:pt>
                <c:pt idx="262">
                  <c:v>37.354078000000001</c:v>
                </c:pt>
                <c:pt idx="263">
                  <c:v>44.721281663391778</c:v>
                </c:pt>
                <c:pt idx="264">
                  <c:v>44.721281663391778</c:v>
                </c:pt>
                <c:pt idx="265">
                  <c:v>19.948184999999999</c:v>
                </c:pt>
                <c:pt idx="266">
                  <c:v>22.616401999999997</c:v>
                </c:pt>
                <c:pt idx="267">
                  <c:v>29.251636999999999</c:v>
                </c:pt>
                <c:pt idx="268">
                  <c:v>29.942883000000002</c:v>
                </c:pt>
                <c:pt idx="269">
                  <c:v>44.721281663391778</c:v>
                </c:pt>
                <c:pt idx="270">
                  <c:v>44.721281663391778</c:v>
                </c:pt>
                <c:pt idx="271">
                  <c:v>44.721281663391778</c:v>
                </c:pt>
                <c:pt idx="272">
                  <c:v>44.721281663391778</c:v>
                </c:pt>
                <c:pt idx="273">
                  <c:v>44.721281663391778</c:v>
                </c:pt>
                <c:pt idx="274">
                  <c:v>44.721281663391778</c:v>
                </c:pt>
                <c:pt idx="275">
                  <c:v>39.175984869526403</c:v>
                </c:pt>
                <c:pt idx="276">
                  <c:v>39.175984869526403</c:v>
                </c:pt>
                <c:pt idx="277">
                  <c:v>39.175984869526403</c:v>
                </c:pt>
                <c:pt idx="278">
                  <c:v>37.185421999999996</c:v>
                </c:pt>
                <c:pt idx="279">
                  <c:v>14.289721999999999</c:v>
                </c:pt>
                <c:pt idx="280">
                  <c:v>23.730008000000002</c:v>
                </c:pt>
                <c:pt idx="281">
                  <c:v>28.687491000000001</c:v>
                </c:pt>
                <c:pt idx="282">
                  <c:v>17.119696000000001</c:v>
                </c:pt>
                <c:pt idx="283">
                  <c:v>16.471001000000001</c:v>
                </c:pt>
                <c:pt idx="284">
                  <c:v>34.717674000000009</c:v>
                </c:pt>
                <c:pt idx="285">
                  <c:v>18.780669999999997</c:v>
                </c:pt>
                <c:pt idx="286">
                  <c:v>15.768985000000001</c:v>
                </c:pt>
                <c:pt idx="287">
                  <c:v>10.982524999999999</c:v>
                </c:pt>
                <c:pt idx="288">
                  <c:v>23.570340000000002</c:v>
                </c:pt>
                <c:pt idx="289">
                  <c:v>31.111670999999998</c:v>
                </c:pt>
                <c:pt idx="290">
                  <c:v>29.784642999999999</c:v>
                </c:pt>
                <c:pt idx="291">
                  <c:v>37.532074999999999</c:v>
                </c:pt>
                <c:pt idx="292">
                  <c:v>39.175984869526403</c:v>
                </c:pt>
                <c:pt idx="293">
                  <c:v>39.175984869526403</c:v>
                </c:pt>
                <c:pt idx="294">
                  <c:v>25.723277</c:v>
                </c:pt>
                <c:pt idx="295">
                  <c:v>31.128603999999999</c:v>
                </c:pt>
                <c:pt idx="296">
                  <c:v>32.173569999999998</c:v>
                </c:pt>
                <c:pt idx="297">
                  <c:v>39.175984869526403</c:v>
                </c:pt>
                <c:pt idx="298">
                  <c:v>39.175984869526403</c:v>
                </c:pt>
                <c:pt idx="299">
                  <c:v>39.175984869526403</c:v>
                </c:pt>
                <c:pt idx="300">
                  <c:v>39.175984869526403</c:v>
                </c:pt>
                <c:pt idx="301">
                  <c:v>39.175984869526403</c:v>
                </c:pt>
                <c:pt idx="302">
                  <c:v>39.175984869526403</c:v>
                </c:pt>
                <c:pt idx="303">
                  <c:v>32.912245999999996</c:v>
                </c:pt>
                <c:pt idx="304">
                  <c:v>36.463912999999998</c:v>
                </c:pt>
                <c:pt idx="305">
                  <c:v>39.175984869526403</c:v>
                </c:pt>
                <c:pt idx="306">
                  <c:v>33.473076999999996</c:v>
                </c:pt>
                <c:pt idx="307">
                  <c:v>30.679369999999999</c:v>
                </c:pt>
                <c:pt idx="308">
                  <c:v>52.748882999999999</c:v>
                </c:pt>
                <c:pt idx="309">
                  <c:v>56.922052999999998</c:v>
                </c:pt>
                <c:pt idx="310">
                  <c:v>56.962680999999996</c:v>
                </c:pt>
                <c:pt idx="311">
                  <c:v>53.861737999999995</c:v>
                </c:pt>
                <c:pt idx="312">
                  <c:v>34.926500999999995</c:v>
                </c:pt>
                <c:pt idx="313">
                  <c:v>16.516825000000001</c:v>
                </c:pt>
                <c:pt idx="314">
                  <c:v>48.540538999999995</c:v>
                </c:pt>
                <c:pt idx="315">
                  <c:v>45.012703999999999</c:v>
                </c:pt>
                <c:pt idx="316">
                  <c:v>35.881593000000002</c:v>
                </c:pt>
                <c:pt idx="317">
                  <c:v>57.054845212154397</c:v>
                </c:pt>
                <c:pt idx="318">
                  <c:v>54.161625999999998</c:v>
                </c:pt>
                <c:pt idx="319">
                  <c:v>56.192132999999998</c:v>
                </c:pt>
                <c:pt idx="320">
                  <c:v>40.939911000000002</c:v>
                </c:pt>
                <c:pt idx="321">
                  <c:v>29.573712</c:v>
                </c:pt>
                <c:pt idx="322">
                  <c:v>36.903005999999991</c:v>
                </c:pt>
                <c:pt idx="323">
                  <c:v>55.997805</c:v>
                </c:pt>
                <c:pt idx="324">
                  <c:v>57.054845212154397</c:v>
                </c:pt>
                <c:pt idx="325">
                  <c:v>53.090128000000007</c:v>
                </c:pt>
                <c:pt idx="326">
                  <c:v>57.054845212154397</c:v>
                </c:pt>
                <c:pt idx="327">
                  <c:v>57.054845212154397</c:v>
                </c:pt>
                <c:pt idx="328">
                  <c:v>57.054845212154397</c:v>
                </c:pt>
                <c:pt idx="329">
                  <c:v>57.054845212154397</c:v>
                </c:pt>
                <c:pt idx="330">
                  <c:v>57.054845212154397</c:v>
                </c:pt>
                <c:pt idx="331">
                  <c:v>53.021622000000001</c:v>
                </c:pt>
                <c:pt idx="332">
                  <c:v>57.054845212154397</c:v>
                </c:pt>
                <c:pt idx="333">
                  <c:v>57.054845212154397</c:v>
                </c:pt>
                <c:pt idx="334">
                  <c:v>57.054845212154397</c:v>
                </c:pt>
                <c:pt idx="335">
                  <c:v>57.054845212154397</c:v>
                </c:pt>
                <c:pt idx="336">
                  <c:v>57.054845212154397</c:v>
                </c:pt>
                <c:pt idx="337">
                  <c:v>72.463822931430329</c:v>
                </c:pt>
                <c:pt idx="338">
                  <c:v>72.463822931430329</c:v>
                </c:pt>
                <c:pt idx="339">
                  <c:v>72.463822931430329</c:v>
                </c:pt>
                <c:pt idx="340">
                  <c:v>72.463822931430329</c:v>
                </c:pt>
                <c:pt idx="341">
                  <c:v>72.463822931430329</c:v>
                </c:pt>
                <c:pt idx="342">
                  <c:v>72.463822931430329</c:v>
                </c:pt>
                <c:pt idx="343">
                  <c:v>42.269485000000003</c:v>
                </c:pt>
                <c:pt idx="344">
                  <c:v>40.880480000000006</c:v>
                </c:pt>
                <c:pt idx="345">
                  <c:v>71.397311999999999</c:v>
                </c:pt>
                <c:pt idx="346">
                  <c:v>72.463822931430329</c:v>
                </c:pt>
                <c:pt idx="347">
                  <c:v>72.463822931430329</c:v>
                </c:pt>
                <c:pt idx="348">
                  <c:v>67.877244000000005</c:v>
                </c:pt>
                <c:pt idx="349">
                  <c:v>72.463822931430329</c:v>
                </c:pt>
                <c:pt idx="350">
                  <c:v>58.580880999999998</c:v>
                </c:pt>
                <c:pt idx="351">
                  <c:v>71.233261999999996</c:v>
                </c:pt>
                <c:pt idx="352">
                  <c:v>72.463822931430329</c:v>
                </c:pt>
                <c:pt idx="353">
                  <c:v>72.463822931430329</c:v>
                </c:pt>
                <c:pt idx="354">
                  <c:v>65.193995999999999</c:v>
                </c:pt>
                <c:pt idx="355">
                  <c:v>65.838386</c:v>
                </c:pt>
                <c:pt idx="356">
                  <c:v>62.712156</c:v>
                </c:pt>
                <c:pt idx="357">
                  <c:v>68.458113999999995</c:v>
                </c:pt>
                <c:pt idx="358">
                  <c:v>72.463822931430329</c:v>
                </c:pt>
                <c:pt idx="359">
                  <c:v>69.471451999999999</c:v>
                </c:pt>
                <c:pt idx="360">
                  <c:v>72.463822931430329</c:v>
                </c:pt>
                <c:pt idx="361">
                  <c:v>68.566562999999988</c:v>
                </c:pt>
                <c:pt idx="362">
                  <c:v>72.463822931430329</c:v>
                </c:pt>
                <c:pt idx="363">
                  <c:v>72.463822931430329</c:v>
                </c:pt>
                <c:pt idx="364">
                  <c:v>72.463822931430329</c:v>
                </c:pt>
                <c:pt idx="365">
                  <c:v>85.773286821926959</c:v>
                </c:pt>
                <c:pt idx="366">
                  <c:v>85.773286821926959</c:v>
                </c:pt>
                <c:pt idx="367">
                  <c:v>85.773286821926959</c:v>
                </c:pt>
                <c:pt idx="368">
                  <c:v>85.773286821926959</c:v>
                </c:pt>
                <c:pt idx="369">
                  <c:v>48.205492</c:v>
                </c:pt>
                <c:pt idx="370">
                  <c:v>50.202725000000001</c:v>
                </c:pt>
                <c:pt idx="371">
                  <c:v>68.237877999999995</c:v>
                </c:pt>
                <c:pt idx="372">
                  <c:v>57.461326</c:v>
                </c:pt>
                <c:pt idx="373">
                  <c:v>52.935957000000002</c:v>
                </c:pt>
                <c:pt idx="374">
                  <c:v>85.773286821926959</c:v>
                </c:pt>
                <c:pt idx="375">
                  <c:v>76.153103000000002</c:v>
                </c:pt>
                <c:pt idx="376">
                  <c:v>85.773286821926959</c:v>
                </c:pt>
                <c:pt idx="377">
                  <c:v>85.773286821926959</c:v>
                </c:pt>
                <c:pt idx="378">
                  <c:v>85.773286821926959</c:v>
                </c:pt>
                <c:pt idx="379">
                  <c:v>85.773286821926959</c:v>
                </c:pt>
                <c:pt idx="380">
                  <c:v>85.773286821926959</c:v>
                </c:pt>
                <c:pt idx="381">
                  <c:v>84.449888000000001</c:v>
                </c:pt>
                <c:pt idx="382">
                  <c:v>81.073100000000011</c:v>
                </c:pt>
                <c:pt idx="383">
                  <c:v>85.773286821926959</c:v>
                </c:pt>
                <c:pt idx="384">
                  <c:v>85.773286821926959</c:v>
                </c:pt>
                <c:pt idx="385">
                  <c:v>85.773286821926959</c:v>
                </c:pt>
                <c:pt idx="386">
                  <c:v>85.773286821926959</c:v>
                </c:pt>
                <c:pt idx="387">
                  <c:v>85.773286821926959</c:v>
                </c:pt>
                <c:pt idx="388">
                  <c:v>85.773286821926959</c:v>
                </c:pt>
                <c:pt idx="389">
                  <c:v>85.773286821926959</c:v>
                </c:pt>
                <c:pt idx="390">
                  <c:v>85.773286821926959</c:v>
                </c:pt>
                <c:pt idx="391">
                  <c:v>85.773286821926959</c:v>
                </c:pt>
                <c:pt idx="392">
                  <c:v>85.773286821926959</c:v>
                </c:pt>
                <c:pt idx="393">
                  <c:v>85.773286821926959</c:v>
                </c:pt>
                <c:pt idx="394">
                  <c:v>85.773286821926959</c:v>
                </c:pt>
                <c:pt idx="395">
                  <c:v>85.773286821926959</c:v>
                </c:pt>
                <c:pt idx="396">
                  <c:v>94.293553000000003</c:v>
                </c:pt>
                <c:pt idx="397">
                  <c:v>98.829108483893535</c:v>
                </c:pt>
                <c:pt idx="398">
                  <c:v>98.829108483893535</c:v>
                </c:pt>
                <c:pt idx="399">
                  <c:v>98.829108483893535</c:v>
                </c:pt>
                <c:pt idx="400">
                  <c:v>98.829108483893535</c:v>
                </c:pt>
                <c:pt idx="401">
                  <c:v>98.829108483893535</c:v>
                </c:pt>
                <c:pt idx="402">
                  <c:v>98.829108483893535</c:v>
                </c:pt>
                <c:pt idx="403">
                  <c:v>98.829108483893535</c:v>
                </c:pt>
                <c:pt idx="404">
                  <c:v>98.829108483893535</c:v>
                </c:pt>
                <c:pt idx="405">
                  <c:v>98.829108483893535</c:v>
                </c:pt>
                <c:pt idx="406">
                  <c:v>98.829108483893535</c:v>
                </c:pt>
                <c:pt idx="407">
                  <c:v>98.829108483893535</c:v>
                </c:pt>
                <c:pt idx="408">
                  <c:v>98.829108483893535</c:v>
                </c:pt>
                <c:pt idx="409">
                  <c:v>98.829108483893535</c:v>
                </c:pt>
                <c:pt idx="410">
                  <c:v>98.829108483893535</c:v>
                </c:pt>
                <c:pt idx="411">
                  <c:v>98.829108483893535</c:v>
                </c:pt>
                <c:pt idx="412">
                  <c:v>98.829108483893535</c:v>
                </c:pt>
                <c:pt idx="413">
                  <c:v>98.829108483893535</c:v>
                </c:pt>
                <c:pt idx="414">
                  <c:v>98.829108483893535</c:v>
                </c:pt>
                <c:pt idx="415">
                  <c:v>98.829108483893535</c:v>
                </c:pt>
                <c:pt idx="416">
                  <c:v>98.829108483893535</c:v>
                </c:pt>
                <c:pt idx="417">
                  <c:v>98.829108483893535</c:v>
                </c:pt>
                <c:pt idx="418">
                  <c:v>98.829108483893535</c:v>
                </c:pt>
                <c:pt idx="419">
                  <c:v>98.829108483893535</c:v>
                </c:pt>
                <c:pt idx="420">
                  <c:v>98.829108483893535</c:v>
                </c:pt>
                <c:pt idx="421">
                  <c:v>98.829108483893535</c:v>
                </c:pt>
                <c:pt idx="422">
                  <c:v>98.829108483893535</c:v>
                </c:pt>
                <c:pt idx="423">
                  <c:v>98.829108483893535</c:v>
                </c:pt>
                <c:pt idx="424">
                  <c:v>98.829108483893535</c:v>
                </c:pt>
                <c:pt idx="425">
                  <c:v>98.829108483893535</c:v>
                </c:pt>
                <c:pt idx="426">
                  <c:v>116.21973299154708</c:v>
                </c:pt>
                <c:pt idx="427">
                  <c:v>116.21973299154708</c:v>
                </c:pt>
                <c:pt idx="428">
                  <c:v>116.21973299154708</c:v>
                </c:pt>
                <c:pt idx="429">
                  <c:v>116.21973299154708</c:v>
                </c:pt>
                <c:pt idx="430">
                  <c:v>116.21973299154708</c:v>
                </c:pt>
                <c:pt idx="431">
                  <c:v>116.21973299154708</c:v>
                </c:pt>
                <c:pt idx="432">
                  <c:v>116.21973299154708</c:v>
                </c:pt>
                <c:pt idx="433">
                  <c:v>116.21973299154708</c:v>
                </c:pt>
                <c:pt idx="434">
                  <c:v>116.21973299154708</c:v>
                </c:pt>
                <c:pt idx="435">
                  <c:v>116.21973299154708</c:v>
                </c:pt>
                <c:pt idx="436">
                  <c:v>116.21973299154708</c:v>
                </c:pt>
                <c:pt idx="437">
                  <c:v>116.21973299154708</c:v>
                </c:pt>
                <c:pt idx="438">
                  <c:v>116.21973299154708</c:v>
                </c:pt>
                <c:pt idx="439">
                  <c:v>116.21973299154708</c:v>
                </c:pt>
                <c:pt idx="440">
                  <c:v>116.21973299154708</c:v>
                </c:pt>
                <c:pt idx="441">
                  <c:v>116.21973299154708</c:v>
                </c:pt>
                <c:pt idx="442">
                  <c:v>116.21973299154708</c:v>
                </c:pt>
                <c:pt idx="443">
                  <c:v>116.21973299154708</c:v>
                </c:pt>
                <c:pt idx="444">
                  <c:v>116.21973299154708</c:v>
                </c:pt>
                <c:pt idx="445">
                  <c:v>109.751002</c:v>
                </c:pt>
                <c:pt idx="446">
                  <c:v>100.609866</c:v>
                </c:pt>
                <c:pt idx="447">
                  <c:v>76.472811000000007</c:v>
                </c:pt>
                <c:pt idx="448">
                  <c:v>76.783833000000001</c:v>
                </c:pt>
                <c:pt idx="449">
                  <c:v>110.17815299999999</c:v>
                </c:pt>
                <c:pt idx="450">
                  <c:v>116.21973299154708</c:v>
                </c:pt>
                <c:pt idx="451">
                  <c:v>93.167641000000003</c:v>
                </c:pt>
                <c:pt idx="452">
                  <c:v>72.789244999999994</c:v>
                </c:pt>
                <c:pt idx="453">
                  <c:v>85.305626999999987</c:v>
                </c:pt>
                <c:pt idx="454">
                  <c:v>105.54447400000001</c:v>
                </c:pt>
                <c:pt idx="455">
                  <c:v>106.250502</c:v>
                </c:pt>
                <c:pt idx="456">
                  <c:v>116.21973299154708</c:v>
                </c:pt>
                <c:pt idx="457">
                  <c:v>98.401563999999993</c:v>
                </c:pt>
                <c:pt idx="458">
                  <c:v>103.16937</c:v>
                </c:pt>
                <c:pt idx="459">
                  <c:v>120.423085</c:v>
                </c:pt>
                <c:pt idx="460">
                  <c:v>121.20108814209858</c:v>
                </c:pt>
                <c:pt idx="461">
                  <c:v>121.20108814209858</c:v>
                </c:pt>
                <c:pt idx="462">
                  <c:v>121.20108814209858</c:v>
                </c:pt>
                <c:pt idx="463">
                  <c:v>59.535052999999998</c:v>
                </c:pt>
                <c:pt idx="464">
                  <c:v>65.587326000000004</c:v>
                </c:pt>
                <c:pt idx="465">
                  <c:v>119.162999</c:v>
                </c:pt>
                <c:pt idx="466">
                  <c:v>121.20108814209858</c:v>
                </c:pt>
                <c:pt idx="467">
                  <c:v>121.20108814209858</c:v>
                </c:pt>
                <c:pt idx="468">
                  <c:v>121.20108814209858</c:v>
                </c:pt>
                <c:pt idx="469">
                  <c:v>121.20108814209858</c:v>
                </c:pt>
                <c:pt idx="470">
                  <c:v>121.20108814209858</c:v>
                </c:pt>
                <c:pt idx="471">
                  <c:v>121.20108814209858</c:v>
                </c:pt>
                <c:pt idx="472">
                  <c:v>121.20108814209858</c:v>
                </c:pt>
                <c:pt idx="473">
                  <c:v>121.20108814209858</c:v>
                </c:pt>
                <c:pt idx="474">
                  <c:v>113.10303200000001</c:v>
                </c:pt>
                <c:pt idx="475">
                  <c:v>117.32886999999999</c:v>
                </c:pt>
                <c:pt idx="476">
                  <c:v>119.38496000000001</c:v>
                </c:pt>
                <c:pt idx="477">
                  <c:v>99.575516000000007</c:v>
                </c:pt>
                <c:pt idx="478">
                  <c:v>121.20108814209858</c:v>
                </c:pt>
                <c:pt idx="479">
                  <c:v>121.20108814209858</c:v>
                </c:pt>
                <c:pt idx="480">
                  <c:v>121.20108814209858</c:v>
                </c:pt>
                <c:pt idx="481">
                  <c:v>121.20108814209858</c:v>
                </c:pt>
                <c:pt idx="482">
                  <c:v>121.20108814209858</c:v>
                </c:pt>
                <c:pt idx="483">
                  <c:v>121.20108814209858</c:v>
                </c:pt>
                <c:pt idx="484">
                  <c:v>121.20108814209858</c:v>
                </c:pt>
                <c:pt idx="485">
                  <c:v>121.20108814209858</c:v>
                </c:pt>
                <c:pt idx="486">
                  <c:v>121.20108814209858</c:v>
                </c:pt>
                <c:pt idx="487">
                  <c:v>122.82651299125682</c:v>
                </c:pt>
                <c:pt idx="488">
                  <c:v>122.82651299125682</c:v>
                </c:pt>
                <c:pt idx="489">
                  <c:v>122.82651299125682</c:v>
                </c:pt>
                <c:pt idx="490">
                  <c:v>122.82651299125682</c:v>
                </c:pt>
                <c:pt idx="491">
                  <c:v>122.82651299125682</c:v>
                </c:pt>
                <c:pt idx="492">
                  <c:v>122.82651299125682</c:v>
                </c:pt>
                <c:pt idx="493">
                  <c:v>122.82651299125682</c:v>
                </c:pt>
                <c:pt idx="494">
                  <c:v>122.82651299125682</c:v>
                </c:pt>
                <c:pt idx="495">
                  <c:v>122.82651299125682</c:v>
                </c:pt>
                <c:pt idx="496">
                  <c:v>122.82651299125682</c:v>
                </c:pt>
                <c:pt idx="497">
                  <c:v>122.82651299125682</c:v>
                </c:pt>
                <c:pt idx="498">
                  <c:v>122.82651299125682</c:v>
                </c:pt>
                <c:pt idx="499">
                  <c:v>122.82651299125682</c:v>
                </c:pt>
                <c:pt idx="500">
                  <c:v>122.82651299125682</c:v>
                </c:pt>
                <c:pt idx="501">
                  <c:v>122.82651299125682</c:v>
                </c:pt>
                <c:pt idx="502">
                  <c:v>122.82651299125682</c:v>
                </c:pt>
                <c:pt idx="503">
                  <c:v>122.82651299125682</c:v>
                </c:pt>
                <c:pt idx="504">
                  <c:v>122.82651299125682</c:v>
                </c:pt>
                <c:pt idx="505">
                  <c:v>122.82651299125682</c:v>
                </c:pt>
                <c:pt idx="506">
                  <c:v>122.82651299125682</c:v>
                </c:pt>
                <c:pt idx="507">
                  <c:v>122.82651299125682</c:v>
                </c:pt>
                <c:pt idx="508">
                  <c:v>122.82651299125682</c:v>
                </c:pt>
                <c:pt idx="509">
                  <c:v>122.82651299125682</c:v>
                </c:pt>
                <c:pt idx="510">
                  <c:v>122.82651299125682</c:v>
                </c:pt>
                <c:pt idx="511">
                  <c:v>122.82651299125682</c:v>
                </c:pt>
                <c:pt idx="512">
                  <c:v>122.82651299125682</c:v>
                </c:pt>
                <c:pt idx="513">
                  <c:v>122.82651299125682</c:v>
                </c:pt>
                <c:pt idx="514">
                  <c:v>122.82651299125682</c:v>
                </c:pt>
                <c:pt idx="515">
                  <c:v>122.82651299125682</c:v>
                </c:pt>
                <c:pt idx="516">
                  <c:v>122.82651299125682</c:v>
                </c:pt>
                <c:pt idx="517">
                  <c:v>122.82651299125682</c:v>
                </c:pt>
                <c:pt idx="518">
                  <c:v>114.19078946559939</c:v>
                </c:pt>
                <c:pt idx="519">
                  <c:v>114.19078946559939</c:v>
                </c:pt>
                <c:pt idx="520">
                  <c:v>114.19078946559939</c:v>
                </c:pt>
                <c:pt idx="521">
                  <c:v>114.19078946559939</c:v>
                </c:pt>
                <c:pt idx="522">
                  <c:v>114.19078946559939</c:v>
                </c:pt>
                <c:pt idx="523">
                  <c:v>114.19078946559939</c:v>
                </c:pt>
                <c:pt idx="524">
                  <c:v>114.19078946559939</c:v>
                </c:pt>
                <c:pt idx="525">
                  <c:v>114.19078946559939</c:v>
                </c:pt>
                <c:pt idx="526">
                  <c:v>114.19078946559939</c:v>
                </c:pt>
                <c:pt idx="527">
                  <c:v>114.19078946559939</c:v>
                </c:pt>
                <c:pt idx="528">
                  <c:v>114.19078946559939</c:v>
                </c:pt>
                <c:pt idx="529">
                  <c:v>114.19078946559939</c:v>
                </c:pt>
                <c:pt idx="530">
                  <c:v>114.19078946559939</c:v>
                </c:pt>
                <c:pt idx="531">
                  <c:v>114.19078946559939</c:v>
                </c:pt>
                <c:pt idx="532">
                  <c:v>114.19078946559939</c:v>
                </c:pt>
                <c:pt idx="533">
                  <c:v>114.19078946559939</c:v>
                </c:pt>
                <c:pt idx="534">
                  <c:v>114.19078946559939</c:v>
                </c:pt>
                <c:pt idx="535">
                  <c:v>114.19078946559939</c:v>
                </c:pt>
                <c:pt idx="536">
                  <c:v>114.19078946559939</c:v>
                </c:pt>
                <c:pt idx="537">
                  <c:v>114.19078946559939</c:v>
                </c:pt>
                <c:pt idx="538">
                  <c:v>114.19078946559939</c:v>
                </c:pt>
                <c:pt idx="539">
                  <c:v>114.19078946559939</c:v>
                </c:pt>
                <c:pt idx="540">
                  <c:v>114.19078946559939</c:v>
                </c:pt>
                <c:pt idx="541">
                  <c:v>114.19078946559939</c:v>
                </c:pt>
                <c:pt idx="542">
                  <c:v>114.19078946559939</c:v>
                </c:pt>
                <c:pt idx="543">
                  <c:v>85.459106000000006</c:v>
                </c:pt>
                <c:pt idx="544">
                  <c:v>110.997637</c:v>
                </c:pt>
                <c:pt idx="545">
                  <c:v>114.19078946559939</c:v>
                </c:pt>
                <c:pt idx="546">
                  <c:v>114.19078946559939</c:v>
                </c:pt>
                <c:pt idx="547">
                  <c:v>114.19078946559939</c:v>
                </c:pt>
                <c:pt idx="548">
                  <c:v>114.19078946559939</c:v>
                </c:pt>
                <c:pt idx="549">
                  <c:v>98.140348626727686</c:v>
                </c:pt>
                <c:pt idx="550">
                  <c:v>69.105034000000003</c:v>
                </c:pt>
                <c:pt idx="551">
                  <c:v>38.813513</c:v>
                </c:pt>
                <c:pt idx="552">
                  <c:v>98.140348626727686</c:v>
                </c:pt>
                <c:pt idx="553">
                  <c:v>98.140348626727686</c:v>
                </c:pt>
                <c:pt idx="554">
                  <c:v>98.140348626727686</c:v>
                </c:pt>
                <c:pt idx="555">
                  <c:v>98.140348626727686</c:v>
                </c:pt>
                <c:pt idx="556">
                  <c:v>98.140348626727686</c:v>
                </c:pt>
                <c:pt idx="557">
                  <c:v>98.140348626727686</c:v>
                </c:pt>
                <c:pt idx="558">
                  <c:v>98.140348626727686</c:v>
                </c:pt>
                <c:pt idx="559">
                  <c:v>98.140348626727686</c:v>
                </c:pt>
                <c:pt idx="560">
                  <c:v>98.140348626727686</c:v>
                </c:pt>
                <c:pt idx="561">
                  <c:v>98.140348626727686</c:v>
                </c:pt>
                <c:pt idx="562">
                  <c:v>98.140348626727686</c:v>
                </c:pt>
                <c:pt idx="563">
                  <c:v>82.169178000000002</c:v>
                </c:pt>
                <c:pt idx="564">
                  <c:v>71.069744999999998</c:v>
                </c:pt>
                <c:pt idx="565">
                  <c:v>80.584566000000009</c:v>
                </c:pt>
                <c:pt idx="566">
                  <c:v>94.975397000000001</c:v>
                </c:pt>
                <c:pt idx="567">
                  <c:v>98.140348626727686</c:v>
                </c:pt>
                <c:pt idx="568">
                  <c:v>98.140348626727686</c:v>
                </c:pt>
                <c:pt idx="569">
                  <c:v>77.363046999999995</c:v>
                </c:pt>
                <c:pt idx="570">
                  <c:v>98.140348626727686</c:v>
                </c:pt>
                <c:pt idx="571">
                  <c:v>98.140348626727686</c:v>
                </c:pt>
                <c:pt idx="572">
                  <c:v>98.140348626727686</c:v>
                </c:pt>
                <c:pt idx="573">
                  <c:v>98.140348626727686</c:v>
                </c:pt>
                <c:pt idx="574">
                  <c:v>98.140348626727686</c:v>
                </c:pt>
                <c:pt idx="575">
                  <c:v>98.140348626727686</c:v>
                </c:pt>
                <c:pt idx="576">
                  <c:v>98.140348626727686</c:v>
                </c:pt>
                <c:pt idx="577">
                  <c:v>98.140348626727686</c:v>
                </c:pt>
                <c:pt idx="578">
                  <c:v>98.140348626727686</c:v>
                </c:pt>
                <c:pt idx="579">
                  <c:v>78.374494078493669</c:v>
                </c:pt>
                <c:pt idx="580">
                  <c:v>78.374494078493669</c:v>
                </c:pt>
                <c:pt idx="581">
                  <c:v>78.374494078493669</c:v>
                </c:pt>
                <c:pt idx="582">
                  <c:v>78.374494078493669</c:v>
                </c:pt>
                <c:pt idx="583">
                  <c:v>78.374494078493669</c:v>
                </c:pt>
                <c:pt idx="584">
                  <c:v>78.374494078493669</c:v>
                </c:pt>
                <c:pt idx="585">
                  <c:v>78.374494078493669</c:v>
                </c:pt>
                <c:pt idx="586">
                  <c:v>78.374494078493669</c:v>
                </c:pt>
                <c:pt idx="587">
                  <c:v>78.374494078493669</c:v>
                </c:pt>
                <c:pt idx="588">
                  <c:v>78.374494078493669</c:v>
                </c:pt>
                <c:pt idx="589">
                  <c:v>78.374494078493669</c:v>
                </c:pt>
                <c:pt idx="590">
                  <c:v>78.374494078493669</c:v>
                </c:pt>
                <c:pt idx="591">
                  <c:v>78.374494078493669</c:v>
                </c:pt>
                <c:pt idx="592">
                  <c:v>68.844414</c:v>
                </c:pt>
                <c:pt idx="593">
                  <c:v>76.667000999999999</c:v>
                </c:pt>
                <c:pt idx="594">
                  <c:v>61.498703999999996</c:v>
                </c:pt>
                <c:pt idx="595">
                  <c:v>63.355337999999996</c:v>
                </c:pt>
                <c:pt idx="596">
                  <c:v>67.985439</c:v>
                </c:pt>
                <c:pt idx="597">
                  <c:v>21.934614</c:v>
                </c:pt>
                <c:pt idx="598">
                  <c:v>69.251991000000004</c:v>
                </c:pt>
                <c:pt idx="599">
                  <c:v>78.374494078493669</c:v>
                </c:pt>
                <c:pt idx="600">
                  <c:v>36.246982000000003</c:v>
                </c:pt>
                <c:pt idx="601">
                  <c:v>47.990879</c:v>
                </c:pt>
                <c:pt idx="602">
                  <c:v>76.558424000000002</c:v>
                </c:pt>
                <c:pt idx="603">
                  <c:v>54.231637999999997</c:v>
                </c:pt>
                <c:pt idx="604">
                  <c:v>36.141512999999996</c:v>
                </c:pt>
                <c:pt idx="605">
                  <c:v>64.703523000000004</c:v>
                </c:pt>
                <c:pt idx="606">
                  <c:v>67.056303</c:v>
                </c:pt>
                <c:pt idx="607">
                  <c:v>50.034962</c:v>
                </c:pt>
                <c:pt idx="608">
                  <c:v>68.188317999999995</c:v>
                </c:pt>
                <c:pt idx="609">
                  <c:v>36.451591000000001</c:v>
                </c:pt>
                <c:pt idx="610">
                  <c:v>46.031711999999999</c:v>
                </c:pt>
                <c:pt idx="611">
                  <c:v>40.612004999999996</c:v>
                </c:pt>
                <c:pt idx="612">
                  <c:v>52.618447999999994</c:v>
                </c:pt>
                <c:pt idx="613">
                  <c:v>41.754472</c:v>
                </c:pt>
                <c:pt idx="614">
                  <c:v>58.21954484549682</c:v>
                </c:pt>
                <c:pt idx="615">
                  <c:v>58.21954484549682</c:v>
                </c:pt>
                <c:pt idx="616">
                  <c:v>58.21954484549682</c:v>
                </c:pt>
                <c:pt idx="617">
                  <c:v>58.21954484549682</c:v>
                </c:pt>
                <c:pt idx="618">
                  <c:v>58.21954484549682</c:v>
                </c:pt>
                <c:pt idx="619">
                  <c:v>58.21954484549682</c:v>
                </c:pt>
                <c:pt idx="620">
                  <c:v>43.655624000000003</c:v>
                </c:pt>
                <c:pt idx="621">
                  <c:v>51.466819000000001</c:v>
                </c:pt>
                <c:pt idx="622">
                  <c:v>58.21954484549682</c:v>
                </c:pt>
                <c:pt idx="623">
                  <c:v>58.21954484549682</c:v>
                </c:pt>
                <c:pt idx="624">
                  <c:v>58.21954484549682</c:v>
                </c:pt>
                <c:pt idx="625">
                  <c:v>58.21954484549682</c:v>
                </c:pt>
                <c:pt idx="626">
                  <c:v>58.21954484549682</c:v>
                </c:pt>
                <c:pt idx="627">
                  <c:v>58.21954484549682</c:v>
                </c:pt>
                <c:pt idx="628">
                  <c:v>58.21954484549682</c:v>
                </c:pt>
                <c:pt idx="629">
                  <c:v>58.21954484549682</c:v>
                </c:pt>
                <c:pt idx="630">
                  <c:v>58.21954484549682</c:v>
                </c:pt>
                <c:pt idx="631">
                  <c:v>58.21954484549682</c:v>
                </c:pt>
                <c:pt idx="632">
                  <c:v>58.21954484549682</c:v>
                </c:pt>
                <c:pt idx="633">
                  <c:v>58.21954484549682</c:v>
                </c:pt>
                <c:pt idx="634">
                  <c:v>58.21954484549682</c:v>
                </c:pt>
                <c:pt idx="635">
                  <c:v>58.21954484549682</c:v>
                </c:pt>
                <c:pt idx="636">
                  <c:v>55.444144999999999</c:v>
                </c:pt>
                <c:pt idx="637">
                  <c:v>29.677868</c:v>
                </c:pt>
                <c:pt idx="638">
                  <c:v>34.865326000000003</c:v>
                </c:pt>
                <c:pt idx="639">
                  <c:v>25.240200000000002</c:v>
                </c:pt>
                <c:pt idx="640">
                  <c:v>46.819038999999997</c:v>
                </c:pt>
                <c:pt idx="641">
                  <c:v>49.218917743854135</c:v>
                </c:pt>
                <c:pt idx="642">
                  <c:v>49.218917743854135</c:v>
                </c:pt>
                <c:pt idx="643">
                  <c:v>32.699455</c:v>
                </c:pt>
                <c:pt idx="644">
                  <c:v>38.376978000000001</c:v>
                </c:pt>
                <c:pt idx="645">
                  <c:v>40.194800999999998</c:v>
                </c:pt>
                <c:pt idx="646">
                  <c:v>32.479962</c:v>
                </c:pt>
                <c:pt idx="647">
                  <c:v>49.218917743854135</c:v>
                </c:pt>
                <c:pt idx="648">
                  <c:v>41.814520999999999</c:v>
                </c:pt>
                <c:pt idx="649">
                  <c:v>44.747978000000003</c:v>
                </c:pt>
                <c:pt idx="650">
                  <c:v>49.218917743854135</c:v>
                </c:pt>
                <c:pt idx="651">
                  <c:v>46.892511999999996</c:v>
                </c:pt>
                <c:pt idx="652">
                  <c:v>48.613869000000001</c:v>
                </c:pt>
                <c:pt idx="653">
                  <c:v>49.218917743854135</c:v>
                </c:pt>
                <c:pt idx="654">
                  <c:v>49.218917743854135</c:v>
                </c:pt>
                <c:pt idx="655">
                  <c:v>49.218917743854135</c:v>
                </c:pt>
                <c:pt idx="656">
                  <c:v>49.218917743854135</c:v>
                </c:pt>
                <c:pt idx="657">
                  <c:v>49.218917743854135</c:v>
                </c:pt>
                <c:pt idx="658">
                  <c:v>49.218917743854135</c:v>
                </c:pt>
                <c:pt idx="659">
                  <c:v>47.568999000000005</c:v>
                </c:pt>
                <c:pt idx="660">
                  <c:v>49.218917743854135</c:v>
                </c:pt>
                <c:pt idx="661">
                  <c:v>49.218917743854135</c:v>
                </c:pt>
                <c:pt idx="662">
                  <c:v>49.218917743854135</c:v>
                </c:pt>
                <c:pt idx="663">
                  <c:v>49.218917743854135</c:v>
                </c:pt>
                <c:pt idx="664">
                  <c:v>49.218917743854135</c:v>
                </c:pt>
                <c:pt idx="665">
                  <c:v>49.218917743854135</c:v>
                </c:pt>
                <c:pt idx="666">
                  <c:v>49.218917743854135</c:v>
                </c:pt>
                <c:pt idx="667">
                  <c:v>42.244174000000001</c:v>
                </c:pt>
                <c:pt idx="668">
                  <c:v>26.728804</c:v>
                </c:pt>
                <c:pt idx="669">
                  <c:v>49.218917743854135</c:v>
                </c:pt>
                <c:pt idx="670">
                  <c:v>35.658654999999996</c:v>
                </c:pt>
                <c:pt idx="671">
                  <c:v>65.163443999999998</c:v>
                </c:pt>
                <c:pt idx="672">
                  <c:v>47.729921000000004</c:v>
                </c:pt>
                <c:pt idx="673">
                  <c:v>34.487565000000004</c:v>
                </c:pt>
                <c:pt idx="674">
                  <c:v>24.777777999999998</c:v>
                </c:pt>
                <c:pt idx="675">
                  <c:v>60.582135000000001</c:v>
                </c:pt>
                <c:pt idx="676">
                  <c:v>72.57884828325615</c:v>
                </c:pt>
                <c:pt idx="677">
                  <c:v>72.57884828325615</c:v>
                </c:pt>
                <c:pt idx="678">
                  <c:v>63.462061999999996</c:v>
                </c:pt>
                <c:pt idx="679">
                  <c:v>35.970074999999994</c:v>
                </c:pt>
                <c:pt idx="680">
                  <c:v>31.920556000000001</c:v>
                </c:pt>
                <c:pt idx="681">
                  <c:v>61.641739999999999</c:v>
                </c:pt>
                <c:pt idx="682">
                  <c:v>70.035195000000002</c:v>
                </c:pt>
                <c:pt idx="683">
                  <c:v>43.716620000000006</c:v>
                </c:pt>
                <c:pt idx="684">
                  <c:v>43.898980000000002</c:v>
                </c:pt>
                <c:pt idx="685">
                  <c:v>22.184312000000002</c:v>
                </c:pt>
                <c:pt idx="686">
                  <c:v>32.061104999999998</c:v>
                </c:pt>
                <c:pt idx="687">
                  <c:v>44.161414999999998</c:v>
                </c:pt>
                <c:pt idx="688">
                  <c:v>43.286101000000002</c:v>
                </c:pt>
                <c:pt idx="689">
                  <c:v>20.905069000000001</c:v>
                </c:pt>
                <c:pt idx="690">
                  <c:v>70.018907999999996</c:v>
                </c:pt>
                <c:pt idx="691">
                  <c:v>72.57884828325615</c:v>
                </c:pt>
                <c:pt idx="692">
                  <c:v>72.57884828325615</c:v>
                </c:pt>
                <c:pt idx="693">
                  <c:v>72.57884828325615</c:v>
                </c:pt>
                <c:pt idx="694">
                  <c:v>72.57884828325615</c:v>
                </c:pt>
                <c:pt idx="695">
                  <c:v>72.57884828325615</c:v>
                </c:pt>
                <c:pt idx="696">
                  <c:v>72.57884828325615</c:v>
                </c:pt>
                <c:pt idx="697">
                  <c:v>72.57884828325615</c:v>
                </c:pt>
                <c:pt idx="698">
                  <c:v>72.57884828325615</c:v>
                </c:pt>
                <c:pt idx="699">
                  <c:v>57.338449999999995</c:v>
                </c:pt>
                <c:pt idx="700">
                  <c:v>71.777050000000003</c:v>
                </c:pt>
                <c:pt idx="701">
                  <c:v>72.57884828325615</c:v>
                </c:pt>
                <c:pt idx="702">
                  <c:v>89.189500892925906</c:v>
                </c:pt>
                <c:pt idx="703">
                  <c:v>89.189500892925906</c:v>
                </c:pt>
                <c:pt idx="704">
                  <c:v>89.189500892925906</c:v>
                </c:pt>
                <c:pt idx="705">
                  <c:v>89.189500892925906</c:v>
                </c:pt>
                <c:pt idx="706">
                  <c:v>85.561145999999994</c:v>
                </c:pt>
                <c:pt idx="707">
                  <c:v>83.265705999999994</c:v>
                </c:pt>
                <c:pt idx="708">
                  <c:v>61.388811000000004</c:v>
                </c:pt>
                <c:pt idx="709">
                  <c:v>37.278991000000005</c:v>
                </c:pt>
                <c:pt idx="710">
                  <c:v>29.274099</c:v>
                </c:pt>
                <c:pt idx="711">
                  <c:v>76.750124</c:v>
                </c:pt>
                <c:pt idx="712">
                  <c:v>40.086457000000003</c:v>
                </c:pt>
                <c:pt idx="713">
                  <c:v>84.733426000000009</c:v>
                </c:pt>
                <c:pt idx="714">
                  <c:v>77.824528000000001</c:v>
                </c:pt>
                <c:pt idx="715">
                  <c:v>75.28002699999999</c:v>
                </c:pt>
                <c:pt idx="716">
                  <c:v>40.478398999999996</c:v>
                </c:pt>
                <c:pt idx="717">
                  <c:v>89.189500892925906</c:v>
                </c:pt>
                <c:pt idx="718">
                  <c:v>89.189500892925906</c:v>
                </c:pt>
                <c:pt idx="719">
                  <c:v>89.189500892925906</c:v>
                </c:pt>
                <c:pt idx="720">
                  <c:v>89.189500892925906</c:v>
                </c:pt>
                <c:pt idx="721">
                  <c:v>89.189500892925906</c:v>
                </c:pt>
                <c:pt idx="722">
                  <c:v>89.189500892925906</c:v>
                </c:pt>
                <c:pt idx="723">
                  <c:v>70.574541000000011</c:v>
                </c:pt>
                <c:pt idx="724">
                  <c:v>89.189500892925906</c:v>
                </c:pt>
                <c:pt idx="725">
                  <c:v>89.189500892925906</c:v>
                </c:pt>
                <c:pt idx="726">
                  <c:v>51.063001999999997</c:v>
                </c:pt>
                <c:pt idx="727">
                  <c:v>84.723232999999993</c:v>
                </c:pt>
                <c:pt idx="728">
                  <c:v>89.189500892925906</c:v>
                </c:pt>
                <c:pt idx="729">
                  <c:v>89.189500892925906</c:v>
                </c:pt>
                <c:pt idx="730">
                  <c:v>89.189500892925906</c:v>
                </c:pt>
                <c:pt idx="731">
                  <c:v>112.44239310485463</c:v>
                </c:pt>
                <c:pt idx="732">
                  <c:v>55.331459000000002</c:v>
                </c:pt>
                <c:pt idx="733">
                  <c:v>96.291117999999997</c:v>
                </c:pt>
                <c:pt idx="734">
                  <c:v>72.200810000000004</c:v>
                </c:pt>
                <c:pt idx="735">
                  <c:v>112.44239310485463</c:v>
                </c:pt>
                <c:pt idx="736">
                  <c:v>112.44239310485463</c:v>
                </c:pt>
                <c:pt idx="737">
                  <c:v>71.912965</c:v>
                </c:pt>
                <c:pt idx="738">
                  <c:v>82.087441999999996</c:v>
                </c:pt>
                <c:pt idx="739">
                  <c:v>47.678432000000001</c:v>
                </c:pt>
                <c:pt idx="740">
                  <c:v>72.397199999999998</c:v>
                </c:pt>
                <c:pt idx="741">
                  <c:v>112.44239310485463</c:v>
                </c:pt>
                <c:pt idx="742">
                  <c:v>112.44239310485463</c:v>
                </c:pt>
                <c:pt idx="743">
                  <c:v>112.44239310485463</c:v>
                </c:pt>
                <c:pt idx="744">
                  <c:v>112.44239310485463</c:v>
                </c:pt>
                <c:pt idx="745">
                  <c:v>112.44239310485463</c:v>
                </c:pt>
                <c:pt idx="746">
                  <c:v>112.44239310485463</c:v>
                </c:pt>
                <c:pt idx="747">
                  <c:v>112.44239310485463</c:v>
                </c:pt>
                <c:pt idx="748">
                  <c:v>104.670186</c:v>
                </c:pt>
                <c:pt idx="749">
                  <c:v>112.44239310485463</c:v>
                </c:pt>
                <c:pt idx="750">
                  <c:v>106.079413</c:v>
                </c:pt>
                <c:pt idx="751">
                  <c:v>97.996581999999989</c:v>
                </c:pt>
                <c:pt idx="752">
                  <c:v>109.81231600000001</c:v>
                </c:pt>
                <c:pt idx="753">
                  <c:v>85.931160999999989</c:v>
                </c:pt>
                <c:pt idx="754">
                  <c:v>69.925910000000002</c:v>
                </c:pt>
                <c:pt idx="755">
                  <c:v>51.232773999999999</c:v>
                </c:pt>
                <c:pt idx="756">
                  <c:v>94.592787000000001</c:v>
                </c:pt>
                <c:pt idx="757">
                  <c:v>70.600798999999995</c:v>
                </c:pt>
                <c:pt idx="758">
                  <c:v>72.165244999999999</c:v>
                </c:pt>
                <c:pt idx="759">
                  <c:v>69.475298999999993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738-44F7-B176-527443CE71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1950624"/>
        <c:axId val="511951016"/>
      </c:areaChart>
      <c:barChart>
        <c:barDir val="col"/>
        <c:grouping val="clustered"/>
        <c:varyColors val="0"/>
        <c:ser>
          <c:idx val="4"/>
          <c:order val="3"/>
          <c:tx>
            <c:v>CARACT</c:v>
          </c:tx>
          <c:spPr>
            <a:noFill/>
            <a:ln>
              <a:noFill/>
            </a:ln>
          </c:spPr>
          <c:invertIfNegative val="0"/>
          <c:dPt>
            <c:idx val="10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E738-44F7-B176-527443CE71EF}"/>
              </c:ext>
            </c:extLst>
          </c:dPt>
          <c:cat>
            <c:strRef>
              <c:f>'Data 5'!$G$2:$G$761</c:f>
              <c:strCache>
                <c:ptCount val="746"/>
                <c:pt idx="14">
                  <c:v>M</c:v>
                </c:pt>
                <c:pt idx="45">
                  <c:v>A</c:v>
                </c:pt>
                <c:pt idx="75">
                  <c:v>M</c:v>
                </c:pt>
                <c:pt idx="106">
                  <c:v>J</c:v>
                </c:pt>
                <c:pt idx="136">
                  <c:v>J</c:v>
                </c:pt>
                <c:pt idx="167">
                  <c:v>A</c:v>
                </c:pt>
                <c:pt idx="198">
                  <c:v>S</c:v>
                </c:pt>
                <c:pt idx="228">
                  <c:v>O</c:v>
                </c:pt>
                <c:pt idx="259">
                  <c:v>N</c:v>
                </c:pt>
                <c:pt idx="289">
                  <c:v>D</c:v>
                </c:pt>
                <c:pt idx="320">
                  <c:v>E</c:v>
                </c:pt>
                <c:pt idx="351">
                  <c:v>F</c:v>
                </c:pt>
                <c:pt idx="379">
                  <c:v>M</c:v>
                </c:pt>
                <c:pt idx="410">
                  <c:v>A</c:v>
                </c:pt>
                <c:pt idx="440">
                  <c:v>M</c:v>
                </c:pt>
                <c:pt idx="471">
                  <c:v>J</c:v>
                </c:pt>
                <c:pt idx="501">
                  <c:v>J</c:v>
                </c:pt>
                <c:pt idx="532">
                  <c:v>A</c:v>
                </c:pt>
                <c:pt idx="563">
                  <c:v>S</c:v>
                </c:pt>
                <c:pt idx="593">
                  <c:v>O</c:v>
                </c:pt>
                <c:pt idx="624">
                  <c:v>N</c:v>
                </c:pt>
                <c:pt idx="654">
                  <c:v>D</c:v>
                </c:pt>
                <c:pt idx="685">
                  <c:v>E</c:v>
                </c:pt>
                <c:pt idx="716">
                  <c:v>F</c:v>
                </c:pt>
                <c:pt idx="745">
                  <c:v>M</c:v>
                </c:pt>
              </c:strCache>
            </c:strRef>
          </c:cat>
          <c:val>
            <c:numRef>
              <c:f>'Data 5'!$H$2:$H$761</c:f>
              <c:numCache>
                <c:formatCode>0.0</c:formatCode>
                <c:ptCount val="76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738-44F7-B176-527443CE71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511950624"/>
        <c:axId val="511951016"/>
      </c:barChart>
      <c:catAx>
        <c:axId val="511949840"/>
        <c:scaling>
          <c:orientation val="minMax"/>
        </c:scaling>
        <c:delete val="0"/>
        <c:axPos val="b"/>
        <c:numFmt formatCode="mmm" sourceLinked="0"/>
        <c:majorTickMark val="none"/>
        <c:minorTickMark val="none"/>
        <c:tickLblPos val="nextTo"/>
        <c:spPr>
          <a:ln>
            <a:solidFill>
              <a:srgbClr val="004563"/>
            </a:solidFill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11950232"/>
        <c:crossesAt val="0"/>
        <c:auto val="0"/>
        <c:lblAlgn val="ctr"/>
        <c:lblOffset val="100"/>
        <c:tickLblSkip val="1"/>
        <c:noMultiLvlLbl val="0"/>
      </c:catAx>
      <c:valAx>
        <c:axId val="511950232"/>
        <c:scaling>
          <c:orientation val="minMax"/>
        </c:scaling>
        <c:delete val="0"/>
        <c:axPos val="l"/>
        <c:majorGridlines>
          <c:spPr>
            <a:ln w="12700">
              <a:solidFill>
                <a:srgbClr val="BFBFBF"/>
              </a:solidFill>
              <a:prstDash val="solid"/>
            </a:ln>
          </c:spPr>
        </c:majorGridlines>
        <c:numFmt formatCode="#,##0" sourceLinked="1"/>
        <c:majorTickMark val="cross"/>
        <c:minorTickMark val="none"/>
        <c:tickLblPos val="nextTo"/>
        <c:spPr>
          <a:ln w="12700">
            <a:solidFill>
              <a:srgbClr val="004563"/>
            </a:solidFill>
            <a:prstDash val="solid"/>
          </a:ln>
        </c:spPr>
        <c:txPr>
          <a:bodyPr rot="0" vert="horz"/>
          <a:lstStyle/>
          <a:p>
            <a:pPr algn="ctr" rtl="0">
              <a:defRPr lang="es-ES"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511949840"/>
        <c:crosses val="autoZero"/>
        <c:crossBetween val="midCat"/>
      </c:valAx>
      <c:catAx>
        <c:axId val="511950624"/>
        <c:scaling>
          <c:orientation val="minMax"/>
        </c:scaling>
        <c:delete val="1"/>
        <c:axPos val="b"/>
        <c:majorTickMark val="out"/>
        <c:minorTickMark val="none"/>
        <c:tickLblPos val="nextTo"/>
        <c:crossAx val="511951016"/>
        <c:crosses val="autoZero"/>
        <c:auto val="0"/>
        <c:lblAlgn val="ctr"/>
        <c:lblOffset val="100"/>
        <c:noMultiLvlLbl val="0"/>
      </c:catAx>
      <c:valAx>
        <c:axId val="511951016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511950624"/>
        <c:crosses val="autoZero"/>
        <c:crossBetween val="midCat"/>
      </c:valAx>
      <c:spPr>
        <a:noFill/>
        <a:ln w="12700">
          <a:noFill/>
          <a:prstDash val="solid"/>
        </a:ln>
      </c:spPr>
    </c:plotArea>
    <c:plotVisOnly val="0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Futura"/>
          <a:ea typeface="Futura"/>
          <a:cs typeface="Futura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1085030247996251E-2"/>
          <c:y val="0.11902039804079609"/>
          <c:w val="0.88448972314479668"/>
          <c:h val="0.66229731126128921"/>
        </c:manualLayout>
      </c:layout>
      <c:areaChart>
        <c:grouping val="standard"/>
        <c:varyColors val="0"/>
        <c:ser>
          <c:idx val="4"/>
          <c:order val="0"/>
          <c:tx>
            <c:strRef>
              <c:f>Dat_02!$C$1</c:f>
              <c:strCache>
                <c:ptCount val="1"/>
                <c:pt idx="0">
                  <c:v>Producible diario</c:v>
                </c:pt>
              </c:strCache>
            </c:strRef>
          </c:tx>
          <c:spPr>
            <a:solidFill>
              <a:srgbClr val="00B0F0"/>
            </a:solidFill>
            <a:ln w="25400">
              <a:noFill/>
            </a:ln>
          </c:spPr>
          <c:dLbls>
            <c:delete val="1"/>
          </c:dLbls>
          <c:cat>
            <c:strRef>
              <c:f>Dat_02!$F$3:$F$398</c:f>
              <c:strCache>
                <c:ptCount val="380"/>
                <c:pt idx="14">
                  <c:v>M</c:v>
                </c:pt>
                <c:pt idx="45">
                  <c:v>A</c:v>
                </c:pt>
                <c:pt idx="75">
                  <c:v>M</c:v>
                </c:pt>
                <c:pt idx="106">
                  <c:v>J</c:v>
                </c:pt>
                <c:pt idx="136">
                  <c:v>J</c:v>
                </c:pt>
                <c:pt idx="167">
                  <c:v>A</c:v>
                </c:pt>
                <c:pt idx="198">
                  <c:v>S</c:v>
                </c:pt>
                <c:pt idx="228">
                  <c:v>O</c:v>
                </c:pt>
                <c:pt idx="259">
                  <c:v>N</c:v>
                </c:pt>
                <c:pt idx="289">
                  <c:v>D</c:v>
                </c:pt>
                <c:pt idx="320">
                  <c:v>E</c:v>
                </c:pt>
                <c:pt idx="351">
                  <c:v>F</c:v>
                </c:pt>
                <c:pt idx="379">
                  <c:v>M</c:v>
                </c:pt>
              </c:strCache>
            </c:strRef>
          </c:cat>
          <c:val>
            <c:numRef>
              <c:f>Dat_02!$C$396:$C$763</c:f>
              <c:numCache>
                <c:formatCode>#,##0.0</c:formatCode>
                <c:ptCount val="368"/>
                <c:pt idx="0">
                  <c:v>64.691698202706135</c:v>
                </c:pt>
                <c:pt idx="1">
                  <c:v>59.011945382707992</c:v>
                </c:pt>
                <c:pt idx="2">
                  <c:v>53.312698355709855</c:v>
                </c:pt>
                <c:pt idx="3">
                  <c:v>42.493725209706128</c:v>
                </c:pt>
                <c:pt idx="4">
                  <c:v>36.462962470707993</c:v>
                </c:pt>
                <c:pt idx="5">
                  <c:v>71.586927515707998</c:v>
                </c:pt>
                <c:pt idx="6">
                  <c:v>57.255484254709863</c:v>
                </c:pt>
                <c:pt idx="7">
                  <c:v>64.599635284221606</c:v>
                </c:pt>
                <c:pt idx="8">
                  <c:v>46.730263355221595</c:v>
                </c:pt>
                <c:pt idx="9">
                  <c:v>37.4792726572216</c:v>
                </c:pt>
                <c:pt idx="10">
                  <c:v>46.00130915122346</c:v>
                </c:pt>
                <c:pt idx="11">
                  <c:v>35.098987776223453</c:v>
                </c:pt>
                <c:pt idx="12">
                  <c:v>30.006082424221596</c:v>
                </c:pt>
                <c:pt idx="13">
                  <c:v>50.322251453221597</c:v>
                </c:pt>
                <c:pt idx="14">
                  <c:v>26.62239486300227</c:v>
                </c:pt>
                <c:pt idx="15">
                  <c:v>33.460726938004143</c:v>
                </c:pt>
                <c:pt idx="16">
                  <c:v>32.087652683002275</c:v>
                </c:pt>
                <c:pt idx="17">
                  <c:v>26.979100495002275</c:v>
                </c:pt>
                <c:pt idx="18">
                  <c:v>23.588325971002277</c:v>
                </c:pt>
                <c:pt idx="19">
                  <c:v>40.381294851002274</c:v>
                </c:pt>
                <c:pt idx="20">
                  <c:v>41.698311407002272</c:v>
                </c:pt>
                <c:pt idx="21">
                  <c:v>38.459751478523017</c:v>
                </c:pt>
                <c:pt idx="22">
                  <c:v>44.606724438528602</c:v>
                </c:pt>
                <c:pt idx="23">
                  <c:v>42.978956294528601</c:v>
                </c:pt>
                <c:pt idx="24">
                  <c:v>32.30674932252488</c:v>
                </c:pt>
                <c:pt idx="25">
                  <c:v>16.129574974524875</c:v>
                </c:pt>
                <c:pt idx="26">
                  <c:v>33.781601114526737</c:v>
                </c:pt>
                <c:pt idx="27">
                  <c:v>34.263615814526737</c:v>
                </c:pt>
                <c:pt idx="28">
                  <c:v>47.822112063296359</c:v>
                </c:pt>
                <c:pt idx="29">
                  <c:v>51.846013083296363</c:v>
                </c:pt>
                <c:pt idx="30">
                  <c:v>52.039187827300076</c:v>
                </c:pt>
                <c:pt idx="31">
                  <c:v>40.590203135296363</c:v>
                </c:pt>
                <c:pt idx="32">
                  <c:v>28.058505235298224</c:v>
                </c:pt>
                <c:pt idx="33">
                  <c:v>19.094722231298221</c:v>
                </c:pt>
                <c:pt idx="34">
                  <c:v>39.405765023296354</c:v>
                </c:pt>
                <c:pt idx="35">
                  <c:v>24.253473117605893</c:v>
                </c:pt>
                <c:pt idx="36">
                  <c:v>29.789511705604031</c:v>
                </c:pt>
                <c:pt idx="37">
                  <c:v>35.531756725605895</c:v>
                </c:pt>
                <c:pt idx="38">
                  <c:v>22.35288369360217</c:v>
                </c:pt>
                <c:pt idx="39">
                  <c:v>20.947856357607758</c:v>
                </c:pt>
                <c:pt idx="40">
                  <c:v>34.689995977604035</c:v>
                </c:pt>
                <c:pt idx="41">
                  <c:v>23.200321058604029</c:v>
                </c:pt>
                <c:pt idx="42">
                  <c:v>30.85524472361184</c:v>
                </c:pt>
                <c:pt idx="43">
                  <c:v>26.687434412613701</c:v>
                </c:pt>
                <c:pt idx="44">
                  <c:v>24.748296420613705</c:v>
                </c:pt>
                <c:pt idx="45">
                  <c:v>14.840623304609981</c:v>
                </c:pt>
                <c:pt idx="46">
                  <c:v>12.583411300613701</c:v>
                </c:pt>
                <c:pt idx="47">
                  <c:v>19.699402096613703</c:v>
                </c:pt>
                <c:pt idx="48">
                  <c:v>16.314681832609974</c:v>
                </c:pt>
                <c:pt idx="49">
                  <c:v>12.384628724485975</c:v>
                </c:pt>
                <c:pt idx="50">
                  <c:v>16.360547560484111</c:v>
                </c:pt>
                <c:pt idx="51">
                  <c:v>22.062701252485976</c:v>
                </c:pt>
                <c:pt idx="52">
                  <c:v>20.187922392484115</c:v>
                </c:pt>
                <c:pt idx="53">
                  <c:v>23.558985800484109</c:v>
                </c:pt>
                <c:pt idx="54">
                  <c:v>46.20527082448784</c:v>
                </c:pt>
                <c:pt idx="55">
                  <c:v>35.948164148484111</c:v>
                </c:pt>
                <c:pt idx="56">
                  <c:v>37.116430182011072</c:v>
                </c:pt>
                <c:pt idx="57">
                  <c:v>31.226979650009206</c:v>
                </c:pt>
                <c:pt idx="58">
                  <c:v>26.447559566012934</c:v>
                </c:pt>
                <c:pt idx="59">
                  <c:v>36.083278978012935</c:v>
                </c:pt>
                <c:pt idx="60">
                  <c:v>27.348481378011069</c:v>
                </c:pt>
                <c:pt idx="61">
                  <c:v>37.985107738009212</c:v>
                </c:pt>
                <c:pt idx="62">
                  <c:v>53.444317844011074</c:v>
                </c:pt>
                <c:pt idx="63">
                  <c:v>50.229088330899209</c:v>
                </c:pt>
                <c:pt idx="64">
                  <c:v>60.779131178901082</c:v>
                </c:pt>
                <c:pt idx="65">
                  <c:v>61.613809250901078</c:v>
                </c:pt>
                <c:pt idx="66">
                  <c:v>40.712711482899209</c:v>
                </c:pt>
                <c:pt idx="67">
                  <c:v>32.857694770899215</c:v>
                </c:pt>
                <c:pt idx="68">
                  <c:v>59.050819934901085</c:v>
                </c:pt>
                <c:pt idx="69">
                  <c:v>56.63656027489921</c:v>
                </c:pt>
                <c:pt idx="70">
                  <c:v>69.214255720859512</c:v>
                </c:pt>
                <c:pt idx="71">
                  <c:v>72.875898024859524</c:v>
                </c:pt>
                <c:pt idx="72">
                  <c:v>63.180801376857652</c:v>
                </c:pt>
                <c:pt idx="73">
                  <c:v>60.43962682885951</c:v>
                </c:pt>
                <c:pt idx="74">
                  <c:v>51.759126908859514</c:v>
                </c:pt>
                <c:pt idx="75">
                  <c:v>78.445429872859521</c:v>
                </c:pt>
                <c:pt idx="76">
                  <c:v>74.472029744859512</c:v>
                </c:pt>
                <c:pt idx="77">
                  <c:v>61.48177375849162</c:v>
                </c:pt>
                <c:pt idx="78">
                  <c:v>69.867611942491621</c:v>
                </c:pt>
                <c:pt idx="79">
                  <c:v>78.254237598495337</c:v>
                </c:pt>
                <c:pt idx="80">
                  <c:v>56.491981126493485</c:v>
                </c:pt>
                <c:pt idx="81">
                  <c:v>40.625565390491616</c:v>
                </c:pt>
                <c:pt idx="82">
                  <c:v>63.964851278493484</c:v>
                </c:pt>
                <c:pt idx="83">
                  <c:v>63.700315196493477</c:v>
                </c:pt>
                <c:pt idx="84">
                  <c:v>76.434700403560868</c:v>
                </c:pt>
                <c:pt idx="85">
                  <c:v>60.879025239560868</c:v>
                </c:pt>
                <c:pt idx="86">
                  <c:v>56.585806815560865</c:v>
                </c:pt>
                <c:pt idx="87">
                  <c:v>45.285563307560864</c:v>
                </c:pt>
                <c:pt idx="88">
                  <c:v>39.898130859559004</c:v>
                </c:pt>
                <c:pt idx="89">
                  <c:v>49.490690407560869</c:v>
                </c:pt>
                <c:pt idx="90">
                  <c:v>60.819213259559007</c:v>
                </c:pt>
                <c:pt idx="91">
                  <c:v>37.402692723792917</c:v>
                </c:pt>
                <c:pt idx="92">
                  <c:v>17.675389911791054</c:v>
                </c:pt>
                <c:pt idx="93">
                  <c:v>22.42099434779292</c:v>
                </c:pt>
                <c:pt idx="94">
                  <c:v>10.764143951792917</c:v>
                </c:pt>
                <c:pt idx="95">
                  <c:v>12.38707608779292</c:v>
                </c:pt>
                <c:pt idx="96">
                  <c:v>25.683337035791052</c:v>
                </c:pt>
                <c:pt idx="97">
                  <c:v>23.145132199792918</c:v>
                </c:pt>
                <c:pt idx="98">
                  <c:v>25.82995115699865</c:v>
                </c:pt>
                <c:pt idx="99">
                  <c:v>26.201231548998649</c:v>
                </c:pt>
                <c:pt idx="100">
                  <c:v>17.300016412998652</c:v>
                </c:pt>
                <c:pt idx="101">
                  <c:v>15.172527685000517</c:v>
                </c:pt>
                <c:pt idx="102">
                  <c:v>10.88104752899865</c:v>
                </c:pt>
                <c:pt idx="103">
                  <c:v>28.920031092998652</c:v>
                </c:pt>
                <c:pt idx="104">
                  <c:v>31.077243037000517</c:v>
                </c:pt>
                <c:pt idx="105">
                  <c:v>14.183226333087557</c:v>
                </c:pt>
                <c:pt idx="106">
                  <c:v>10.3727383630857</c:v>
                </c:pt>
                <c:pt idx="107">
                  <c:v>4.9091500490875628</c:v>
                </c:pt>
                <c:pt idx="108">
                  <c:v>1.1223621510875601</c:v>
                </c:pt>
                <c:pt idx="109">
                  <c:v>1.2527377760875607</c:v>
                </c:pt>
                <c:pt idx="110">
                  <c:v>9.5187780880875579</c:v>
                </c:pt>
                <c:pt idx="111">
                  <c:v>21.238165024087561</c:v>
                </c:pt>
                <c:pt idx="112">
                  <c:v>14.719824948133187</c:v>
                </c:pt>
                <c:pt idx="113">
                  <c:v>4.3961503001350506</c:v>
                </c:pt>
                <c:pt idx="114">
                  <c:v>2.7864231081313267</c:v>
                </c:pt>
                <c:pt idx="115">
                  <c:v>3.4104858281331909</c:v>
                </c:pt>
                <c:pt idx="116">
                  <c:v>0.66356802413318661</c:v>
                </c:pt>
                <c:pt idx="117">
                  <c:v>2.3629647521331862</c:v>
                </c:pt>
                <c:pt idx="118">
                  <c:v>1.2923573881341217</c:v>
                </c:pt>
                <c:pt idx="119">
                  <c:v>6.5609360918694071</c:v>
                </c:pt>
                <c:pt idx="120">
                  <c:v>4.5303661118684762</c:v>
                </c:pt>
                <c:pt idx="121">
                  <c:v>6.5312281798703333</c:v>
                </c:pt>
                <c:pt idx="122">
                  <c:v>3.548440679868472</c:v>
                </c:pt>
                <c:pt idx="123">
                  <c:v>1.105057919869403</c:v>
                </c:pt>
                <c:pt idx="124">
                  <c:v>1.3670182158694042</c:v>
                </c:pt>
                <c:pt idx="125">
                  <c:v>1.782965891869404</c:v>
                </c:pt>
                <c:pt idx="126">
                  <c:v>2.1689622764460839</c:v>
                </c:pt>
                <c:pt idx="127">
                  <c:v>0.78540507645074098</c:v>
                </c:pt>
                <c:pt idx="128">
                  <c:v>1.0309195644470164</c:v>
                </c:pt>
                <c:pt idx="129">
                  <c:v>1.8049678124498096</c:v>
                </c:pt>
                <c:pt idx="130">
                  <c:v>1.004827152447946</c:v>
                </c:pt>
                <c:pt idx="131">
                  <c:v>0.7337421964488785</c:v>
                </c:pt>
                <c:pt idx="132">
                  <c:v>5.0941232324488812</c:v>
                </c:pt>
                <c:pt idx="133">
                  <c:v>10.186300378786349</c:v>
                </c:pt>
                <c:pt idx="134">
                  <c:v>0.79286929878914447</c:v>
                </c:pt>
                <c:pt idx="135">
                  <c:v>5.455991310786354</c:v>
                </c:pt>
                <c:pt idx="136">
                  <c:v>0.80239395078728193</c:v>
                </c:pt>
                <c:pt idx="137">
                  <c:v>0.93516316678728251</c:v>
                </c:pt>
                <c:pt idx="138">
                  <c:v>0.7927689467872806</c:v>
                </c:pt>
                <c:pt idx="139">
                  <c:v>1.0170399587863503</c:v>
                </c:pt>
                <c:pt idx="140">
                  <c:v>1.3471824894848832</c:v>
                </c:pt>
                <c:pt idx="141">
                  <c:v>0.75471684948861006</c:v>
                </c:pt>
                <c:pt idx="142">
                  <c:v>1.4968303974848822</c:v>
                </c:pt>
                <c:pt idx="143">
                  <c:v>0.98054632948674769</c:v>
                </c:pt>
                <c:pt idx="144">
                  <c:v>0.98118557748674717</c:v>
                </c:pt>
                <c:pt idx="145">
                  <c:v>0.93594360148488343</c:v>
                </c:pt>
                <c:pt idx="146">
                  <c:v>0.78725084548488666</c:v>
                </c:pt>
                <c:pt idx="147">
                  <c:v>5.3613860599029071</c:v>
                </c:pt>
                <c:pt idx="148">
                  <c:v>1.3795156158991813</c:v>
                </c:pt>
                <c:pt idx="149">
                  <c:v>0.64003740790104346</c:v>
                </c:pt>
                <c:pt idx="150">
                  <c:v>0.85277524390197501</c:v>
                </c:pt>
                <c:pt idx="151">
                  <c:v>1.3342008999001118</c:v>
                </c:pt>
                <c:pt idx="152">
                  <c:v>0.57709913590011275</c:v>
                </c:pt>
                <c:pt idx="153">
                  <c:v>1.4900494078991797</c:v>
                </c:pt>
                <c:pt idx="154">
                  <c:v>2.439024072921784</c:v>
                </c:pt>
                <c:pt idx="155">
                  <c:v>2.3962360889227128</c:v>
                </c:pt>
                <c:pt idx="156">
                  <c:v>19.802804212921785</c:v>
                </c:pt>
                <c:pt idx="157">
                  <c:v>8.8364277529208515</c:v>
                </c:pt>
                <c:pt idx="158">
                  <c:v>9.7225829929199215</c:v>
                </c:pt>
                <c:pt idx="159">
                  <c:v>12.063968236922715</c:v>
                </c:pt>
                <c:pt idx="160">
                  <c:v>19.704329852921788</c:v>
                </c:pt>
                <c:pt idx="161">
                  <c:v>38.792895148574281</c:v>
                </c:pt>
                <c:pt idx="162">
                  <c:v>42.623226828575213</c:v>
                </c:pt>
                <c:pt idx="163">
                  <c:v>38.379404017574281</c:v>
                </c:pt>
                <c:pt idx="164">
                  <c:v>25.808062667576145</c:v>
                </c:pt>
                <c:pt idx="165">
                  <c:v>22.100200360575212</c:v>
                </c:pt>
                <c:pt idx="166">
                  <c:v>33.835374380574279</c:v>
                </c:pt>
                <c:pt idx="167">
                  <c:v>35.609643696575212</c:v>
                </c:pt>
                <c:pt idx="168">
                  <c:v>20.692340154021089</c:v>
                </c:pt>
                <c:pt idx="169">
                  <c:v>18.260814747020159</c:v>
                </c:pt>
                <c:pt idx="170">
                  <c:v>24.51274495701923</c:v>
                </c:pt>
                <c:pt idx="171">
                  <c:v>17.613897146022019</c:v>
                </c:pt>
                <c:pt idx="172">
                  <c:v>8.9958853780192278</c:v>
                </c:pt>
                <c:pt idx="173">
                  <c:v>25.248270350022022</c:v>
                </c:pt>
                <c:pt idx="174">
                  <c:v>25.563371466020158</c:v>
                </c:pt>
                <c:pt idx="175">
                  <c:v>21.948302107410477</c:v>
                </c:pt>
                <c:pt idx="176">
                  <c:v>12.867219731411408</c:v>
                </c:pt>
                <c:pt idx="177">
                  <c:v>24.258553983410479</c:v>
                </c:pt>
                <c:pt idx="178">
                  <c:v>17.477073947411409</c:v>
                </c:pt>
                <c:pt idx="179">
                  <c:v>16.451820575408615</c:v>
                </c:pt>
                <c:pt idx="180">
                  <c:v>32.104403671412342</c:v>
                </c:pt>
                <c:pt idx="181">
                  <c:v>33.938328899409541</c:v>
                </c:pt>
                <c:pt idx="182">
                  <c:v>20.90603436955811</c:v>
                </c:pt>
                <c:pt idx="183">
                  <c:v>18.33551687355904</c:v>
                </c:pt>
                <c:pt idx="184">
                  <c:v>20.135935989558106</c:v>
                </c:pt>
                <c:pt idx="185">
                  <c:v>4.0797406895590393</c:v>
                </c:pt>
                <c:pt idx="186">
                  <c:v>0.84823744955904112</c:v>
                </c:pt>
                <c:pt idx="187">
                  <c:v>0.9602911375581098</c:v>
                </c:pt>
                <c:pt idx="188">
                  <c:v>3.2073961695590407</c:v>
                </c:pt>
                <c:pt idx="189">
                  <c:v>7.7128933218427083</c:v>
                </c:pt>
                <c:pt idx="190">
                  <c:v>18.757089646844573</c:v>
                </c:pt>
                <c:pt idx="191">
                  <c:v>21.618682225843646</c:v>
                </c:pt>
                <c:pt idx="192">
                  <c:v>4.6228063218445712</c:v>
                </c:pt>
                <c:pt idx="193">
                  <c:v>2.9587972828436397</c:v>
                </c:pt>
                <c:pt idx="194">
                  <c:v>22.02844628484457</c:v>
                </c:pt>
                <c:pt idx="195">
                  <c:v>23.77941356184364</c:v>
                </c:pt>
                <c:pt idx="196">
                  <c:v>16.200307536526953</c:v>
                </c:pt>
                <c:pt idx="197">
                  <c:v>8.2141049895250902</c:v>
                </c:pt>
                <c:pt idx="198">
                  <c:v>3.2859982715278822</c:v>
                </c:pt>
                <c:pt idx="199">
                  <c:v>11.08688186452695</c:v>
                </c:pt>
                <c:pt idx="200">
                  <c:v>4.878889060526955</c:v>
                </c:pt>
                <c:pt idx="201">
                  <c:v>26.990288200526951</c:v>
                </c:pt>
                <c:pt idx="202">
                  <c:v>4.7591329325269545</c:v>
                </c:pt>
                <c:pt idx="203">
                  <c:v>69.301702732977404</c:v>
                </c:pt>
                <c:pt idx="204">
                  <c:v>76.788497715978323</c:v>
                </c:pt>
                <c:pt idx="205">
                  <c:v>88.607744400979271</c:v>
                </c:pt>
                <c:pt idx="206">
                  <c:v>94.690464856979261</c:v>
                </c:pt>
                <c:pt idx="207">
                  <c:v>103.0744109489774</c:v>
                </c:pt>
                <c:pt idx="208">
                  <c:v>121.68581367297928</c:v>
                </c:pt>
                <c:pt idx="209">
                  <c:v>99.479185400978338</c:v>
                </c:pt>
                <c:pt idx="210">
                  <c:v>153.27217943682234</c:v>
                </c:pt>
                <c:pt idx="211">
                  <c:v>159.0758643998214</c:v>
                </c:pt>
                <c:pt idx="212">
                  <c:v>171.12282010182233</c:v>
                </c:pt>
                <c:pt idx="213">
                  <c:v>165.19954648382142</c:v>
                </c:pt>
                <c:pt idx="214">
                  <c:v>176.09406028882233</c:v>
                </c:pt>
                <c:pt idx="215">
                  <c:v>183.32879985482234</c:v>
                </c:pt>
                <c:pt idx="216">
                  <c:v>207.29087419382046</c:v>
                </c:pt>
                <c:pt idx="217">
                  <c:v>252.34479253189818</c:v>
                </c:pt>
                <c:pt idx="218">
                  <c:v>252.82773148389819</c:v>
                </c:pt>
                <c:pt idx="219">
                  <c:v>262.46804328789818</c:v>
                </c:pt>
                <c:pt idx="220">
                  <c:v>260.0598686118982</c:v>
                </c:pt>
                <c:pt idx="221">
                  <c:v>259.1792416438991</c:v>
                </c:pt>
                <c:pt idx="222">
                  <c:v>270.53833565289727</c:v>
                </c:pt>
                <c:pt idx="223">
                  <c:v>287.01657496989912</c:v>
                </c:pt>
                <c:pt idx="224">
                  <c:v>200.27169127970353</c:v>
                </c:pt>
                <c:pt idx="225">
                  <c:v>191.20337301370165</c:v>
                </c:pt>
                <c:pt idx="226">
                  <c:v>188.93015086770166</c:v>
                </c:pt>
                <c:pt idx="227">
                  <c:v>163.91813598970353</c:v>
                </c:pt>
                <c:pt idx="228">
                  <c:v>169.85295779870353</c:v>
                </c:pt>
                <c:pt idx="229">
                  <c:v>185.62598372670351</c:v>
                </c:pt>
                <c:pt idx="230">
                  <c:v>194.15288173870167</c:v>
                </c:pt>
                <c:pt idx="231">
                  <c:v>136.04036127041906</c:v>
                </c:pt>
                <c:pt idx="232">
                  <c:v>136.99093102641908</c:v>
                </c:pt>
                <c:pt idx="233">
                  <c:v>152.77397935041907</c:v>
                </c:pt>
                <c:pt idx="234">
                  <c:v>146.69987278242093</c:v>
                </c:pt>
                <c:pt idx="235">
                  <c:v>112.86533377041907</c:v>
                </c:pt>
                <c:pt idx="236">
                  <c:v>132.75218811441906</c:v>
                </c:pt>
                <c:pt idx="237">
                  <c:v>95.756374298420923</c:v>
                </c:pt>
                <c:pt idx="238">
                  <c:v>53.644299812797733</c:v>
                </c:pt>
                <c:pt idx="239">
                  <c:v>68.63053512879587</c:v>
                </c:pt>
                <c:pt idx="240">
                  <c:v>81.573578988797735</c:v>
                </c:pt>
                <c:pt idx="241">
                  <c:v>77.610073240797732</c:v>
                </c:pt>
                <c:pt idx="242">
                  <c:v>119.08774744079774</c:v>
                </c:pt>
                <c:pt idx="243">
                  <c:v>115.80241880879586</c:v>
                </c:pt>
                <c:pt idx="244">
                  <c:v>111.20884823679772</c:v>
                </c:pt>
                <c:pt idx="245">
                  <c:v>137.62113917065372</c:v>
                </c:pt>
                <c:pt idx="246">
                  <c:v>160.63037339865744</c:v>
                </c:pt>
                <c:pt idx="247">
                  <c:v>159.82295128265372</c:v>
                </c:pt>
                <c:pt idx="248">
                  <c:v>156.65278832665558</c:v>
                </c:pt>
                <c:pt idx="249">
                  <c:v>163.37818961465373</c:v>
                </c:pt>
                <c:pt idx="250">
                  <c:v>170.60531195065747</c:v>
                </c:pt>
                <c:pt idx="251">
                  <c:v>199.93415958265373</c:v>
                </c:pt>
                <c:pt idx="252">
                  <c:v>203.09537113522717</c:v>
                </c:pt>
                <c:pt idx="253">
                  <c:v>174.14064992322719</c:v>
                </c:pt>
                <c:pt idx="254">
                  <c:v>128.77621372722533</c:v>
                </c:pt>
                <c:pt idx="255">
                  <c:v>132.17955755122719</c:v>
                </c:pt>
                <c:pt idx="256">
                  <c:v>138.86893037922533</c:v>
                </c:pt>
                <c:pt idx="257">
                  <c:v>159.3260066972272</c:v>
                </c:pt>
                <c:pt idx="258">
                  <c:v>171.4619880912272</c:v>
                </c:pt>
                <c:pt idx="259">
                  <c:v>142.13530520657491</c:v>
                </c:pt>
                <c:pt idx="260">
                  <c:v>141.16566657457307</c:v>
                </c:pt>
                <c:pt idx="261">
                  <c:v>153.64465403057307</c:v>
                </c:pt>
                <c:pt idx="262">
                  <c:v>154.99507404257304</c:v>
                </c:pt>
                <c:pt idx="263">
                  <c:v>162.51315517457493</c:v>
                </c:pt>
                <c:pt idx="264">
                  <c:v>187.77831825057308</c:v>
                </c:pt>
                <c:pt idx="265">
                  <c:v>183.13893505057305</c:v>
                </c:pt>
                <c:pt idx="266">
                  <c:v>90.183736069493563</c:v>
                </c:pt>
                <c:pt idx="267">
                  <c:v>95.043589213493576</c:v>
                </c:pt>
                <c:pt idx="268">
                  <c:v>83.781432525495433</c:v>
                </c:pt>
                <c:pt idx="269">
                  <c:v>81.579333937491697</c:v>
                </c:pt>
                <c:pt idx="270">
                  <c:v>105.31441543349543</c:v>
                </c:pt>
                <c:pt idx="271">
                  <c:v>86.276048425495418</c:v>
                </c:pt>
                <c:pt idx="272">
                  <c:v>120.60045578949357</c:v>
                </c:pt>
                <c:pt idx="273">
                  <c:v>129.98663255014625</c:v>
                </c:pt>
                <c:pt idx="274">
                  <c:v>125.53044622614814</c:v>
                </c:pt>
                <c:pt idx="275">
                  <c:v>136.81955190614624</c:v>
                </c:pt>
                <c:pt idx="276">
                  <c:v>80.37812548214626</c:v>
                </c:pt>
                <c:pt idx="277">
                  <c:v>57.869754374148123</c:v>
                </c:pt>
                <c:pt idx="278">
                  <c:v>43.901266766148126</c:v>
                </c:pt>
                <c:pt idx="279">
                  <c:v>53.306943536146257</c:v>
                </c:pt>
                <c:pt idx="280">
                  <c:v>93.469764938338031</c:v>
                </c:pt>
                <c:pt idx="281">
                  <c:v>139.41222447033803</c:v>
                </c:pt>
                <c:pt idx="282">
                  <c:v>83.401819142339903</c:v>
                </c:pt>
                <c:pt idx="283">
                  <c:v>78.439711654339888</c:v>
                </c:pt>
                <c:pt idx="284">
                  <c:v>89.721362702336165</c:v>
                </c:pt>
                <c:pt idx="285">
                  <c:v>145.76173832633989</c:v>
                </c:pt>
                <c:pt idx="286">
                  <c:v>172.76645764133988</c:v>
                </c:pt>
                <c:pt idx="287">
                  <c:v>126.44372541382533</c:v>
                </c:pt>
                <c:pt idx="288">
                  <c:v>120.45651734982719</c:v>
                </c:pt>
                <c:pt idx="289">
                  <c:v>88.626292729827199</c:v>
                </c:pt>
                <c:pt idx="290">
                  <c:v>99.166459573825321</c:v>
                </c:pt>
                <c:pt idx="291">
                  <c:v>71.0015864418272</c:v>
                </c:pt>
                <c:pt idx="292">
                  <c:v>99.190810133825352</c:v>
                </c:pt>
                <c:pt idx="293">
                  <c:v>73.976678177829058</c:v>
                </c:pt>
                <c:pt idx="294">
                  <c:v>289.03740449339853</c:v>
                </c:pt>
                <c:pt idx="295">
                  <c:v>304.28462594139847</c:v>
                </c:pt>
                <c:pt idx="296">
                  <c:v>321.82172562540029</c:v>
                </c:pt>
                <c:pt idx="297">
                  <c:v>322.73527708940031</c:v>
                </c:pt>
                <c:pt idx="298">
                  <c:v>323.57986505340034</c:v>
                </c:pt>
                <c:pt idx="299">
                  <c:v>327.74455240239848</c:v>
                </c:pt>
                <c:pt idx="300">
                  <c:v>333.98492745240031</c:v>
                </c:pt>
                <c:pt idx="301">
                  <c:v>172.19888286489703</c:v>
                </c:pt>
                <c:pt idx="302">
                  <c:v>187.54536531289892</c:v>
                </c:pt>
                <c:pt idx="303">
                  <c:v>197.0770346288933</c:v>
                </c:pt>
                <c:pt idx="304">
                  <c:v>154.8458385608989</c:v>
                </c:pt>
                <c:pt idx="305">
                  <c:v>141.9576037128989</c:v>
                </c:pt>
                <c:pt idx="306">
                  <c:v>166.36853350889703</c:v>
                </c:pt>
                <c:pt idx="307">
                  <c:v>191.63985096889516</c:v>
                </c:pt>
                <c:pt idx="308">
                  <c:v>124.33498129313774</c:v>
                </c:pt>
                <c:pt idx="309">
                  <c:v>113.63725392513585</c:v>
                </c:pt>
                <c:pt idx="310">
                  <c:v>86.201154877137725</c:v>
                </c:pt>
                <c:pt idx="311">
                  <c:v>68.517948005135864</c:v>
                </c:pt>
                <c:pt idx="312">
                  <c:v>54.32054651313959</c:v>
                </c:pt>
                <c:pt idx="313">
                  <c:v>105.79176961713773</c:v>
                </c:pt>
                <c:pt idx="314">
                  <c:v>101.08770687713587</c:v>
                </c:pt>
                <c:pt idx="315">
                  <c:v>122.22068068134585</c:v>
                </c:pt>
                <c:pt idx="316">
                  <c:v>119.06189043334957</c:v>
                </c:pt>
                <c:pt idx="317">
                  <c:v>120.35209517734398</c:v>
                </c:pt>
                <c:pt idx="318">
                  <c:v>79.280241521347719</c:v>
                </c:pt>
                <c:pt idx="319">
                  <c:v>89.377392257349584</c:v>
                </c:pt>
                <c:pt idx="320">
                  <c:v>101.40798592534586</c:v>
                </c:pt>
                <c:pt idx="321">
                  <c:v>153.53880028534772</c:v>
                </c:pt>
                <c:pt idx="322">
                  <c:v>154.06305492467584</c:v>
                </c:pt>
                <c:pt idx="323">
                  <c:v>143.8772107326777</c:v>
                </c:pt>
                <c:pt idx="324">
                  <c:v>131.99856114867583</c:v>
                </c:pt>
                <c:pt idx="325">
                  <c:v>117.48944197267397</c:v>
                </c:pt>
                <c:pt idx="326">
                  <c:v>109.62150693667769</c:v>
                </c:pt>
                <c:pt idx="327">
                  <c:v>102.85124453667584</c:v>
                </c:pt>
                <c:pt idx="328">
                  <c:v>140.4131380446758</c:v>
                </c:pt>
                <c:pt idx="329">
                  <c:v>178.84460396162029</c:v>
                </c:pt>
                <c:pt idx="330">
                  <c:v>123.09941888562219</c:v>
                </c:pt>
                <c:pt idx="331">
                  <c:v>108.94874475362033</c:v>
                </c:pt>
                <c:pt idx="332">
                  <c:v>102.35199537762031</c:v>
                </c:pt>
                <c:pt idx="333">
                  <c:v>101.27404481762032</c:v>
                </c:pt>
                <c:pt idx="334">
                  <c:v>132.19599849762403</c:v>
                </c:pt>
                <c:pt idx="335">
                  <c:v>143.35656574162033</c:v>
                </c:pt>
                <c:pt idx="336">
                  <c:v>202.50733048474109</c:v>
                </c:pt>
                <c:pt idx="337">
                  <c:v>206.91297946474481</c:v>
                </c:pt>
                <c:pt idx="338">
                  <c:v>208.5153227607392</c:v>
                </c:pt>
                <c:pt idx="339">
                  <c:v>208.50941681274296</c:v>
                </c:pt>
                <c:pt idx="340">
                  <c:v>194.89624524074105</c:v>
                </c:pt>
                <c:pt idx="341">
                  <c:v>210.18869139274292</c:v>
                </c:pt>
                <c:pt idx="342">
                  <c:v>234.72106074874105</c:v>
                </c:pt>
                <c:pt idx="343">
                  <c:v>231.1980186648228</c:v>
                </c:pt>
                <c:pt idx="344">
                  <c:v>212.32132484482278</c:v>
                </c:pt>
                <c:pt idx="345">
                  <c:v>218.19600545282464</c:v>
                </c:pt>
                <c:pt idx="346">
                  <c:v>215.00641125682279</c:v>
                </c:pt>
                <c:pt idx="347">
                  <c:v>198.48193970882093</c:v>
                </c:pt>
                <c:pt idx="348">
                  <c:v>217.64867564882465</c:v>
                </c:pt>
                <c:pt idx="349">
                  <c:v>231.11323628482464</c:v>
                </c:pt>
                <c:pt idx="350">
                  <c:v>208.45652243101571</c:v>
                </c:pt>
                <c:pt idx="351">
                  <c:v>212.5277563390157</c:v>
                </c:pt>
                <c:pt idx="352">
                  <c:v>219.39037056701946</c:v>
                </c:pt>
                <c:pt idx="353">
                  <c:v>203.04853758701572</c:v>
                </c:pt>
                <c:pt idx="354">
                  <c:v>204.17193140701571</c:v>
                </c:pt>
                <c:pt idx="355">
                  <c:v>223.70635718701757</c:v>
                </c:pt>
                <c:pt idx="356">
                  <c:v>230.34451166701942</c:v>
                </c:pt>
                <c:pt idx="357">
                  <c:v>194.48203342418341</c:v>
                </c:pt>
                <c:pt idx="358">
                  <c:v>172.47899721218712</c:v>
                </c:pt>
                <c:pt idx="359">
                  <c:v>180.72038138818525</c:v>
                </c:pt>
                <c:pt idx="360">
                  <c:v>141.49051618018339</c:v>
                </c:pt>
                <c:pt idx="361">
                  <c:v>132.50837361218896</c:v>
                </c:pt>
                <c:pt idx="362">
                  <c:v>185.24161184818712</c:v>
                </c:pt>
                <c:pt idx="363">
                  <c:v>174.46497657218526</c:v>
                </c:pt>
                <c:pt idx="364">
                  <c:v>220.13236308788723</c:v>
                </c:pt>
                <c:pt idx="365">
                  <c:v>225.81516933589097</c:v>
                </c:pt>
                <c:pt idx="366">
                  <c:v>240.04929627988727</c:v>
                </c:pt>
                <c:pt idx="367">
                  <c:v>247.67715040788536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FA-4CF7-8075-2D23B26E89FB}"/>
            </c:ext>
          </c:extLst>
        </c:ser>
        <c:ser>
          <c:idx val="0"/>
          <c:order val="1"/>
          <c:tx>
            <c:strRef>
              <c:f>Dat_02!$D$1</c:f>
              <c:strCache>
                <c:ptCount val="1"/>
                <c:pt idx="0">
                  <c:v>Producible medio</c:v>
                </c:pt>
              </c:strCache>
            </c:strRef>
          </c:tx>
          <c:spPr>
            <a:solidFill>
              <a:srgbClr val="FFFF99"/>
            </a:solidFill>
            <a:ln w="19050">
              <a:solidFill>
                <a:srgbClr val="FF0000"/>
              </a:solidFill>
            </a:ln>
          </c:spPr>
          <c:dLbls>
            <c:delete val="1"/>
          </c:dLbls>
          <c:cat>
            <c:strRef>
              <c:f>Dat_02!$F$3:$F$398</c:f>
              <c:strCache>
                <c:ptCount val="380"/>
                <c:pt idx="14">
                  <c:v>M</c:v>
                </c:pt>
                <c:pt idx="45">
                  <c:v>A</c:v>
                </c:pt>
                <c:pt idx="75">
                  <c:v>M</c:v>
                </c:pt>
                <c:pt idx="106">
                  <c:v>J</c:v>
                </c:pt>
                <c:pt idx="136">
                  <c:v>J</c:v>
                </c:pt>
                <c:pt idx="167">
                  <c:v>A</c:v>
                </c:pt>
                <c:pt idx="198">
                  <c:v>S</c:v>
                </c:pt>
                <c:pt idx="228">
                  <c:v>O</c:v>
                </c:pt>
                <c:pt idx="259">
                  <c:v>N</c:v>
                </c:pt>
                <c:pt idx="289">
                  <c:v>D</c:v>
                </c:pt>
                <c:pt idx="320">
                  <c:v>E</c:v>
                </c:pt>
                <c:pt idx="351">
                  <c:v>F</c:v>
                </c:pt>
                <c:pt idx="379">
                  <c:v>M</c:v>
                </c:pt>
              </c:strCache>
            </c:strRef>
          </c:cat>
          <c:val>
            <c:numRef>
              <c:f>Dat_02!$D$396:$D$763</c:f>
              <c:numCache>
                <c:formatCode>#,##0.0</c:formatCode>
                <c:ptCount val="368"/>
                <c:pt idx="0">
                  <c:v>128.18908398701601</c:v>
                </c:pt>
                <c:pt idx="1">
                  <c:v>128.18908398701601</c:v>
                </c:pt>
                <c:pt idx="2">
                  <c:v>128.18908398701601</c:v>
                </c:pt>
                <c:pt idx="3">
                  <c:v>125.90182729691037</c:v>
                </c:pt>
                <c:pt idx="4">
                  <c:v>125.90182729691037</c:v>
                </c:pt>
                <c:pt idx="5">
                  <c:v>125.90182729691037</c:v>
                </c:pt>
                <c:pt idx="6">
                  <c:v>125.90182729691037</c:v>
                </c:pt>
                <c:pt idx="7">
                  <c:v>125.90182729691037</c:v>
                </c:pt>
                <c:pt idx="8">
                  <c:v>125.90182729691037</c:v>
                </c:pt>
                <c:pt idx="9">
                  <c:v>125.90182729691037</c:v>
                </c:pt>
                <c:pt idx="10">
                  <c:v>125.90182729691037</c:v>
                </c:pt>
                <c:pt idx="11">
                  <c:v>125.90182729691037</c:v>
                </c:pt>
                <c:pt idx="12">
                  <c:v>125.90182729691037</c:v>
                </c:pt>
                <c:pt idx="13">
                  <c:v>125.90182729691037</c:v>
                </c:pt>
                <c:pt idx="14">
                  <c:v>125.90182729691037</c:v>
                </c:pt>
                <c:pt idx="15">
                  <c:v>125.90182729691037</c:v>
                </c:pt>
                <c:pt idx="16">
                  <c:v>125.90182729691037</c:v>
                </c:pt>
                <c:pt idx="17">
                  <c:v>125.90182729691037</c:v>
                </c:pt>
                <c:pt idx="18">
                  <c:v>125.90182729691037</c:v>
                </c:pt>
                <c:pt idx="19">
                  <c:v>125.90182729691037</c:v>
                </c:pt>
                <c:pt idx="20">
                  <c:v>125.90182729691037</c:v>
                </c:pt>
                <c:pt idx="21">
                  <c:v>125.90182729691037</c:v>
                </c:pt>
                <c:pt idx="22">
                  <c:v>125.90182729691037</c:v>
                </c:pt>
                <c:pt idx="23">
                  <c:v>125.90182729691037</c:v>
                </c:pt>
                <c:pt idx="24">
                  <c:v>125.90182729691037</c:v>
                </c:pt>
                <c:pt idx="25">
                  <c:v>125.90182729691037</c:v>
                </c:pt>
                <c:pt idx="26">
                  <c:v>125.90182729691037</c:v>
                </c:pt>
                <c:pt idx="27">
                  <c:v>125.90182729691037</c:v>
                </c:pt>
                <c:pt idx="28">
                  <c:v>125.90182729691037</c:v>
                </c:pt>
                <c:pt idx="29">
                  <c:v>125.90182729691037</c:v>
                </c:pt>
                <c:pt idx="30">
                  <c:v>125.90182729691037</c:v>
                </c:pt>
                <c:pt idx="31">
                  <c:v>125.90182729691037</c:v>
                </c:pt>
                <c:pt idx="32">
                  <c:v>125.90182729691037</c:v>
                </c:pt>
                <c:pt idx="33">
                  <c:v>98.741424078570617</c:v>
                </c:pt>
                <c:pt idx="34">
                  <c:v>98.741424078570617</c:v>
                </c:pt>
                <c:pt idx="35">
                  <c:v>98.741424078570617</c:v>
                </c:pt>
                <c:pt idx="36">
                  <c:v>98.741424078570617</c:v>
                </c:pt>
                <c:pt idx="37">
                  <c:v>98.741424078570617</c:v>
                </c:pt>
                <c:pt idx="38">
                  <c:v>98.741424078570617</c:v>
                </c:pt>
                <c:pt idx="39">
                  <c:v>98.741424078570617</c:v>
                </c:pt>
                <c:pt idx="40">
                  <c:v>98.741424078570617</c:v>
                </c:pt>
                <c:pt idx="41">
                  <c:v>98.741424078570617</c:v>
                </c:pt>
                <c:pt idx="42">
                  <c:v>98.741424078570617</c:v>
                </c:pt>
                <c:pt idx="43">
                  <c:v>98.741424078570617</c:v>
                </c:pt>
                <c:pt idx="44">
                  <c:v>98.741424078570617</c:v>
                </c:pt>
                <c:pt idx="45">
                  <c:v>98.741424078570617</c:v>
                </c:pt>
                <c:pt idx="46">
                  <c:v>98.741424078570617</c:v>
                </c:pt>
                <c:pt idx="47">
                  <c:v>98.741424078570617</c:v>
                </c:pt>
                <c:pt idx="48">
                  <c:v>98.741424078570617</c:v>
                </c:pt>
                <c:pt idx="49">
                  <c:v>98.741424078570617</c:v>
                </c:pt>
                <c:pt idx="50">
                  <c:v>98.741424078570617</c:v>
                </c:pt>
                <c:pt idx="51">
                  <c:v>98.741424078570617</c:v>
                </c:pt>
                <c:pt idx="52">
                  <c:v>98.741424078570617</c:v>
                </c:pt>
                <c:pt idx="53">
                  <c:v>98.741424078570617</c:v>
                </c:pt>
                <c:pt idx="54">
                  <c:v>98.741424078570617</c:v>
                </c:pt>
                <c:pt idx="55">
                  <c:v>98.741424078570617</c:v>
                </c:pt>
                <c:pt idx="56">
                  <c:v>98.741424078570617</c:v>
                </c:pt>
                <c:pt idx="57">
                  <c:v>98.741424078570617</c:v>
                </c:pt>
                <c:pt idx="58">
                  <c:v>98.741424078570617</c:v>
                </c:pt>
                <c:pt idx="59">
                  <c:v>98.741424078570617</c:v>
                </c:pt>
                <c:pt idx="60">
                  <c:v>98.741424078570617</c:v>
                </c:pt>
                <c:pt idx="61">
                  <c:v>98.741424078570617</c:v>
                </c:pt>
                <c:pt idx="62">
                  <c:v>98.741424078570617</c:v>
                </c:pt>
                <c:pt idx="63">
                  <c:v>98.741424078570617</c:v>
                </c:pt>
                <c:pt idx="64">
                  <c:v>62.091495991055417</c:v>
                </c:pt>
                <c:pt idx="65">
                  <c:v>62.091495991055417</c:v>
                </c:pt>
                <c:pt idx="66">
                  <c:v>62.091495991055417</c:v>
                </c:pt>
                <c:pt idx="67">
                  <c:v>62.091495991055417</c:v>
                </c:pt>
                <c:pt idx="68">
                  <c:v>62.091495991055417</c:v>
                </c:pt>
                <c:pt idx="69">
                  <c:v>62.091495991055417</c:v>
                </c:pt>
                <c:pt idx="70">
                  <c:v>62.091495991055417</c:v>
                </c:pt>
                <c:pt idx="71">
                  <c:v>62.091495991055417</c:v>
                </c:pt>
                <c:pt idx="72">
                  <c:v>62.091495991055417</c:v>
                </c:pt>
                <c:pt idx="73">
                  <c:v>62.091495991055417</c:v>
                </c:pt>
                <c:pt idx="74">
                  <c:v>62.091495991055417</c:v>
                </c:pt>
                <c:pt idx="75">
                  <c:v>62.091495991055417</c:v>
                </c:pt>
                <c:pt idx="76">
                  <c:v>62.091495991055417</c:v>
                </c:pt>
                <c:pt idx="77">
                  <c:v>62.091495991055417</c:v>
                </c:pt>
                <c:pt idx="78">
                  <c:v>62.091495991055417</c:v>
                </c:pt>
                <c:pt idx="79">
                  <c:v>62.091495991055417</c:v>
                </c:pt>
                <c:pt idx="80">
                  <c:v>62.091495991055417</c:v>
                </c:pt>
                <c:pt idx="81">
                  <c:v>62.091495991055417</c:v>
                </c:pt>
                <c:pt idx="82">
                  <c:v>62.091495991055417</c:v>
                </c:pt>
                <c:pt idx="83">
                  <c:v>62.091495991055417</c:v>
                </c:pt>
                <c:pt idx="84">
                  <c:v>62.091495991055417</c:v>
                </c:pt>
                <c:pt idx="85">
                  <c:v>62.091495991055417</c:v>
                </c:pt>
                <c:pt idx="86">
                  <c:v>62.091495991055417</c:v>
                </c:pt>
                <c:pt idx="87">
                  <c:v>62.091495991055417</c:v>
                </c:pt>
                <c:pt idx="88">
                  <c:v>62.091495991055417</c:v>
                </c:pt>
                <c:pt idx="89">
                  <c:v>62.091495991055417</c:v>
                </c:pt>
                <c:pt idx="90">
                  <c:v>62.091495991055417</c:v>
                </c:pt>
                <c:pt idx="91">
                  <c:v>62.091495991055417</c:v>
                </c:pt>
                <c:pt idx="92">
                  <c:v>62.091495991055417</c:v>
                </c:pt>
                <c:pt idx="93">
                  <c:v>62.091495991055417</c:v>
                </c:pt>
                <c:pt idx="94">
                  <c:v>26.601704529721381</c:v>
                </c:pt>
                <c:pt idx="95">
                  <c:v>26.601704529721381</c:v>
                </c:pt>
                <c:pt idx="96">
                  <c:v>26.601704529721381</c:v>
                </c:pt>
                <c:pt idx="97">
                  <c:v>26.601704529721381</c:v>
                </c:pt>
                <c:pt idx="98">
                  <c:v>26.601704529721381</c:v>
                </c:pt>
                <c:pt idx="99">
                  <c:v>26.601704529721381</c:v>
                </c:pt>
                <c:pt idx="100">
                  <c:v>26.601704529721381</c:v>
                </c:pt>
                <c:pt idx="101">
                  <c:v>26.601704529721381</c:v>
                </c:pt>
                <c:pt idx="102">
                  <c:v>26.601704529721381</c:v>
                </c:pt>
                <c:pt idx="103">
                  <c:v>26.601704529721381</c:v>
                </c:pt>
                <c:pt idx="104">
                  <c:v>26.601704529721381</c:v>
                </c:pt>
                <c:pt idx="105">
                  <c:v>26.601704529721381</c:v>
                </c:pt>
                <c:pt idx="106">
                  <c:v>26.601704529721381</c:v>
                </c:pt>
                <c:pt idx="107">
                  <c:v>26.601704529721381</c:v>
                </c:pt>
                <c:pt idx="108">
                  <c:v>26.601704529721381</c:v>
                </c:pt>
                <c:pt idx="109">
                  <c:v>26.601704529721381</c:v>
                </c:pt>
                <c:pt idx="110">
                  <c:v>26.601704529721381</c:v>
                </c:pt>
                <c:pt idx="111">
                  <c:v>26.601704529721381</c:v>
                </c:pt>
                <c:pt idx="112">
                  <c:v>26.601704529721381</c:v>
                </c:pt>
                <c:pt idx="113">
                  <c:v>26.601704529721381</c:v>
                </c:pt>
                <c:pt idx="114">
                  <c:v>26.601704529721381</c:v>
                </c:pt>
                <c:pt idx="115">
                  <c:v>26.601704529721381</c:v>
                </c:pt>
                <c:pt idx="116">
                  <c:v>26.601704529721381</c:v>
                </c:pt>
                <c:pt idx="117">
                  <c:v>26.601704529721381</c:v>
                </c:pt>
                <c:pt idx="118">
                  <c:v>26.601704529721381</c:v>
                </c:pt>
                <c:pt idx="119">
                  <c:v>26.601704529721381</c:v>
                </c:pt>
                <c:pt idx="120">
                  <c:v>26.601704529721381</c:v>
                </c:pt>
                <c:pt idx="121">
                  <c:v>26.601704529721381</c:v>
                </c:pt>
                <c:pt idx="122">
                  <c:v>26.601704529721381</c:v>
                </c:pt>
                <c:pt idx="123">
                  <c:v>26.601704529721381</c:v>
                </c:pt>
                <c:pt idx="124">
                  <c:v>26.601704529721381</c:v>
                </c:pt>
                <c:pt idx="125">
                  <c:v>15.940810769841702</c:v>
                </c:pt>
                <c:pt idx="126">
                  <c:v>15.940810769841702</c:v>
                </c:pt>
                <c:pt idx="127">
                  <c:v>15.940810769841702</c:v>
                </c:pt>
                <c:pt idx="128">
                  <c:v>15.940810769841702</c:v>
                </c:pt>
                <c:pt idx="129">
                  <c:v>15.940810769841702</c:v>
                </c:pt>
                <c:pt idx="130">
                  <c:v>15.940810769841702</c:v>
                </c:pt>
                <c:pt idx="131">
                  <c:v>15.940810769841702</c:v>
                </c:pt>
                <c:pt idx="132">
                  <c:v>15.940810769841702</c:v>
                </c:pt>
                <c:pt idx="133">
                  <c:v>15.940810769841702</c:v>
                </c:pt>
                <c:pt idx="134">
                  <c:v>15.940810769841702</c:v>
                </c:pt>
                <c:pt idx="135">
                  <c:v>15.940810769841702</c:v>
                </c:pt>
                <c:pt idx="136">
                  <c:v>15.940810769841702</c:v>
                </c:pt>
                <c:pt idx="137">
                  <c:v>15.940810769841702</c:v>
                </c:pt>
                <c:pt idx="138">
                  <c:v>15.940810769841702</c:v>
                </c:pt>
                <c:pt idx="139">
                  <c:v>15.940810769841702</c:v>
                </c:pt>
                <c:pt idx="140">
                  <c:v>15.940810769841702</c:v>
                </c:pt>
                <c:pt idx="141">
                  <c:v>15.940810769841702</c:v>
                </c:pt>
                <c:pt idx="142">
                  <c:v>15.940810769841702</c:v>
                </c:pt>
                <c:pt idx="143">
                  <c:v>15.940810769841702</c:v>
                </c:pt>
                <c:pt idx="144">
                  <c:v>15.940810769841702</c:v>
                </c:pt>
                <c:pt idx="145">
                  <c:v>15.940810769841702</c:v>
                </c:pt>
                <c:pt idx="146">
                  <c:v>15.940810769841702</c:v>
                </c:pt>
                <c:pt idx="147">
                  <c:v>15.940810769841702</c:v>
                </c:pt>
                <c:pt idx="148">
                  <c:v>15.940810769841702</c:v>
                </c:pt>
                <c:pt idx="149">
                  <c:v>15.940810769841702</c:v>
                </c:pt>
                <c:pt idx="150">
                  <c:v>15.940810769841702</c:v>
                </c:pt>
                <c:pt idx="151">
                  <c:v>15.940810769841702</c:v>
                </c:pt>
                <c:pt idx="152">
                  <c:v>15.940810769841702</c:v>
                </c:pt>
                <c:pt idx="153">
                  <c:v>15.940810769841702</c:v>
                </c:pt>
                <c:pt idx="154">
                  <c:v>15.940810769841702</c:v>
                </c:pt>
                <c:pt idx="155">
                  <c:v>15.940810769841702</c:v>
                </c:pt>
                <c:pt idx="156">
                  <c:v>20.220393285105605</c:v>
                </c:pt>
                <c:pt idx="157">
                  <c:v>20.220393285105605</c:v>
                </c:pt>
                <c:pt idx="158">
                  <c:v>20.220393285105605</c:v>
                </c:pt>
                <c:pt idx="159">
                  <c:v>20.220393285105605</c:v>
                </c:pt>
                <c:pt idx="160">
                  <c:v>20.220393285105605</c:v>
                </c:pt>
                <c:pt idx="161">
                  <c:v>20.220393285105605</c:v>
                </c:pt>
                <c:pt idx="162">
                  <c:v>20.220393285105605</c:v>
                </c:pt>
                <c:pt idx="163">
                  <c:v>20.220393285105605</c:v>
                </c:pt>
                <c:pt idx="164">
                  <c:v>20.220393285105605</c:v>
                </c:pt>
                <c:pt idx="165">
                  <c:v>20.220393285105605</c:v>
                </c:pt>
                <c:pt idx="166">
                  <c:v>20.220393285105605</c:v>
                </c:pt>
                <c:pt idx="167">
                  <c:v>20.220393285105605</c:v>
                </c:pt>
                <c:pt idx="168">
                  <c:v>20.220393285105605</c:v>
                </c:pt>
                <c:pt idx="169">
                  <c:v>20.220393285105605</c:v>
                </c:pt>
                <c:pt idx="170">
                  <c:v>20.220393285105605</c:v>
                </c:pt>
                <c:pt idx="171">
                  <c:v>20.220393285105605</c:v>
                </c:pt>
                <c:pt idx="172">
                  <c:v>20.220393285105605</c:v>
                </c:pt>
                <c:pt idx="173">
                  <c:v>20.220393285105605</c:v>
                </c:pt>
                <c:pt idx="174">
                  <c:v>20.220393285105605</c:v>
                </c:pt>
                <c:pt idx="175">
                  <c:v>20.220393285105605</c:v>
                </c:pt>
                <c:pt idx="176">
                  <c:v>20.220393285105605</c:v>
                </c:pt>
                <c:pt idx="177">
                  <c:v>20.220393285105605</c:v>
                </c:pt>
                <c:pt idx="178">
                  <c:v>20.220393285105605</c:v>
                </c:pt>
                <c:pt idx="179">
                  <c:v>20.220393285105605</c:v>
                </c:pt>
                <c:pt idx="180">
                  <c:v>20.220393285105605</c:v>
                </c:pt>
                <c:pt idx="181">
                  <c:v>20.220393285105605</c:v>
                </c:pt>
                <c:pt idx="182">
                  <c:v>20.220393285105605</c:v>
                </c:pt>
                <c:pt idx="183">
                  <c:v>20.220393285105605</c:v>
                </c:pt>
                <c:pt idx="184">
                  <c:v>20.220393285105605</c:v>
                </c:pt>
                <c:pt idx="185">
                  <c:v>20.220393285105605</c:v>
                </c:pt>
                <c:pt idx="186">
                  <c:v>40.400211353346023</c:v>
                </c:pt>
                <c:pt idx="187">
                  <c:v>40.400211353346023</c:v>
                </c:pt>
                <c:pt idx="188">
                  <c:v>40.400211353346023</c:v>
                </c:pt>
                <c:pt idx="189">
                  <c:v>40.400211353346023</c:v>
                </c:pt>
                <c:pt idx="190">
                  <c:v>40.400211353346023</c:v>
                </c:pt>
                <c:pt idx="191">
                  <c:v>40.400211353346023</c:v>
                </c:pt>
                <c:pt idx="192">
                  <c:v>40.400211353346023</c:v>
                </c:pt>
                <c:pt idx="193">
                  <c:v>40.400211353346023</c:v>
                </c:pt>
                <c:pt idx="194">
                  <c:v>40.400211353346023</c:v>
                </c:pt>
                <c:pt idx="195">
                  <c:v>40.400211353346023</c:v>
                </c:pt>
                <c:pt idx="196">
                  <c:v>40.400211353346023</c:v>
                </c:pt>
                <c:pt idx="197">
                  <c:v>40.400211353346023</c:v>
                </c:pt>
                <c:pt idx="198">
                  <c:v>40.400211353346023</c:v>
                </c:pt>
                <c:pt idx="199">
                  <c:v>40.400211353346023</c:v>
                </c:pt>
                <c:pt idx="200">
                  <c:v>40.400211353346023</c:v>
                </c:pt>
                <c:pt idx="201">
                  <c:v>40.400211353346023</c:v>
                </c:pt>
                <c:pt idx="202">
                  <c:v>40.400211353346023</c:v>
                </c:pt>
                <c:pt idx="203">
                  <c:v>40.400211353346023</c:v>
                </c:pt>
                <c:pt idx="204">
                  <c:v>40.400211353346023</c:v>
                </c:pt>
                <c:pt idx="205">
                  <c:v>40.400211353346023</c:v>
                </c:pt>
                <c:pt idx="206">
                  <c:v>40.400211353346023</c:v>
                </c:pt>
                <c:pt idx="207">
                  <c:v>40.400211353346023</c:v>
                </c:pt>
                <c:pt idx="208">
                  <c:v>40.400211353346023</c:v>
                </c:pt>
                <c:pt idx="209">
                  <c:v>40.400211353346023</c:v>
                </c:pt>
                <c:pt idx="210">
                  <c:v>40.400211353346023</c:v>
                </c:pt>
                <c:pt idx="211">
                  <c:v>40.400211353346023</c:v>
                </c:pt>
                <c:pt idx="212">
                  <c:v>40.400211353346023</c:v>
                </c:pt>
                <c:pt idx="213">
                  <c:v>40.400211353346023</c:v>
                </c:pt>
                <c:pt idx="214">
                  <c:v>40.400211353346023</c:v>
                </c:pt>
                <c:pt idx="215">
                  <c:v>40.400211353346023</c:v>
                </c:pt>
                <c:pt idx="216">
                  <c:v>40.400211353346023</c:v>
                </c:pt>
                <c:pt idx="217">
                  <c:v>80.938788836501317</c:v>
                </c:pt>
                <c:pt idx="218">
                  <c:v>80.938788836501317</c:v>
                </c:pt>
                <c:pt idx="219">
                  <c:v>80.938788836501317</c:v>
                </c:pt>
                <c:pt idx="220">
                  <c:v>80.938788836501317</c:v>
                </c:pt>
                <c:pt idx="221">
                  <c:v>80.938788836501317</c:v>
                </c:pt>
                <c:pt idx="222">
                  <c:v>80.938788836501317</c:v>
                </c:pt>
                <c:pt idx="223">
                  <c:v>80.938788836501317</c:v>
                </c:pt>
                <c:pt idx="224">
                  <c:v>80.938788836501317</c:v>
                </c:pt>
                <c:pt idx="225">
                  <c:v>80.938788836501317</c:v>
                </c:pt>
                <c:pt idx="226">
                  <c:v>80.938788836501317</c:v>
                </c:pt>
                <c:pt idx="227">
                  <c:v>80.938788836501317</c:v>
                </c:pt>
                <c:pt idx="228">
                  <c:v>80.938788836501317</c:v>
                </c:pt>
                <c:pt idx="229">
                  <c:v>80.938788836501317</c:v>
                </c:pt>
                <c:pt idx="230">
                  <c:v>80.938788836501317</c:v>
                </c:pt>
                <c:pt idx="231">
                  <c:v>80.938788836501317</c:v>
                </c:pt>
                <c:pt idx="232">
                  <c:v>80.938788836501317</c:v>
                </c:pt>
                <c:pt idx="233">
                  <c:v>80.938788836501317</c:v>
                </c:pt>
                <c:pt idx="234">
                  <c:v>80.938788836501317</c:v>
                </c:pt>
                <c:pt idx="235">
                  <c:v>80.938788836501317</c:v>
                </c:pt>
                <c:pt idx="236">
                  <c:v>80.938788836501317</c:v>
                </c:pt>
                <c:pt idx="237">
                  <c:v>80.938788836501317</c:v>
                </c:pt>
                <c:pt idx="238">
                  <c:v>80.938788836501317</c:v>
                </c:pt>
                <c:pt idx="239">
                  <c:v>80.938788836501317</c:v>
                </c:pt>
                <c:pt idx="240">
                  <c:v>80.938788836501317</c:v>
                </c:pt>
                <c:pt idx="241">
                  <c:v>80.938788836501317</c:v>
                </c:pt>
                <c:pt idx="242">
                  <c:v>80.938788836501317</c:v>
                </c:pt>
                <c:pt idx="243">
                  <c:v>80.938788836501317</c:v>
                </c:pt>
                <c:pt idx="244">
                  <c:v>80.938788836501317</c:v>
                </c:pt>
                <c:pt idx="245">
                  <c:v>80.938788836501317</c:v>
                </c:pt>
                <c:pt idx="246">
                  <c:v>80.938788836501317</c:v>
                </c:pt>
                <c:pt idx="247">
                  <c:v>105.77564059458246</c:v>
                </c:pt>
                <c:pt idx="248">
                  <c:v>105.77564059458246</c:v>
                </c:pt>
                <c:pt idx="249">
                  <c:v>105.77564059458246</c:v>
                </c:pt>
                <c:pt idx="250">
                  <c:v>105.77564059458246</c:v>
                </c:pt>
                <c:pt idx="251">
                  <c:v>105.77564059458246</c:v>
                </c:pt>
                <c:pt idx="252">
                  <c:v>105.77564059458246</c:v>
                </c:pt>
                <c:pt idx="253">
                  <c:v>105.77564059458246</c:v>
                </c:pt>
                <c:pt idx="254">
                  <c:v>105.77564059458246</c:v>
                </c:pt>
                <c:pt idx="255">
                  <c:v>105.77564059458246</c:v>
                </c:pt>
                <c:pt idx="256">
                  <c:v>105.77564059458246</c:v>
                </c:pt>
                <c:pt idx="257">
                  <c:v>105.77564059458246</c:v>
                </c:pt>
                <c:pt idx="258">
                  <c:v>105.77564059458246</c:v>
                </c:pt>
                <c:pt idx="259">
                  <c:v>105.77564059458246</c:v>
                </c:pt>
                <c:pt idx="260">
                  <c:v>105.77564059458246</c:v>
                </c:pt>
                <c:pt idx="261">
                  <c:v>105.77564059458246</c:v>
                </c:pt>
                <c:pt idx="262">
                  <c:v>105.77564059458246</c:v>
                </c:pt>
                <c:pt idx="263">
                  <c:v>105.77564059458246</c:v>
                </c:pt>
                <c:pt idx="264">
                  <c:v>105.77564059458246</c:v>
                </c:pt>
                <c:pt idx="265">
                  <c:v>105.77564059458246</c:v>
                </c:pt>
                <c:pt idx="266">
                  <c:v>105.77564059458246</c:v>
                </c:pt>
                <c:pt idx="267">
                  <c:v>105.77564059458246</c:v>
                </c:pt>
                <c:pt idx="268">
                  <c:v>105.77564059458246</c:v>
                </c:pt>
                <c:pt idx="269">
                  <c:v>105.77564059458246</c:v>
                </c:pt>
                <c:pt idx="270">
                  <c:v>105.77564059458246</c:v>
                </c:pt>
                <c:pt idx="271">
                  <c:v>105.77564059458246</c:v>
                </c:pt>
                <c:pt idx="272">
                  <c:v>105.77564059458246</c:v>
                </c:pt>
                <c:pt idx="273">
                  <c:v>105.77564059458246</c:v>
                </c:pt>
                <c:pt idx="274">
                  <c:v>105.77564059458246</c:v>
                </c:pt>
                <c:pt idx="275">
                  <c:v>105.77564059458246</c:v>
                </c:pt>
                <c:pt idx="276">
                  <c:v>105.77564059458246</c:v>
                </c:pt>
                <c:pt idx="277">
                  <c:v>105.77564059458246</c:v>
                </c:pt>
                <c:pt idx="278">
                  <c:v>117.73333309338341</c:v>
                </c:pt>
                <c:pt idx="279">
                  <c:v>117.73333309338341</c:v>
                </c:pt>
                <c:pt idx="280">
                  <c:v>117.73333309338341</c:v>
                </c:pt>
                <c:pt idx="281">
                  <c:v>117.73333309338341</c:v>
                </c:pt>
                <c:pt idx="282">
                  <c:v>117.73333309338341</c:v>
                </c:pt>
                <c:pt idx="283">
                  <c:v>117.73333309338341</c:v>
                </c:pt>
                <c:pt idx="284">
                  <c:v>117.73333309338341</c:v>
                </c:pt>
                <c:pt idx="285">
                  <c:v>117.73333309338341</c:v>
                </c:pt>
                <c:pt idx="286">
                  <c:v>117.73333309338341</c:v>
                </c:pt>
                <c:pt idx="287">
                  <c:v>117.73333309338341</c:v>
                </c:pt>
                <c:pt idx="288">
                  <c:v>117.73333309338341</c:v>
                </c:pt>
                <c:pt idx="289">
                  <c:v>117.73333309338341</c:v>
                </c:pt>
                <c:pt idx="290">
                  <c:v>117.73333309338341</c:v>
                </c:pt>
                <c:pt idx="291">
                  <c:v>117.73333309338341</c:v>
                </c:pt>
                <c:pt idx="292">
                  <c:v>117.73333309338341</c:v>
                </c:pt>
                <c:pt idx="293">
                  <c:v>117.73333309338341</c:v>
                </c:pt>
                <c:pt idx="294">
                  <c:v>117.73333309338341</c:v>
                </c:pt>
                <c:pt idx="295">
                  <c:v>117.73333309338341</c:v>
                </c:pt>
                <c:pt idx="296">
                  <c:v>117.73333309338341</c:v>
                </c:pt>
                <c:pt idx="297">
                  <c:v>117.73333309338341</c:v>
                </c:pt>
                <c:pt idx="298">
                  <c:v>117.73333309338341</c:v>
                </c:pt>
                <c:pt idx="299">
                  <c:v>117.73333309338341</c:v>
                </c:pt>
                <c:pt idx="300">
                  <c:v>117.73333309338341</c:v>
                </c:pt>
                <c:pt idx="301">
                  <c:v>117.73333309338341</c:v>
                </c:pt>
                <c:pt idx="302">
                  <c:v>117.73333309338341</c:v>
                </c:pt>
                <c:pt idx="303">
                  <c:v>117.73333309338341</c:v>
                </c:pt>
                <c:pt idx="304">
                  <c:v>117.73333309338341</c:v>
                </c:pt>
                <c:pt idx="305">
                  <c:v>117.73333309338341</c:v>
                </c:pt>
                <c:pt idx="306">
                  <c:v>117.73333309338341</c:v>
                </c:pt>
                <c:pt idx="307">
                  <c:v>117.73333309338341</c:v>
                </c:pt>
                <c:pt idx="308">
                  <c:v>117.73333309338341</c:v>
                </c:pt>
                <c:pt idx="309">
                  <c:v>123.24675909882176</c:v>
                </c:pt>
                <c:pt idx="310">
                  <c:v>123.24675909882176</c:v>
                </c:pt>
                <c:pt idx="311">
                  <c:v>123.24675909882176</c:v>
                </c:pt>
                <c:pt idx="312">
                  <c:v>123.24675909882176</c:v>
                </c:pt>
                <c:pt idx="313">
                  <c:v>123.24675909882176</c:v>
                </c:pt>
                <c:pt idx="314">
                  <c:v>123.24675909882176</c:v>
                </c:pt>
                <c:pt idx="315">
                  <c:v>123.24675909882176</c:v>
                </c:pt>
                <c:pt idx="316">
                  <c:v>123.24675909882176</c:v>
                </c:pt>
                <c:pt idx="317">
                  <c:v>123.24675909882176</c:v>
                </c:pt>
                <c:pt idx="318">
                  <c:v>123.24675909882176</c:v>
                </c:pt>
                <c:pt idx="319">
                  <c:v>123.24675909882176</c:v>
                </c:pt>
                <c:pt idx="320">
                  <c:v>123.24675909882176</c:v>
                </c:pt>
                <c:pt idx="321">
                  <c:v>123.24675909882176</c:v>
                </c:pt>
                <c:pt idx="322">
                  <c:v>123.24675909882176</c:v>
                </c:pt>
                <c:pt idx="323">
                  <c:v>123.24675909882176</c:v>
                </c:pt>
                <c:pt idx="324">
                  <c:v>123.24675909882176</c:v>
                </c:pt>
                <c:pt idx="325">
                  <c:v>123.24675909882176</c:v>
                </c:pt>
                <c:pt idx="326">
                  <c:v>123.24675909882176</c:v>
                </c:pt>
                <c:pt idx="327">
                  <c:v>123.24675909882176</c:v>
                </c:pt>
                <c:pt idx="328">
                  <c:v>123.24675909882176</c:v>
                </c:pt>
                <c:pt idx="329">
                  <c:v>123.24675909882176</c:v>
                </c:pt>
                <c:pt idx="330">
                  <c:v>123.24675909882176</c:v>
                </c:pt>
                <c:pt idx="331">
                  <c:v>123.24675909882176</c:v>
                </c:pt>
                <c:pt idx="332">
                  <c:v>123.24675909882176</c:v>
                </c:pt>
                <c:pt idx="333">
                  <c:v>123.24675909882176</c:v>
                </c:pt>
                <c:pt idx="334">
                  <c:v>123.24675909882176</c:v>
                </c:pt>
                <c:pt idx="335">
                  <c:v>123.24675909882176</c:v>
                </c:pt>
                <c:pt idx="336">
                  <c:v>123.24675909882176</c:v>
                </c:pt>
                <c:pt idx="337">
                  <c:v>123.24675909882176</c:v>
                </c:pt>
                <c:pt idx="338">
                  <c:v>124.20934941128793</c:v>
                </c:pt>
                <c:pt idx="339">
                  <c:v>124.20934941128793</c:v>
                </c:pt>
                <c:pt idx="340">
                  <c:v>124.20934941128793</c:v>
                </c:pt>
                <c:pt idx="341">
                  <c:v>124.20934941128793</c:v>
                </c:pt>
                <c:pt idx="342">
                  <c:v>124.20934941128793</c:v>
                </c:pt>
                <c:pt idx="343">
                  <c:v>124.20934941128793</c:v>
                </c:pt>
                <c:pt idx="344">
                  <c:v>124.20934941128793</c:v>
                </c:pt>
                <c:pt idx="345">
                  <c:v>124.20934941128793</c:v>
                </c:pt>
                <c:pt idx="346">
                  <c:v>124.20934941128793</c:v>
                </c:pt>
                <c:pt idx="347">
                  <c:v>124.20934941128793</c:v>
                </c:pt>
                <c:pt idx="348">
                  <c:v>124.20934941128793</c:v>
                </c:pt>
                <c:pt idx="349">
                  <c:v>124.20934941128793</c:v>
                </c:pt>
                <c:pt idx="350">
                  <c:v>124.20934941128793</c:v>
                </c:pt>
                <c:pt idx="351">
                  <c:v>124.20934941128793</c:v>
                </c:pt>
                <c:pt idx="352">
                  <c:v>124.20934941128793</c:v>
                </c:pt>
                <c:pt idx="353">
                  <c:v>124.20934941128793</c:v>
                </c:pt>
                <c:pt idx="354">
                  <c:v>124.20934941128793</c:v>
                </c:pt>
                <c:pt idx="355">
                  <c:v>124.20934941128793</c:v>
                </c:pt>
                <c:pt idx="356">
                  <c:v>124.20934941128793</c:v>
                </c:pt>
                <c:pt idx="357">
                  <c:v>124.20934941128793</c:v>
                </c:pt>
                <c:pt idx="358">
                  <c:v>124.20934941128793</c:v>
                </c:pt>
                <c:pt idx="359">
                  <c:v>124.20934941128793</c:v>
                </c:pt>
                <c:pt idx="360">
                  <c:v>124.20934941128793</c:v>
                </c:pt>
                <c:pt idx="361">
                  <c:v>124.20934941128793</c:v>
                </c:pt>
                <c:pt idx="362">
                  <c:v>124.20934941128793</c:v>
                </c:pt>
                <c:pt idx="363">
                  <c:v>124.20934941128793</c:v>
                </c:pt>
                <c:pt idx="364">
                  <c:v>124.20934941128793</c:v>
                </c:pt>
                <c:pt idx="365">
                  <c:v>124.20934941128793</c:v>
                </c:pt>
                <c:pt idx="366">
                  <c:v>124.20934941128793</c:v>
                </c:pt>
                <c:pt idx="367">
                  <c:v>124.20934941128793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FA-4CF7-8075-2D23B26E89FB}"/>
            </c:ext>
          </c:extLst>
        </c:ser>
        <c:ser>
          <c:idx val="1"/>
          <c:order val="2"/>
          <c:spPr>
            <a:solidFill>
              <a:srgbClr val="F5F5F5"/>
            </a:solidFill>
            <a:ln w="25400">
              <a:noFill/>
            </a:ln>
          </c:spPr>
          <c:dLbls>
            <c:delete val="1"/>
          </c:dLbls>
          <c:cat>
            <c:strRef>
              <c:f>Dat_02!$F$3:$F$398</c:f>
              <c:strCache>
                <c:ptCount val="380"/>
                <c:pt idx="14">
                  <c:v>M</c:v>
                </c:pt>
                <c:pt idx="45">
                  <c:v>A</c:v>
                </c:pt>
                <c:pt idx="75">
                  <c:v>M</c:v>
                </c:pt>
                <c:pt idx="106">
                  <c:v>J</c:v>
                </c:pt>
                <c:pt idx="136">
                  <c:v>J</c:v>
                </c:pt>
                <c:pt idx="167">
                  <c:v>A</c:v>
                </c:pt>
                <c:pt idx="198">
                  <c:v>S</c:v>
                </c:pt>
                <c:pt idx="228">
                  <c:v>O</c:v>
                </c:pt>
                <c:pt idx="259">
                  <c:v>N</c:v>
                </c:pt>
                <c:pt idx="289">
                  <c:v>D</c:v>
                </c:pt>
                <c:pt idx="320">
                  <c:v>E</c:v>
                </c:pt>
                <c:pt idx="351">
                  <c:v>F</c:v>
                </c:pt>
                <c:pt idx="379">
                  <c:v>M</c:v>
                </c:pt>
              </c:strCache>
            </c:strRef>
          </c:cat>
          <c:val>
            <c:numRef>
              <c:f>Dat_02!$E$396:$E$763</c:f>
              <c:numCache>
                <c:formatCode>#,##0.0</c:formatCode>
                <c:ptCount val="368"/>
                <c:pt idx="0">
                  <c:v>64.691698202706135</c:v>
                </c:pt>
                <c:pt idx="1">
                  <c:v>59.011945382707992</c:v>
                </c:pt>
                <c:pt idx="2">
                  <c:v>53.312698355709855</c:v>
                </c:pt>
                <c:pt idx="3">
                  <c:v>42.493725209706128</c:v>
                </c:pt>
                <c:pt idx="4">
                  <c:v>36.462962470707993</c:v>
                </c:pt>
                <c:pt idx="5">
                  <c:v>71.586927515707998</c:v>
                </c:pt>
                <c:pt idx="6">
                  <c:v>57.255484254709863</c:v>
                </c:pt>
                <c:pt idx="7">
                  <c:v>64.599635284221606</c:v>
                </c:pt>
                <c:pt idx="8">
                  <c:v>46.730263355221595</c:v>
                </c:pt>
                <c:pt idx="9">
                  <c:v>37.4792726572216</c:v>
                </c:pt>
                <c:pt idx="10">
                  <c:v>46.00130915122346</c:v>
                </c:pt>
                <c:pt idx="11">
                  <c:v>35.098987776223453</c:v>
                </c:pt>
                <c:pt idx="12">
                  <c:v>30.006082424221596</c:v>
                </c:pt>
                <c:pt idx="13">
                  <c:v>50.322251453221597</c:v>
                </c:pt>
                <c:pt idx="14">
                  <c:v>26.62239486300227</c:v>
                </c:pt>
                <c:pt idx="15">
                  <c:v>33.460726938004143</c:v>
                </c:pt>
                <c:pt idx="16">
                  <c:v>32.087652683002275</c:v>
                </c:pt>
                <c:pt idx="17">
                  <c:v>26.979100495002275</c:v>
                </c:pt>
                <c:pt idx="18">
                  <c:v>23.588325971002277</c:v>
                </c:pt>
                <c:pt idx="19">
                  <c:v>40.381294851002274</c:v>
                </c:pt>
                <c:pt idx="20">
                  <c:v>41.698311407002272</c:v>
                </c:pt>
                <c:pt idx="21">
                  <c:v>38.459751478523017</c:v>
                </c:pt>
                <c:pt idx="22">
                  <c:v>44.606724438528602</c:v>
                </c:pt>
                <c:pt idx="23">
                  <c:v>42.978956294528601</c:v>
                </c:pt>
                <c:pt idx="24">
                  <c:v>32.30674932252488</c:v>
                </c:pt>
                <c:pt idx="25">
                  <c:v>16.129574974524875</c:v>
                </c:pt>
                <c:pt idx="26">
                  <c:v>33.781601114526737</c:v>
                </c:pt>
                <c:pt idx="27">
                  <c:v>34.263615814526737</c:v>
                </c:pt>
                <c:pt idx="28">
                  <c:v>47.822112063296359</c:v>
                </c:pt>
                <c:pt idx="29">
                  <c:v>51.846013083296363</c:v>
                </c:pt>
                <c:pt idx="30">
                  <c:v>52.039187827300076</c:v>
                </c:pt>
                <c:pt idx="31">
                  <c:v>40.590203135296363</c:v>
                </c:pt>
                <c:pt idx="32">
                  <c:v>28.058505235298224</c:v>
                </c:pt>
                <c:pt idx="33">
                  <c:v>19.094722231298221</c:v>
                </c:pt>
                <c:pt idx="34">
                  <c:v>39.405765023296354</c:v>
                </c:pt>
                <c:pt idx="35">
                  <c:v>24.253473117605893</c:v>
                </c:pt>
                <c:pt idx="36">
                  <c:v>29.789511705604031</c:v>
                </c:pt>
                <c:pt idx="37">
                  <c:v>35.531756725605895</c:v>
                </c:pt>
                <c:pt idx="38">
                  <c:v>22.35288369360217</c:v>
                </c:pt>
                <c:pt idx="39">
                  <c:v>20.947856357607758</c:v>
                </c:pt>
                <c:pt idx="40">
                  <c:v>34.689995977604035</c:v>
                </c:pt>
                <c:pt idx="41">
                  <c:v>23.200321058604029</c:v>
                </c:pt>
                <c:pt idx="42">
                  <c:v>30.85524472361184</c:v>
                </c:pt>
                <c:pt idx="43">
                  <c:v>26.687434412613701</c:v>
                </c:pt>
                <c:pt idx="44">
                  <c:v>24.748296420613705</c:v>
                </c:pt>
                <c:pt idx="45">
                  <c:v>14.840623304609981</c:v>
                </c:pt>
                <c:pt idx="46">
                  <c:v>12.583411300613701</c:v>
                </c:pt>
                <c:pt idx="47">
                  <c:v>19.699402096613703</c:v>
                </c:pt>
                <c:pt idx="48">
                  <c:v>16.314681832609974</c:v>
                </c:pt>
                <c:pt idx="49">
                  <c:v>12.384628724485975</c:v>
                </c:pt>
                <c:pt idx="50">
                  <c:v>16.360547560484111</c:v>
                </c:pt>
                <c:pt idx="51">
                  <c:v>22.062701252485976</c:v>
                </c:pt>
                <c:pt idx="52">
                  <c:v>20.187922392484115</c:v>
                </c:pt>
                <c:pt idx="53">
                  <c:v>23.558985800484109</c:v>
                </c:pt>
                <c:pt idx="54">
                  <c:v>46.20527082448784</c:v>
                </c:pt>
                <c:pt idx="55">
                  <c:v>35.948164148484111</c:v>
                </c:pt>
                <c:pt idx="56">
                  <c:v>37.116430182011072</c:v>
                </c:pt>
                <c:pt idx="57">
                  <c:v>31.226979650009206</c:v>
                </c:pt>
                <c:pt idx="58">
                  <c:v>26.447559566012934</c:v>
                </c:pt>
                <c:pt idx="59">
                  <c:v>36.083278978012935</c:v>
                </c:pt>
                <c:pt idx="60">
                  <c:v>27.348481378011069</c:v>
                </c:pt>
                <c:pt idx="61">
                  <c:v>37.985107738009212</c:v>
                </c:pt>
                <c:pt idx="62">
                  <c:v>53.444317844011074</c:v>
                </c:pt>
                <c:pt idx="63">
                  <c:v>50.229088330899209</c:v>
                </c:pt>
                <c:pt idx="64">
                  <c:v>60.779131178901082</c:v>
                </c:pt>
                <c:pt idx="65">
                  <c:v>61.613809250901078</c:v>
                </c:pt>
                <c:pt idx="66">
                  <c:v>40.712711482899209</c:v>
                </c:pt>
                <c:pt idx="67">
                  <c:v>32.857694770899215</c:v>
                </c:pt>
                <c:pt idx="68">
                  <c:v>59.050819934901085</c:v>
                </c:pt>
                <c:pt idx="69">
                  <c:v>56.63656027489921</c:v>
                </c:pt>
                <c:pt idx="70">
                  <c:v>62.091495991055417</c:v>
                </c:pt>
                <c:pt idx="71">
                  <c:v>62.091495991055417</c:v>
                </c:pt>
                <c:pt idx="72">
                  <c:v>62.091495991055417</c:v>
                </c:pt>
                <c:pt idx="73">
                  <c:v>60.43962682885951</c:v>
                </c:pt>
                <c:pt idx="74">
                  <c:v>51.759126908859514</c:v>
                </c:pt>
                <c:pt idx="75">
                  <c:v>62.091495991055417</c:v>
                </c:pt>
                <c:pt idx="76">
                  <c:v>62.091495991055417</c:v>
                </c:pt>
                <c:pt idx="77">
                  <c:v>61.48177375849162</c:v>
                </c:pt>
                <c:pt idx="78">
                  <c:v>62.091495991055417</c:v>
                </c:pt>
                <c:pt idx="79">
                  <c:v>62.091495991055417</c:v>
                </c:pt>
                <c:pt idx="80">
                  <c:v>56.491981126493485</c:v>
                </c:pt>
                <c:pt idx="81">
                  <c:v>40.625565390491616</c:v>
                </c:pt>
                <c:pt idx="82">
                  <c:v>62.091495991055417</c:v>
                </c:pt>
                <c:pt idx="83">
                  <c:v>62.091495991055417</c:v>
                </c:pt>
                <c:pt idx="84">
                  <c:v>62.091495991055417</c:v>
                </c:pt>
                <c:pt idx="85">
                  <c:v>60.879025239560868</c:v>
                </c:pt>
                <c:pt idx="86">
                  <c:v>56.585806815560865</c:v>
                </c:pt>
                <c:pt idx="87">
                  <c:v>45.285563307560864</c:v>
                </c:pt>
                <c:pt idx="88">
                  <c:v>39.898130859559004</c:v>
                </c:pt>
                <c:pt idx="89">
                  <c:v>49.490690407560869</c:v>
                </c:pt>
                <c:pt idx="90">
                  <c:v>60.819213259559007</c:v>
                </c:pt>
                <c:pt idx="91">
                  <c:v>37.402692723792917</c:v>
                </c:pt>
                <c:pt idx="92">
                  <c:v>17.675389911791054</c:v>
                </c:pt>
                <c:pt idx="93">
                  <c:v>22.42099434779292</c:v>
                </c:pt>
                <c:pt idx="94">
                  <c:v>10.764143951792917</c:v>
                </c:pt>
                <c:pt idx="95">
                  <c:v>12.38707608779292</c:v>
                </c:pt>
                <c:pt idx="96">
                  <c:v>25.683337035791052</c:v>
                </c:pt>
                <c:pt idx="97">
                  <c:v>23.145132199792918</c:v>
                </c:pt>
                <c:pt idx="98">
                  <c:v>25.82995115699865</c:v>
                </c:pt>
                <c:pt idx="99">
                  <c:v>26.201231548998649</c:v>
                </c:pt>
                <c:pt idx="100">
                  <c:v>17.300016412998652</c:v>
                </c:pt>
                <c:pt idx="101">
                  <c:v>15.172527685000517</c:v>
                </c:pt>
                <c:pt idx="102">
                  <c:v>10.88104752899865</c:v>
                </c:pt>
                <c:pt idx="103">
                  <c:v>26.601704529721381</c:v>
                </c:pt>
                <c:pt idx="104">
                  <c:v>26.601704529721381</c:v>
                </c:pt>
                <c:pt idx="105">
                  <c:v>14.183226333087557</c:v>
                </c:pt>
                <c:pt idx="106">
                  <c:v>10.3727383630857</c:v>
                </c:pt>
                <c:pt idx="107">
                  <c:v>4.9091500490875628</c:v>
                </c:pt>
                <c:pt idx="108">
                  <c:v>1.1223621510875601</c:v>
                </c:pt>
                <c:pt idx="109">
                  <c:v>1.2527377760875607</c:v>
                </c:pt>
                <c:pt idx="110">
                  <c:v>9.5187780880875579</c:v>
                </c:pt>
                <c:pt idx="111">
                  <c:v>21.238165024087561</c:v>
                </c:pt>
                <c:pt idx="112">
                  <c:v>14.719824948133187</c:v>
                </c:pt>
                <c:pt idx="113">
                  <c:v>4.3961503001350506</c:v>
                </c:pt>
                <c:pt idx="114">
                  <c:v>2.7864231081313267</c:v>
                </c:pt>
                <c:pt idx="115">
                  <c:v>3.4104858281331909</c:v>
                </c:pt>
                <c:pt idx="116">
                  <c:v>0.66356802413318661</c:v>
                </c:pt>
                <c:pt idx="117">
                  <c:v>2.3629647521331862</c:v>
                </c:pt>
                <c:pt idx="118">
                  <c:v>1.2923573881341217</c:v>
                </c:pt>
                <c:pt idx="119">
                  <c:v>6.5609360918694071</c:v>
                </c:pt>
                <c:pt idx="120">
                  <c:v>4.5303661118684762</c:v>
                </c:pt>
                <c:pt idx="121">
                  <c:v>6.5312281798703333</c:v>
                </c:pt>
                <c:pt idx="122">
                  <c:v>3.548440679868472</c:v>
                </c:pt>
                <c:pt idx="123">
                  <c:v>1.105057919869403</c:v>
                </c:pt>
                <c:pt idx="124">
                  <c:v>1.3670182158694042</c:v>
                </c:pt>
                <c:pt idx="125">
                  <c:v>1.782965891869404</c:v>
                </c:pt>
                <c:pt idx="126">
                  <c:v>2.1689622764460839</c:v>
                </c:pt>
                <c:pt idx="127">
                  <c:v>0.78540507645074098</c:v>
                </c:pt>
                <c:pt idx="128">
                  <c:v>1.0309195644470164</c:v>
                </c:pt>
                <c:pt idx="129">
                  <c:v>1.8049678124498096</c:v>
                </c:pt>
                <c:pt idx="130">
                  <c:v>1.004827152447946</c:v>
                </c:pt>
                <c:pt idx="131">
                  <c:v>0.7337421964488785</c:v>
                </c:pt>
                <c:pt idx="132">
                  <c:v>5.0941232324488812</c:v>
                </c:pt>
                <c:pt idx="133">
                  <c:v>10.186300378786349</c:v>
                </c:pt>
                <c:pt idx="134">
                  <c:v>0.79286929878914447</c:v>
                </c:pt>
                <c:pt idx="135">
                  <c:v>5.455991310786354</c:v>
                </c:pt>
                <c:pt idx="136">
                  <c:v>0.80239395078728193</c:v>
                </c:pt>
                <c:pt idx="137">
                  <c:v>0.93516316678728251</c:v>
                </c:pt>
                <c:pt idx="138">
                  <c:v>0.7927689467872806</c:v>
                </c:pt>
                <c:pt idx="139">
                  <c:v>1.0170399587863503</c:v>
                </c:pt>
                <c:pt idx="140">
                  <c:v>1.3471824894848832</c:v>
                </c:pt>
                <c:pt idx="141">
                  <c:v>0.75471684948861006</c:v>
                </c:pt>
                <c:pt idx="142">
                  <c:v>1.4968303974848822</c:v>
                </c:pt>
                <c:pt idx="143">
                  <c:v>0.98054632948674769</c:v>
                </c:pt>
                <c:pt idx="144">
                  <c:v>0.98118557748674717</c:v>
                </c:pt>
                <c:pt idx="145">
                  <c:v>0.93594360148488343</c:v>
                </c:pt>
                <c:pt idx="146">
                  <c:v>0.78725084548488666</c:v>
                </c:pt>
                <c:pt idx="147">
                  <c:v>5.3613860599029071</c:v>
                </c:pt>
                <c:pt idx="148">
                  <c:v>1.3795156158991813</c:v>
                </c:pt>
                <c:pt idx="149">
                  <c:v>0.64003740790104346</c:v>
                </c:pt>
                <c:pt idx="150">
                  <c:v>0.85277524390197501</c:v>
                </c:pt>
                <c:pt idx="151">
                  <c:v>1.3342008999001118</c:v>
                </c:pt>
                <c:pt idx="152">
                  <c:v>0.57709913590011275</c:v>
                </c:pt>
                <c:pt idx="153">
                  <c:v>1.4900494078991797</c:v>
                </c:pt>
                <c:pt idx="154">
                  <c:v>2.439024072921784</c:v>
                </c:pt>
                <c:pt idx="155">
                  <c:v>2.3962360889227128</c:v>
                </c:pt>
                <c:pt idx="156">
                  <c:v>19.802804212921785</c:v>
                </c:pt>
                <c:pt idx="157">
                  <c:v>8.8364277529208515</c:v>
                </c:pt>
                <c:pt idx="158">
                  <c:v>9.7225829929199215</c:v>
                </c:pt>
                <c:pt idx="159">
                  <c:v>12.063968236922715</c:v>
                </c:pt>
                <c:pt idx="160">
                  <c:v>19.704329852921788</c:v>
                </c:pt>
                <c:pt idx="161">
                  <c:v>20.220393285105605</c:v>
                </c:pt>
                <c:pt idx="162">
                  <c:v>20.220393285105605</c:v>
                </c:pt>
                <c:pt idx="163">
                  <c:v>20.220393285105605</c:v>
                </c:pt>
                <c:pt idx="164">
                  <c:v>20.220393285105605</c:v>
                </c:pt>
                <c:pt idx="165">
                  <c:v>20.220393285105605</c:v>
                </c:pt>
                <c:pt idx="166">
                  <c:v>20.220393285105605</c:v>
                </c:pt>
                <c:pt idx="167">
                  <c:v>20.220393285105605</c:v>
                </c:pt>
                <c:pt idx="168">
                  <c:v>20.220393285105605</c:v>
                </c:pt>
                <c:pt idx="169">
                  <c:v>18.260814747020159</c:v>
                </c:pt>
                <c:pt idx="170">
                  <c:v>20.220393285105605</c:v>
                </c:pt>
                <c:pt idx="171">
                  <c:v>17.613897146022019</c:v>
                </c:pt>
                <c:pt idx="172">
                  <c:v>8.9958853780192278</c:v>
                </c:pt>
                <c:pt idx="173">
                  <c:v>20.220393285105605</c:v>
                </c:pt>
                <c:pt idx="174">
                  <c:v>20.220393285105605</c:v>
                </c:pt>
                <c:pt idx="175">
                  <c:v>20.220393285105605</c:v>
                </c:pt>
                <c:pt idx="176">
                  <c:v>12.867219731411408</c:v>
                </c:pt>
                <c:pt idx="177">
                  <c:v>20.220393285105605</c:v>
                </c:pt>
                <c:pt idx="178">
                  <c:v>17.477073947411409</c:v>
                </c:pt>
                <c:pt idx="179">
                  <c:v>16.451820575408615</c:v>
                </c:pt>
                <c:pt idx="180">
                  <c:v>20.220393285105605</c:v>
                </c:pt>
                <c:pt idx="181">
                  <c:v>20.220393285105605</c:v>
                </c:pt>
                <c:pt idx="182">
                  <c:v>20.220393285105605</c:v>
                </c:pt>
                <c:pt idx="183">
                  <c:v>18.33551687355904</c:v>
                </c:pt>
                <c:pt idx="184">
                  <c:v>20.135935989558106</c:v>
                </c:pt>
                <c:pt idx="185">
                  <c:v>4.0797406895590393</c:v>
                </c:pt>
                <c:pt idx="186">
                  <c:v>0.84823744955904112</c:v>
                </c:pt>
                <c:pt idx="187">
                  <c:v>0.9602911375581098</c:v>
                </c:pt>
                <c:pt idx="188">
                  <c:v>3.2073961695590407</c:v>
                </c:pt>
                <c:pt idx="189">
                  <c:v>7.7128933218427083</c:v>
                </c:pt>
                <c:pt idx="190">
                  <c:v>18.757089646844573</c:v>
                </c:pt>
                <c:pt idx="191">
                  <c:v>21.618682225843646</c:v>
                </c:pt>
                <c:pt idx="192">
                  <c:v>4.6228063218445712</c:v>
                </c:pt>
                <c:pt idx="193">
                  <c:v>2.9587972828436397</c:v>
                </c:pt>
                <c:pt idx="194">
                  <c:v>22.02844628484457</c:v>
                </c:pt>
                <c:pt idx="195">
                  <c:v>23.77941356184364</c:v>
                </c:pt>
                <c:pt idx="196">
                  <c:v>16.200307536526953</c:v>
                </c:pt>
                <c:pt idx="197">
                  <c:v>8.2141049895250902</c:v>
                </c:pt>
                <c:pt idx="198">
                  <c:v>3.2859982715278822</c:v>
                </c:pt>
                <c:pt idx="199">
                  <c:v>11.08688186452695</c:v>
                </c:pt>
                <c:pt idx="200">
                  <c:v>4.878889060526955</c:v>
                </c:pt>
                <c:pt idx="201">
                  <c:v>26.990288200526951</c:v>
                </c:pt>
                <c:pt idx="202">
                  <c:v>4.7591329325269545</c:v>
                </c:pt>
                <c:pt idx="203">
                  <c:v>40.400211353346023</c:v>
                </c:pt>
                <c:pt idx="204">
                  <c:v>40.400211353346023</c:v>
                </c:pt>
                <c:pt idx="205">
                  <c:v>40.400211353346023</c:v>
                </c:pt>
                <c:pt idx="206">
                  <c:v>40.400211353346023</c:v>
                </c:pt>
                <c:pt idx="207">
                  <c:v>40.400211353346023</c:v>
                </c:pt>
                <c:pt idx="208">
                  <c:v>40.400211353346023</c:v>
                </c:pt>
                <c:pt idx="209">
                  <c:v>40.400211353346023</c:v>
                </c:pt>
                <c:pt idx="210">
                  <c:v>40.400211353346023</c:v>
                </c:pt>
                <c:pt idx="211">
                  <c:v>40.400211353346023</c:v>
                </c:pt>
                <c:pt idx="212">
                  <c:v>40.400211353346023</c:v>
                </c:pt>
                <c:pt idx="213">
                  <c:v>40.400211353346023</c:v>
                </c:pt>
                <c:pt idx="214">
                  <c:v>40.400211353346023</c:v>
                </c:pt>
                <c:pt idx="215">
                  <c:v>40.400211353346023</c:v>
                </c:pt>
                <c:pt idx="216">
                  <c:v>40.400211353346023</c:v>
                </c:pt>
                <c:pt idx="217">
                  <c:v>80.938788836501317</c:v>
                </c:pt>
                <c:pt idx="218">
                  <c:v>80.938788836501317</c:v>
                </c:pt>
                <c:pt idx="219">
                  <c:v>80.938788836501317</c:v>
                </c:pt>
                <c:pt idx="220">
                  <c:v>80.938788836501317</c:v>
                </c:pt>
                <c:pt idx="221">
                  <c:v>80.938788836501317</c:v>
                </c:pt>
                <c:pt idx="222">
                  <c:v>80.938788836501317</c:v>
                </c:pt>
                <c:pt idx="223">
                  <c:v>80.938788836501317</c:v>
                </c:pt>
                <c:pt idx="224">
                  <c:v>80.938788836501317</c:v>
                </c:pt>
                <c:pt idx="225">
                  <c:v>80.938788836501317</c:v>
                </c:pt>
                <c:pt idx="226">
                  <c:v>80.938788836501317</c:v>
                </c:pt>
                <c:pt idx="227">
                  <c:v>80.938788836501317</c:v>
                </c:pt>
                <c:pt idx="228">
                  <c:v>80.938788836501317</c:v>
                </c:pt>
                <c:pt idx="229">
                  <c:v>80.938788836501317</c:v>
                </c:pt>
                <c:pt idx="230">
                  <c:v>80.938788836501317</c:v>
                </c:pt>
                <c:pt idx="231">
                  <c:v>80.938788836501317</c:v>
                </c:pt>
                <c:pt idx="232">
                  <c:v>80.938788836501317</c:v>
                </c:pt>
                <c:pt idx="233">
                  <c:v>80.938788836501317</c:v>
                </c:pt>
                <c:pt idx="234">
                  <c:v>80.938788836501317</c:v>
                </c:pt>
                <c:pt idx="235">
                  <c:v>80.938788836501317</c:v>
                </c:pt>
                <c:pt idx="236">
                  <c:v>80.938788836501317</c:v>
                </c:pt>
                <c:pt idx="237">
                  <c:v>80.938788836501317</c:v>
                </c:pt>
                <c:pt idx="238">
                  <c:v>53.644299812797733</c:v>
                </c:pt>
                <c:pt idx="239">
                  <c:v>68.63053512879587</c:v>
                </c:pt>
                <c:pt idx="240">
                  <c:v>80.938788836501317</c:v>
                </c:pt>
                <c:pt idx="241">
                  <c:v>77.610073240797732</c:v>
                </c:pt>
                <c:pt idx="242">
                  <c:v>80.938788836501317</c:v>
                </c:pt>
                <c:pt idx="243">
                  <c:v>80.938788836501317</c:v>
                </c:pt>
                <c:pt idx="244">
                  <c:v>80.938788836501317</c:v>
                </c:pt>
                <c:pt idx="245">
                  <c:v>80.938788836501317</c:v>
                </c:pt>
                <c:pt idx="246">
                  <c:v>80.938788836501317</c:v>
                </c:pt>
                <c:pt idx="247">
                  <c:v>105.77564059458246</c:v>
                </c:pt>
                <c:pt idx="248">
                  <c:v>105.77564059458246</c:v>
                </c:pt>
                <c:pt idx="249">
                  <c:v>105.77564059458246</c:v>
                </c:pt>
                <c:pt idx="250">
                  <c:v>105.77564059458246</c:v>
                </c:pt>
                <c:pt idx="251">
                  <c:v>105.77564059458246</c:v>
                </c:pt>
                <c:pt idx="252">
                  <c:v>105.77564059458246</c:v>
                </c:pt>
                <c:pt idx="253">
                  <c:v>105.77564059458246</c:v>
                </c:pt>
                <c:pt idx="254">
                  <c:v>105.77564059458246</c:v>
                </c:pt>
                <c:pt idx="255">
                  <c:v>105.77564059458246</c:v>
                </c:pt>
                <c:pt idx="256">
                  <c:v>105.77564059458246</c:v>
                </c:pt>
                <c:pt idx="257">
                  <c:v>105.77564059458246</c:v>
                </c:pt>
                <c:pt idx="258">
                  <c:v>105.77564059458246</c:v>
                </c:pt>
                <c:pt idx="259">
                  <c:v>105.77564059458246</c:v>
                </c:pt>
                <c:pt idx="260">
                  <c:v>105.77564059458246</c:v>
                </c:pt>
                <c:pt idx="261">
                  <c:v>105.77564059458246</c:v>
                </c:pt>
                <c:pt idx="262">
                  <c:v>105.77564059458246</c:v>
                </c:pt>
                <c:pt idx="263">
                  <c:v>105.77564059458246</c:v>
                </c:pt>
                <c:pt idx="264">
                  <c:v>105.77564059458246</c:v>
                </c:pt>
                <c:pt idx="265">
                  <c:v>105.77564059458246</c:v>
                </c:pt>
                <c:pt idx="266">
                  <c:v>90.183736069493563</c:v>
                </c:pt>
                <c:pt idx="267">
                  <c:v>95.043589213493576</c:v>
                </c:pt>
                <c:pt idx="268">
                  <c:v>83.781432525495433</c:v>
                </c:pt>
                <c:pt idx="269">
                  <c:v>81.579333937491697</c:v>
                </c:pt>
                <c:pt idx="270">
                  <c:v>105.31441543349543</c:v>
                </c:pt>
                <c:pt idx="271">
                  <c:v>86.276048425495418</c:v>
                </c:pt>
                <c:pt idx="272">
                  <c:v>105.77564059458246</c:v>
                </c:pt>
                <c:pt idx="273">
                  <c:v>105.77564059458246</c:v>
                </c:pt>
                <c:pt idx="274">
                  <c:v>105.77564059458246</c:v>
                </c:pt>
                <c:pt idx="275">
                  <c:v>105.77564059458246</c:v>
                </c:pt>
                <c:pt idx="276">
                  <c:v>80.37812548214626</c:v>
                </c:pt>
                <c:pt idx="277">
                  <c:v>57.869754374148123</c:v>
                </c:pt>
                <c:pt idx="278">
                  <c:v>43.901266766148126</c:v>
                </c:pt>
                <c:pt idx="279">
                  <c:v>53.306943536146257</c:v>
                </c:pt>
                <c:pt idx="280">
                  <c:v>93.469764938338031</c:v>
                </c:pt>
                <c:pt idx="281">
                  <c:v>117.73333309338341</c:v>
                </c:pt>
                <c:pt idx="282">
                  <c:v>83.401819142339903</c:v>
                </c:pt>
                <c:pt idx="283">
                  <c:v>78.439711654339888</c:v>
                </c:pt>
                <c:pt idx="284">
                  <c:v>89.721362702336165</c:v>
                </c:pt>
                <c:pt idx="285">
                  <c:v>117.73333309338341</c:v>
                </c:pt>
                <c:pt idx="286">
                  <c:v>117.73333309338341</c:v>
                </c:pt>
                <c:pt idx="287">
                  <c:v>117.73333309338341</c:v>
                </c:pt>
                <c:pt idx="288">
                  <c:v>117.73333309338341</c:v>
                </c:pt>
                <c:pt idx="289">
                  <c:v>88.626292729827199</c:v>
                </c:pt>
                <c:pt idx="290">
                  <c:v>99.166459573825321</c:v>
                </c:pt>
                <c:pt idx="291">
                  <c:v>71.0015864418272</c:v>
                </c:pt>
                <c:pt idx="292">
                  <c:v>99.190810133825352</c:v>
                </c:pt>
                <c:pt idx="293">
                  <c:v>73.976678177829058</c:v>
                </c:pt>
                <c:pt idx="294">
                  <c:v>117.73333309338341</c:v>
                </c:pt>
                <c:pt idx="295">
                  <c:v>117.73333309338341</c:v>
                </c:pt>
                <c:pt idx="296">
                  <c:v>117.73333309338341</c:v>
                </c:pt>
                <c:pt idx="297">
                  <c:v>117.73333309338341</c:v>
                </c:pt>
                <c:pt idx="298">
                  <c:v>117.73333309338341</c:v>
                </c:pt>
                <c:pt idx="299">
                  <c:v>117.73333309338341</c:v>
                </c:pt>
                <c:pt idx="300">
                  <c:v>117.73333309338341</c:v>
                </c:pt>
                <c:pt idx="301">
                  <c:v>117.73333309338341</c:v>
                </c:pt>
                <c:pt idx="302">
                  <c:v>117.73333309338341</c:v>
                </c:pt>
                <c:pt idx="303">
                  <c:v>117.73333309338341</c:v>
                </c:pt>
                <c:pt idx="304">
                  <c:v>117.73333309338341</c:v>
                </c:pt>
                <c:pt idx="305">
                  <c:v>117.73333309338341</c:v>
                </c:pt>
                <c:pt idx="306">
                  <c:v>117.73333309338341</c:v>
                </c:pt>
                <c:pt idx="307">
                  <c:v>117.73333309338341</c:v>
                </c:pt>
                <c:pt idx="308">
                  <c:v>117.73333309338341</c:v>
                </c:pt>
                <c:pt idx="309">
                  <c:v>113.63725392513585</c:v>
                </c:pt>
                <c:pt idx="310">
                  <c:v>86.201154877137725</c:v>
                </c:pt>
                <c:pt idx="311">
                  <c:v>68.517948005135864</c:v>
                </c:pt>
                <c:pt idx="312">
                  <c:v>54.32054651313959</c:v>
                </c:pt>
                <c:pt idx="313">
                  <c:v>105.79176961713773</c:v>
                </c:pt>
                <c:pt idx="314">
                  <c:v>101.08770687713587</c:v>
                </c:pt>
                <c:pt idx="315">
                  <c:v>122.22068068134585</c:v>
                </c:pt>
                <c:pt idx="316">
                  <c:v>119.06189043334957</c:v>
                </c:pt>
                <c:pt idx="317">
                  <c:v>120.35209517734398</c:v>
                </c:pt>
                <c:pt idx="318">
                  <c:v>79.280241521347719</c:v>
                </c:pt>
                <c:pt idx="319">
                  <c:v>89.377392257349584</c:v>
                </c:pt>
                <c:pt idx="320">
                  <c:v>101.40798592534586</c:v>
                </c:pt>
                <c:pt idx="321">
                  <c:v>123.24675909882176</c:v>
                </c:pt>
                <c:pt idx="322">
                  <c:v>123.24675909882176</c:v>
                </c:pt>
                <c:pt idx="323">
                  <c:v>123.24675909882176</c:v>
                </c:pt>
                <c:pt idx="324">
                  <c:v>123.24675909882176</c:v>
                </c:pt>
                <c:pt idx="325">
                  <c:v>117.48944197267397</c:v>
                </c:pt>
                <c:pt idx="326">
                  <c:v>109.62150693667769</c:v>
                </c:pt>
                <c:pt idx="327">
                  <c:v>102.85124453667584</c:v>
                </c:pt>
                <c:pt idx="328">
                  <c:v>123.24675909882176</c:v>
                </c:pt>
                <c:pt idx="329">
                  <c:v>123.24675909882176</c:v>
                </c:pt>
                <c:pt idx="330">
                  <c:v>123.09941888562219</c:v>
                </c:pt>
                <c:pt idx="331">
                  <c:v>108.94874475362033</c:v>
                </c:pt>
                <c:pt idx="332">
                  <c:v>102.35199537762031</c:v>
                </c:pt>
                <c:pt idx="333">
                  <c:v>101.27404481762032</c:v>
                </c:pt>
                <c:pt idx="334">
                  <c:v>123.24675909882176</c:v>
                </c:pt>
                <c:pt idx="335">
                  <c:v>123.24675909882176</c:v>
                </c:pt>
                <c:pt idx="336">
                  <c:v>123.24675909882176</c:v>
                </c:pt>
                <c:pt idx="337">
                  <c:v>123.24675909882176</c:v>
                </c:pt>
                <c:pt idx="338">
                  <c:v>124.20934941128793</c:v>
                </c:pt>
                <c:pt idx="339">
                  <c:v>124.20934941128793</c:v>
                </c:pt>
                <c:pt idx="340">
                  <c:v>124.20934941128793</c:v>
                </c:pt>
                <c:pt idx="341">
                  <c:v>124.20934941128793</c:v>
                </c:pt>
                <c:pt idx="342">
                  <c:v>124.20934941128793</c:v>
                </c:pt>
                <c:pt idx="343">
                  <c:v>124.20934941128793</c:v>
                </c:pt>
                <c:pt idx="344">
                  <c:v>124.20934941128793</c:v>
                </c:pt>
                <c:pt idx="345">
                  <c:v>124.20934941128793</c:v>
                </c:pt>
                <c:pt idx="346">
                  <c:v>124.20934941128793</c:v>
                </c:pt>
                <c:pt idx="347">
                  <c:v>124.20934941128793</c:v>
                </c:pt>
                <c:pt idx="348">
                  <c:v>124.20934941128793</c:v>
                </c:pt>
                <c:pt idx="349">
                  <c:v>124.20934941128793</c:v>
                </c:pt>
                <c:pt idx="350">
                  <c:v>124.20934941128793</c:v>
                </c:pt>
                <c:pt idx="351">
                  <c:v>124.20934941128793</c:v>
                </c:pt>
                <c:pt idx="352">
                  <c:v>124.20934941128793</c:v>
                </c:pt>
                <c:pt idx="353">
                  <c:v>124.20934941128793</c:v>
                </c:pt>
                <c:pt idx="354">
                  <c:v>124.20934941128793</c:v>
                </c:pt>
                <c:pt idx="355">
                  <c:v>124.20934941128793</c:v>
                </c:pt>
                <c:pt idx="356">
                  <c:v>124.20934941128793</c:v>
                </c:pt>
                <c:pt idx="357">
                  <c:v>124.20934941128793</c:v>
                </c:pt>
                <c:pt idx="358">
                  <c:v>124.20934941128793</c:v>
                </c:pt>
                <c:pt idx="359">
                  <c:v>124.20934941128793</c:v>
                </c:pt>
                <c:pt idx="360">
                  <c:v>124.20934941128793</c:v>
                </c:pt>
                <c:pt idx="361">
                  <c:v>124.20934941128793</c:v>
                </c:pt>
                <c:pt idx="362">
                  <c:v>124.20934941128793</c:v>
                </c:pt>
                <c:pt idx="363">
                  <c:v>124.20934941128793</c:v>
                </c:pt>
                <c:pt idx="364">
                  <c:v>124.20934941128793</c:v>
                </c:pt>
                <c:pt idx="365">
                  <c:v>124.20934941128793</c:v>
                </c:pt>
                <c:pt idx="366">
                  <c:v>124.20934941128793</c:v>
                </c:pt>
                <c:pt idx="367">
                  <c:v>124.20934941128793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6FA-4CF7-8075-2D23B26E89FB}"/>
            </c:ext>
          </c:extLst>
        </c:ser>
        <c:ser>
          <c:idx val="2"/>
          <c:order val="3"/>
          <c:spPr>
            <a:noFill/>
            <a:ln w="25400">
              <a:noFill/>
            </a:ln>
          </c:spP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700" b="0" i="0" u="none" strike="noStrike" kern="1200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Dat_02!$F$3:$F$398</c:f>
              <c:strCache>
                <c:ptCount val="380"/>
                <c:pt idx="14">
                  <c:v>M</c:v>
                </c:pt>
                <c:pt idx="45">
                  <c:v>A</c:v>
                </c:pt>
                <c:pt idx="75">
                  <c:v>M</c:v>
                </c:pt>
                <c:pt idx="106">
                  <c:v>J</c:v>
                </c:pt>
                <c:pt idx="136">
                  <c:v>J</c:v>
                </c:pt>
                <c:pt idx="167">
                  <c:v>A</c:v>
                </c:pt>
                <c:pt idx="198">
                  <c:v>S</c:v>
                </c:pt>
                <c:pt idx="228">
                  <c:v>O</c:v>
                </c:pt>
                <c:pt idx="259">
                  <c:v>N</c:v>
                </c:pt>
                <c:pt idx="289">
                  <c:v>D</c:v>
                </c:pt>
                <c:pt idx="320">
                  <c:v>E</c:v>
                </c:pt>
                <c:pt idx="351">
                  <c:v>F</c:v>
                </c:pt>
                <c:pt idx="379">
                  <c:v>M</c:v>
                </c:pt>
              </c:strCache>
            </c:strRef>
          </c:cat>
          <c:val>
            <c:numRef>
              <c:f>Dat_02!$G$396:$G$763</c:f>
              <c:numCache>
                <c:formatCode>0</c:formatCode>
                <c:ptCount val="368"/>
                <c:pt idx="17">
                  <c:v>125.90182729691037</c:v>
                </c:pt>
                <c:pt idx="47">
                  <c:v>98.741424078570617</c:v>
                </c:pt>
                <c:pt idx="78">
                  <c:v>62.091495991055417</c:v>
                </c:pt>
                <c:pt idx="108">
                  <c:v>26.601704529721381</c:v>
                </c:pt>
                <c:pt idx="139">
                  <c:v>15.940810769841702</c:v>
                </c:pt>
                <c:pt idx="170">
                  <c:v>20.220393285105605</c:v>
                </c:pt>
                <c:pt idx="200">
                  <c:v>40.400211353346023</c:v>
                </c:pt>
                <c:pt idx="231">
                  <c:v>80.938788836501317</c:v>
                </c:pt>
                <c:pt idx="261">
                  <c:v>105.77564059458246</c:v>
                </c:pt>
                <c:pt idx="292">
                  <c:v>117.73333309338341</c:v>
                </c:pt>
                <c:pt idx="323">
                  <c:v>123.24675909882176</c:v>
                </c:pt>
                <c:pt idx="352">
                  <c:v>124.20934941128793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E-F6FA-4CF7-8075-2D23B26E89F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707454592"/>
        <c:axId val="707454200"/>
      </c:areaChart>
      <c:catAx>
        <c:axId val="707454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>
            <a:solidFill>
              <a:srgbClr val="006699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7074542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707454200"/>
        <c:scaling>
          <c:orientation val="minMax"/>
          <c:max val="600"/>
        </c:scaling>
        <c:delete val="0"/>
        <c:axPos val="l"/>
        <c:majorGridlines>
          <c:spPr>
            <a:ln w="3175">
              <a:solidFill>
                <a:srgbClr val="006699"/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4563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r>
                  <a:rPr lang="es-ES" b="0" i="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3.6580732700135683E-2"/>
              <c:y val="6.9175605017876701E-3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 w="9525">
            <a:solidFill>
              <a:srgbClr val="006699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707454592"/>
        <c:crosses val="autoZero"/>
        <c:crossBetween val="midCat"/>
        <c:majorUnit val="100"/>
      </c:valAx>
      <c:spPr>
        <a:solidFill>
          <a:srgbClr val="F5F5F5"/>
        </a:solidFill>
        <a:ln>
          <a:noFill/>
        </a:ln>
      </c:spPr>
    </c:plotArea>
    <c:legend>
      <c:legendPos val="t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31693273076279305"/>
          <c:y val="1.5748031496062992E-2"/>
          <c:w val="0.34514841682781511"/>
          <c:h val="8.5205117076900816E-2"/>
        </c:manualLayout>
      </c:layout>
      <c:overlay val="0"/>
    </c:legend>
    <c:plotVisOnly val="1"/>
    <c:dispBlanksAs val="gap"/>
    <c:showDLblsOverMax val="0"/>
  </c:chart>
  <c:spPr>
    <a:solidFill>
      <a:srgbClr val="F5F5F5"/>
    </a:solidFill>
    <a:ln w="3175">
      <a:noFill/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 verticalDpi="1200"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1085030247996251E-2"/>
          <c:y val="0.11902039804079609"/>
          <c:w val="0.88448972314479668"/>
          <c:h val="0.66229731126128921"/>
        </c:manualLayout>
      </c:layout>
      <c:areaChart>
        <c:grouping val="standard"/>
        <c:varyColors val="0"/>
        <c:ser>
          <c:idx val="2"/>
          <c:order val="0"/>
          <c:tx>
            <c:strRef>
              <c:f>Dat_02!$C$1</c:f>
              <c:strCache>
                <c:ptCount val="1"/>
                <c:pt idx="0">
                  <c:v>Producible diario</c:v>
                </c:pt>
              </c:strCache>
            </c:strRef>
          </c:tx>
          <c:spPr>
            <a:solidFill>
              <a:srgbClr val="00B0F0"/>
            </a:solidFill>
            <a:ln w="25400">
              <a:noFill/>
            </a:ln>
          </c:spPr>
          <c:cat>
            <c:multiLvlStrRef>
              <c:f>Dat_02!$H$3:$I$762</c:f>
              <c:multiLvlStrCache>
                <c:ptCount val="746"/>
                <c:lvl>
                  <c:pt idx="14">
                    <c:v>M</c:v>
                  </c:pt>
                  <c:pt idx="45">
                    <c:v>A</c:v>
                  </c:pt>
                  <c:pt idx="75">
                    <c:v>M</c:v>
                  </c:pt>
                  <c:pt idx="106">
                    <c:v>J</c:v>
                  </c:pt>
                  <c:pt idx="136">
                    <c:v>J</c:v>
                  </c:pt>
                  <c:pt idx="167">
                    <c:v>A</c:v>
                  </c:pt>
                  <c:pt idx="198">
                    <c:v>S</c:v>
                  </c:pt>
                  <c:pt idx="228">
                    <c:v>O</c:v>
                  </c:pt>
                  <c:pt idx="259">
                    <c:v>N</c:v>
                  </c:pt>
                  <c:pt idx="289">
                    <c:v>D</c:v>
                  </c:pt>
                  <c:pt idx="320">
                    <c:v>E</c:v>
                  </c:pt>
                  <c:pt idx="351">
                    <c:v>F</c:v>
                  </c:pt>
                  <c:pt idx="379">
                    <c:v>M</c:v>
                  </c:pt>
                  <c:pt idx="410">
                    <c:v>A</c:v>
                  </c:pt>
                  <c:pt idx="440">
                    <c:v>M</c:v>
                  </c:pt>
                  <c:pt idx="471">
                    <c:v>J</c:v>
                  </c:pt>
                  <c:pt idx="501">
                    <c:v>J</c:v>
                  </c:pt>
                  <c:pt idx="532">
                    <c:v>A</c:v>
                  </c:pt>
                  <c:pt idx="563">
                    <c:v>S</c:v>
                  </c:pt>
                  <c:pt idx="593">
                    <c:v>O</c:v>
                  </c:pt>
                  <c:pt idx="624">
                    <c:v>N</c:v>
                  </c:pt>
                  <c:pt idx="654">
                    <c:v>D</c:v>
                  </c:pt>
                  <c:pt idx="685">
                    <c:v>E</c:v>
                  </c:pt>
                  <c:pt idx="716">
                    <c:v>F</c:v>
                  </c:pt>
                  <c:pt idx="745">
                    <c:v>M</c:v>
                  </c:pt>
                </c:lvl>
                <c:lvl>
                  <c:pt idx="0">
                    <c:v>2022 </c:v>
                  </c:pt>
                  <c:pt idx="306">
                    <c:v>2023 </c:v>
                  </c:pt>
                  <c:pt idx="671">
                    <c:v>2024 </c:v>
                  </c:pt>
                </c:lvl>
              </c:multiLvlStrCache>
            </c:multiLvlStrRef>
          </c:cat>
          <c:val>
            <c:numRef>
              <c:f>Dat_02!$C$3:$C$762</c:f>
              <c:numCache>
                <c:formatCode>#,##0.0</c:formatCode>
                <c:ptCount val="760"/>
                <c:pt idx="0">
                  <c:v>31.391719412993378</c:v>
                </c:pt>
                <c:pt idx="1">
                  <c:v>40.784673179673312</c:v>
                </c:pt>
                <c:pt idx="2">
                  <c:v>49.315927419673315</c:v>
                </c:pt>
                <c:pt idx="3">
                  <c:v>39.349748935674242</c:v>
                </c:pt>
                <c:pt idx="4">
                  <c:v>48.881724543674245</c:v>
                </c:pt>
                <c:pt idx="5">
                  <c:v>45.742094035673311</c:v>
                </c:pt>
                <c:pt idx="6">
                  <c:v>60.618987323673309</c:v>
                </c:pt>
                <c:pt idx="7">
                  <c:v>36.964099775673311</c:v>
                </c:pt>
                <c:pt idx="8">
                  <c:v>62.300421105205558</c:v>
                </c:pt>
                <c:pt idx="9">
                  <c:v>54.79258792720556</c:v>
                </c:pt>
                <c:pt idx="10">
                  <c:v>60.629858955205556</c:v>
                </c:pt>
                <c:pt idx="11">
                  <c:v>59.165812285206492</c:v>
                </c:pt>
                <c:pt idx="12">
                  <c:v>60.547653731206488</c:v>
                </c:pt>
                <c:pt idx="13">
                  <c:v>63.689207503205559</c:v>
                </c:pt>
                <c:pt idx="14">
                  <c:v>88.789314825206489</c:v>
                </c:pt>
                <c:pt idx="15">
                  <c:v>106.00299378317858</c:v>
                </c:pt>
                <c:pt idx="16">
                  <c:v>76.527726677176716</c:v>
                </c:pt>
                <c:pt idx="17">
                  <c:v>83.819214599177656</c:v>
                </c:pt>
                <c:pt idx="18">
                  <c:v>73.140999351177655</c:v>
                </c:pt>
                <c:pt idx="19">
                  <c:v>63.440759083177653</c:v>
                </c:pt>
                <c:pt idx="20">
                  <c:v>64.563472147177663</c:v>
                </c:pt>
                <c:pt idx="21">
                  <c:v>71.529757761177663</c:v>
                </c:pt>
                <c:pt idx="22">
                  <c:v>96.653541922288952</c:v>
                </c:pt>
                <c:pt idx="23">
                  <c:v>108.81718818828989</c:v>
                </c:pt>
                <c:pt idx="24">
                  <c:v>101.39951637829083</c:v>
                </c:pt>
                <c:pt idx="25">
                  <c:v>97.732828272288955</c:v>
                </c:pt>
                <c:pt idx="26">
                  <c:v>77.183881546289896</c:v>
                </c:pt>
                <c:pt idx="27">
                  <c:v>88.084318582288944</c:v>
                </c:pt>
                <c:pt idx="28">
                  <c:v>100.24024737228989</c:v>
                </c:pt>
                <c:pt idx="29">
                  <c:v>77.083825651458611</c:v>
                </c:pt>
                <c:pt idx="30">
                  <c:v>78.783568207456753</c:v>
                </c:pt>
                <c:pt idx="31">
                  <c:v>79.621652601457697</c:v>
                </c:pt>
                <c:pt idx="32">
                  <c:v>63.652071265456755</c:v>
                </c:pt>
                <c:pt idx="33">
                  <c:v>52.926250857457688</c:v>
                </c:pt>
                <c:pt idx="34">
                  <c:v>72.057024007457684</c:v>
                </c:pt>
                <c:pt idx="35">
                  <c:v>96.13378803145676</c:v>
                </c:pt>
                <c:pt idx="36">
                  <c:v>76.231480753457234</c:v>
                </c:pt>
                <c:pt idx="37">
                  <c:v>56.790206899457232</c:v>
                </c:pt>
                <c:pt idx="38">
                  <c:v>53.223992833460024</c:v>
                </c:pt>
                <c:pt idx="39">
                  <c:v>70.652818067457233</c:v>
                </c:pt>
                <c:pt idx="40">
                  <c:v>40.918056189456301</c:v>
                </c:pt>
                <c:pt idx="41">
                  <c:v>46.868316089458169</c:v>
                </c:pt>
                <c:pt idx="42">
                  <c:v>73.202432325457238</c:v>
                </c:pt>
                <c:pt idx="43">
                  <c:v>97.029967481449177</c:v>
                </c:pt>
                <c:pt idx="44">
                  <c:v>81.191819453449156</c:v>
                </c:pt>
                <c:pt idx="45">
                  <c:v>74.553324233448251</c:v>
                </c:pt>
                <c:pt idx="46">
                  <c:v>65.376347637449172</c:v>
                </c:pt>
                <c:pt idx="47">
                  <c:v>72.665358119449166</c:v>
                </c:pt>
                <c:pt idx="48">
                  <c:v>79.34810926944823</c:v>
                </c:pt>
                <c:pt idx="49">
                  <c:v>82.780507059450102</c:v>
                </c:pt>
                <c:pt idx="50">
                  <c:v>91.179375421669945</c:v>
                </c:pt>
                <c:pt idx="51">
                  <c:v>107.24645708966996</c:v>
                </c:pt>
                <c:pt idx="52">
                  <c:v>109.59587319367088</c:v>
                </c:pt>
                <c:pt idx="53">
                  <c:v>79.516294011670894</c:v>
                </c:pt>
                <c:pt idx="54">
                  <c:v>91.745059781669966</c:v>
                </c:pt>
                <c:pt idx="55">
                  <c:v>101.44792483766902</c:v>
                </c:pt>
                <c:pt idx="56">
                  <c:v>104.48264529367088</c:v>
                </c:pt>
                <c:pt idx="57">
                  <c:v>99.326831420552693</c:v>
                </c:pt>
                <c:pt idx="58">
                  <c:v>114.03566418455084</c:v>
                </c:pt>
                <c:pt idx="59">
                  <c:v>117.81579688055271</c:v>
                </c:pt>
                <c:pt idx="60">
                  <c:v>104.73164693055364</c:v>
                </c:pt>
                <c:pt idx="61">
                  <c:v>83.156359126549916</c:v>
                </c:pt>
                <c:pt idx="62">
                  <c:v>91.21433605255362</c:v>
                </c:pt>
                <c:pt idx="63">
                  <c:v>111.0449889485527</c:v>
                </c:pt>
                <c:pt idx="64">
                  <c:v>107.26813197630744</c:v>
                </c:pt>
                <c:pt idx="65">
                  <c:v>86.8020471523065</c:v>
                </c:pt>
                <c:pt idx="66">
                  <c:v>69.103522436307443</c:v>
                </c:pt>
                <c:pt idx="67">
                  <c:v>72.622806806305576</c:v>
                </c:pt>
                <c:pt idx="68">
                  <c:v>64.835992066308364</c:v>
                </c:pt>
                <c:pt idx="69">
                  <c:v>79.258509340306517</c:v>
                </c:pt>
                <c:pt idx="70">
                  <c:v>83.370523604307436</c:v>
                </c:pt>
                <c:pt idx="71">
                  <c:v>64.487095028005015</c:v>
                </c:pt>
                <c:pt idx="72">
                  <c:v>54.860505084005958</c:v>
                </c:pt>
                <c:pt idx="73">
                  <c:v>61.607467572005014</c:v>
                </c:pt>
                <c:pt idx="74">
                  <c:v>40.143651944004084</c:v>
                </c:pt>
                <c:pt idx="75">
                  <c:v>39.209505080005947</c:v>
                </c:pt>
                <c:pt idx="76">
                  <c:v>49.212794322006879</c:v>
                </c:pt>
                <c:pt idx="77">
                  <c:v>51.786156812005011</c:v>
                </c:pt>
                <c:pt idx="78">
                  <c:v>61.161129312259817</c:v>
                </c:pt>
                <c:pt idx="79">
                  <c:v>65.167090836259817</c:v>
                </c:pt>
                <c:pt idx="80">
                  <c:v>62.089040656260742</c:v>
                </c:pt>
                <c:pt idx="81">
                  <c:v>57.760507064259812</c:v>
                </c:pt>
                <c:pt idx="82">
                  <c:v>52.668547350260752</c:v>
                </c:pt>
                <c:pt idx="83">
                  <c:v>62.746090904259816</c:v>
                </c:pt>
                <c:pt idx="84">
                  <c:v>55.796363632261681</c:v>
                </c:pt>
                <c:pt idx="85">
                  <c:v>37.202491168886539</c:v>
                </c:pt>
                <c:pt idx="86">
                  <c:v>32.887609544888399</c:v>
                </c:pt>
                <c:pt idx="87">
                  <c:v>34.880052270888399</c:v>
                </c:pt>
                <c:pt idx="88">
                  <c:v>41.353239382888404</c:v>
                </c:pt>
                <c:pt idx="89">
                  <c:v>28.317300492888396</c:v>
                </c:pt>
                <c:pt idx="90">
                  <c:v>38.824673940888403</c:v>
                </c:pt>
                <c:pt idx="91">
                  <c:v>48.850169006887469</c:v>
                </c:pt>
                <c:pt idx="92">
                  <c:v>41.207367929528253</c:v>
                </c:pt>
                <c:pt idx="93">
                  <c:v>52.536363009527328</c:v>
                </c:pt>
                <c:pt idx="94">
                  <c:v>46.10201554552733</c:v>
                </c:pt>
                <c:pt idx="95">
                  <c:v>32.200516235526393</c:v>
                </c:pt>
                <c:pt idx="96">
                  <c:v>24.11654776152826</c:v>
                </c:pt>
                <c:pt idx="97">
                  <c:v>30.488533945529191</c:v>
                </c:pt>
                <c:pt idx="98">
                  <c:v>29.348419123526394</c:v>
                </c:pt>
                <c:pt idx="99">
                  <c:v>22.97658207775229</c:v>
                </c:pt>
                <c:pt idx="100">
                  <c:v>25.693151507752294</c:v>
                </c:pt>
                <c:pt idx="101">
                  <c:v>30.172250453753222</c:v>
                </c:pt>
                <c:pt idx="102">
                  <c:v>26.469429901751361</c:v>
                </c:pt>
                <c:pt idx="103">
                  <c:v>19.406487079751358</c:v>
                </c:pt>
                <c:pt idx="104">
                  <c:v>46.200025131753222</c:v>
                </c:pt>
                <c:pt idx="105">
                  <c:v>42.439020761752289</c:v>
                </c:pt>
                <c:pt idx="106">
                  <c:v>29.932358020219034</c:v>
                </c:pt>
                <c:pt idx="107">
                  <c:v>5.7832736262199687</c:v>
                </c:pt>
                <c:pt idx="108">
                  <c:v>1.2738564382199693</c:v>
                </c:pt>
                <c:pt idx="109">
                  <c:v>10.591816084219973</c:v>
                </c:pt>
                <c:pt idx="110">
                  <c:v>1.5330402962209009</c:v>
                </c:pt>
                <c:pt idx="111">
                  <c:v>4.6798778182190359</c:v>
                </c:pt>
                <c:pt idx="112">
                  <c:v>7.928798956219973</c:v>
                </c:pt>
                <c:pt idx="113">
                  <c:v>19.59688801024253</c:v>
                </c:pt>
                <c:pt idx="114">
                  <c:v>11.886811138243461</c:v>
                </c:pt>
                <c:pt idx="115">
                  <c:v>13.637115506245326</c:v>
                </c:pt>
                <c:pt idx="116">
                  <c:v>14.103308344244393</c:v>
                </c:pt>
                <c:pt idx="117">
                  <c:v>14.828685156243465</c:v>
                </c:pt>
                <c:pt idx="118">
                  <c:v>16.303281046242528</c:v>
                </c:pt>
                <c:pt idx="119">
                  <c:v>21.96886816424346</c:v>
                </c:pt>
                <c:pt idx="120">
                  <c:v>9.211150769911189</c:v>
                </c:pt>
                <c:pt idx="121">
                  <c:v>14.028541505911191</c:v>
                </c:pt>
                <c:pt idx="122">
                  <c:v>18.326979493911189</c:v>
                </c:pt>
                <c:pt idx="123">
                  <c:v>13.377881027910261</c:v>
                </c:pt>
                <c:pt idx="124">
                  <c:v>10.92700495791026</c:v>
                </c:pt>
                <c:pt idx="125">
                  <c:v>12.704216783910262</c:v>
                </c:pt>
                <c:pt idx="126">
                  <c:v>9.9428198619102588</c:v>
                </c:pt>
                <c:pt idx="127">
                  <c:v>11.325503423679002</c:v>
                </c:pt>
                <c:pt idx="128">
                  <c:v>9.0330230036817962</c:v>
                </c:pt>
                <c:pt idx="129">
                  <c:v>9.7995151336799324</c:v>
                </c:pt>
                <c:pt idx="130">
                  <c:v>10.655314937679002</c:v>
                </c:pt>
                <c:pt idx="131">
                  <c:v>6.8382933716789998</c:v>
                </c:pt>
                <c:pt idx="132">
                  <c:v>9.1660574676808615</c:v>
                </c:pt>
                <c:pt idx="133">
                  <c:v>8.5802800636789982</c:v>
                </c:pt>
                <c:pt idx="134">
                  <c:v>4.8299751573210594</c:v>
                </c:pt>
                <c:pt idx="135">
                  <c:v>6.5488495373191977</c:v>
                </c:pt>
                <c:pt idx="136">
                  <c:v>1.5232129653201263</c:v>
                </c:pt>
                <c:pt idx="137">
                  <c:v>1.2849200733191937</c:v>
                </c:pt>
                <c:pt idx="138">
                  <c:v>1.4496847053201272</c:v>
                </c:pt>
                <c:pt idx="139">
                  <c:v>0.77954121532105636</c:v>
                </c:pt>
                <c:pt idx="140">
                  <c:v>1.173243831319196</c:v>
                </c:pt>
                <c:pt idx="141">
                  <c:v>20.147601515821357</c:v>
                </c:pt>
                <c:pt idx="142">
                  <c:v>2.6018812478222864</c:v>
                </c:pt>
                <c:pt idx="143">
                  <c:v>9.799058977821355</c:v>
                </c:pt>
                <c:pt idx="144">
                  <c:v>1.8927773678213562</c:v>
                </c:pt>
                <c:pt idx="145">
                  <c:v>6.3751965378232196</c:v>
                </c:pt>
                <c:pt idx="146">
                  <c:v>2.6759367778213563</c:v>
                </c:pt>
                <c:pt idx="147">
                  <c:v>4.0206456878222889</c:v>
                </c:pt>
                <c:pt idx="148">
                  <c:v>2.3778563500869931</c:v>
                </c:pt>
                <c:pt idx="149">
                  <c:v>3.0707219940860671</c:v>
                </c:pt>
                <c:pt idx="150">
                  <c:v>8.0482750000860612</c:v>
                </c:pt>
                <c:pt idx="151">
                  <c:v>1.4271286360860649</c:v>
                </c:pt>
                <c:pt idx="152">
                  <c:v>1.0757615200851323</c:v>
                </c:pt>
                <c:pt idx="153">
                  <c:v>3.5158488080869938</c:v>
                </c:pt>
                <c:pt idx="154">
                  <c:v>5.5261776980869985</c:v>
                </c:pt>
                <c:pt idx="155">
                  <c:v>1.0188386552845767</c:v>
                </c:pt>
                <c:pt idx="156">
                  <c:v>1.4412675172845775</c:v>
                </c:pt>
                <c:pt idx="157">
                  <c:v>1.3329215492845761</c:v>
                </c:pt>
                <c:pt idx="158">
                  <c:v>0.83663648328457563</c:v>
                </c:pt>
                <c:pt idx="159">
                  <c:v>0.67314303928457597</c:v>
                </c:pt>
                <c:pt idx="160">
                  <c:v>1.3498702392864397</c:v>
                </c:pt>
                <c:pt idx="161">
                  <c:v>0.70941754728457818</c:v>
                </c:pt>
                <c:pt idx="162">
                  <c:v>4.9430723089984605</c:v>
                </c:pt>
                <c:pt idx="163">
                  <c:v>1.7937095069993885</c:v>
                </c:pt>
                <c:pt idx="164">
                  <c:v>1.2085088429984607</c:v>
                </c:pt>
                <c:pt idx="165">
                  <c:v>2.0580843149993888</c:v>
                </c:pt>
                <c:pt idx="166">
                  <c:v>1.3415646249993878</c:v>
                </c:pt>
                <c:pt idx="167">
                  <c:v>1.4799389209993896</c:v>
                </c:pt>
                <c:pt idx="168">
                  <c:v>1.9507038109975257</c:v>
                </c:pt>
                <c:pt idx="169">
                  <c:v>2.0448352808154886</c:v>
                </c:pt>
                <c:pt idx="170">
                  <c:v>4.3118216648145573</c:v>
                </c:pt>
                <c:pt idx="171">
                  <c:v>12.737456120815484</c:v>
                </c:pt>
                <c:pt idx="172">
                  <c:v>8.6795645528154886</c:v>
                </c:pt>
                <c:pt idx="173">
                  <c:v>0.63787914281455593</c:v>
                </c:pt>
                <c:pt idx="174">
                  <c:v>3.61111934681642</c:v>
                </c:pt>
                <c:pt idx="175">
                  <c:v>14.42095846081456</c:v>
                </c:pt>
                <c:pt idx="176">
                  <c:v>8.6421926085703387</c:v>
                </c:pt>
                <c:pt idx="177">
                  <c:v>1.5996729785712704</c:v>
                </c:pt>
                <c:pt idx="178">
                  <c:v>0.86446228857127061</c:v>
                </c:pt>
                <c:pt idx="179">
                  <c:v>6.8627261985703409</c:v>
                </c:pt>
                <c:pt idx="180">
                  <c:v>1.2790894625712717</c:v>
                </c:pt>
                <c:pt idx="181">
                  <c:v>7.5367625565703422</c:v>
                </c:pt>
                <c:pt idx="182">
                  <c:v>19.798910736570338</c:v>
                </c:pt>
                <c:pt idx="183">
                  <c:v>8.7315964332490115</c:v>
                </c:pt>
                <c:pt idx="184">
                  <c:v>3.7828873652471482</c:v>
                </c:pt>
                <c:pt idx="185">
                  <c:v>0.90883960924807983</c:v>
                </c:pt>
                <c:pt idx="186">
                  <c:v>1.0499202512480805</c:v>
                </c:pt>
                <c:pt idx="187">
                  <c:v>0.80755490724715129</c:v>
                </c:pt>
                <c:pt idx="188">
                  <c:v>1.2218452492471479</c:v>
                </c:pt>
                <c:pt idx="189">
                  <c:v>1.0894917012471488</c:v>
                </c:pt>
                <c:pt idx="190">
                  <c:v>2.8869032931076291</c:v>
                </c:pt>
                <c:pt idx="191">
                  <c:v>14.760340259105767</c:v>
                </c:pt>
                <c:pt idx="192">
                  <c:v>35.064965161107629</c:v>
                </c:pt>
                <c:pt idx="193">
                  <c:v>13.339951817105764</c:v>
                </c:pt>
                <c:pt idx="194">
                  <c:v>3.9322403651076274</c:v>
                </c:pt>
                <c:pt idx="195">
                  <c:v>5.1425005751057649</c:v>
                </c:pt>
                <c:pt idx="196">
                  <c:v>15.42366311510763</c:v>
                </c:pt>
                <c:pt idx="197">
                  <c:v>12.349760605496158</c:v>
                </c:pt>
                <c:pt idx="198">
                  <c:v>31.989309273495223</c:v>
                </c:pt>
                <c:pt idx="199">
                  <c:v>36.948285189495216</c:v>
                </c:pt>
                <c:pt idx="200">
                  <c:v>16.074023705495222</c:v>
                </c:pt>
                <c:pt idx="201">
                  <c:v>13.853308805496155</c:v>
                </c:pt>
                <c:pt idx="202">
                  <c:v>28.378632505496157</c:v>
                </c:pt>
                <c:pt idx="203">
                  <c:v>28.874847413494294</c:v>
                </c:pt>
                <c:pt idx="204">
                  <c:v>18.91056866332821</c:v>
                </c:pt>
                <c:pt idx="205">
                  <c:v>15.011955983329143</c:v>
                </c:pt>
                <c:pt idx="206">
                  <c:v>15.385728020327274</c:v>
                </c:pt>
                <c:pt idx="207">
                  <c:v>7.3847436263291382</c:v>
                </c:pt>
                <c:pt idx="208">
                  <c:v>1.3258039603282086</c:v>
                </c:pt>
                <c:pt idx="209">
                  <c:v>1.1169635263272795</c:v>
                </c:pt>
                <c:pt idx="210">
                  <c:v>0.78786596332913905</c:v>
                </c:pt>
                <c:pt idx="211">
                  <c:v>0.62199482457556587</c:v>
                </c:pt>
                <c:pt idx="212">
                  <c:v>1.5908444845746343</c:v>
                </c:pt>
                <c:pt idx="213">
                  <c:v>15.933703672575568</c:v>
                </c:pt>
                <c:pt idx="214">
                  <c:v>11.227034907575566</c:v>
                </c:pt>
                <c:pt idx="215">
                  <c:v>7.9707422325755672</c:v>
                </c:pt>
                <c:pt idx="216">
                  <c:v>20.891594586575568</c:v>
                </c:pt>
                <c:pt idx="217">
                  <c:v>16.433540057575566</c:v>
                </c:pt>
                <c:pt idx="218">
                  <c:v>8.6749098880381279</c:v>
                </c:pt>
                <c:pt idx="219">
                  <c:v>9.3689522890390577</c:v>
                </c:pt>
                <c:pt idx="220">
                  <c:v>13.773585029038127</c:v>
                </c:pt>
                <c:pt idx="221">
                  <c:v>5.7188718090381263</c:v>
                </c:pt>
                <c:pt idx="222">
                  <c:v>4.7329473290381268</c:v>
                </c:pt>
                <c:pt idx="223">
                  <c:v>14.908775329039058</c:v>
                </c:pt>
                <c:pt idx="224">
                  <c:v>11.686731429039057</c:v>
                </c:pt>
                <c:pt idx="225">
                  <c:v>8.0333308843297484</c:v>
                </c:pt>
                <c:pt idx="226">
                  <c:v>13.818515744328819</c:v>
                </c:pt>
                <c:pt idx="227">
                  <c:v>13.067054888329748</c:v>
                </c:pt>
                <c:pt idx="228">
                  <c:v>8.1490059843288183</c:v>
                </c:pt>
                <c:pt idx="229">
                  <c:v>9.3695336443297492</c:v>
                </c:pt>
                <c:pt idx="230">
                  <c:v>13.885516124329747</c:v>
                </c:pt>
                <c:pt idx="231">
                  <c:v>13.979799504328817</c:v>
                </c:pt>
                <c:pt idx="232">
                  <c:v>36.042525623746585</c:v>
                </c:pt>
                <c:pt idx="233">
                  <c:v>41.862411023747526</c:v>
                </c:pt>
                <c:pt idx="234">
                  <c:v>48.232235227746592</c:v>
                </c:pt>
                <c:pt idx="235">
                  <c:v>42.953111683746592</c:v>
                </c:pt>
                <c:pt idx="236">
                  <c:v>43.362609591746583</c:v>
                </c:pt>
                <c:pt idx="237">
                  <c:v>55.478940703746588</c:v>
                </c:pt>
                <c:pt idx="238">
                  <c:v>44.782790679745652</c:v>
                </c:pt>
                <c:pt idx="239">
                  <c:v>65.213771026325347</c:v>
                </c:pt>
                <c:pt idx="240">
                  <c:v>50.209895595325349</c:v>
                </c:pt>
                <c:pt idx="241">
                  <c:v>53.048136565324413</c:v>
                </c:pt>
                <c:pt idx="242">
                  <c:v>54.221547558325341</c:v>
                </c:pt>
                <c:pt idx="243">
                  <c:v>56.44741686632441</c:v>
                </c:pt>
                <c:pt idx="244">
                  <c:v>56.191996070324414</c:v>
                </c:pt>
                <c:pt idx="245">
                  <c:v>55.130181238325342</c:v>
                </c:pt>
                <c:pt idx="246">
                  <c:v>48.506123542046467</c:v>
                </c:pt>
                <c:pt idx="247">
                  <c:v>49.718320378047402</c:v>
                </c:pt>
                <c:pt idx="248">
                  <c:v>46.650063326046464</c:v>
                </c:pt>
                <c:pt idx="249">
                  <c:v>40.67551791804739</c:v>
                </c:pt>
                <c:pt idx="250">
                  <c:v>40.382972262046458</c:v>
                </c:pt>
                <c:pt idx="251">
                  <c:v>48.894716262047396</c:v>
                </c:pt>
                <c:pt idx="252">
                  <c:v>44.898839198047398</c:v>
                </c:pt>
                <c:pt idx="253">
                  <c:v>40.248126950567581</c:v>
                </c:pt>
                <c:pt idx="254">
                  <c:v>42.249594190569447</c:v>
                </c:pt>
                <c:pt idx="255">
                  <c:v>35.319905954567588</c:v>
                </c:pt>
                <c:pt idx="256">
                  <c:v>33.268927706570381</c:v>
                </c:pt>
                <c:pt idx="257">
                  <c:v>36.046191154565719</c:v>
                </c:pt>
                <c:pt idx="258">
                  <c:v>40.401686802569451</c:v>
                </c:pt>
                <c:pt idx="259">
                  <c:v>36.647924542569449</c:v>
                </c:pt>
                <c:pt idx="260">
                  <c:v>50.92107846073597</c:v>
                </c:pt>
                <c:pt idx="261">
                  <c:v>54.079362809736899</c:v>
                </c:pt>
                <c:pt idx="262">
                  <c:v>62.311454867738767</c:v>
                </c:pt>
                <c:pt idx="263">
                  <c:v>54.486124876736902</c:v>
                </c:pt>
                <c:pt idx="264">
                  <c:v>53.590608580737836</c:v>
                </c:pt>
                <c:pt idx="265">
                  <c:v>62.19546324073783</c:v>
                </c:pt>
                <c:pt idx="266">
                  <c:v>73.662484316736894</c:v>
                </c:pt>
                <c:pt idx="267">
                  <c:v>133.01293763312782</c:v>
                </c:pt>
                <c:pt idx="268">
                  <c:v>146.37909403312969</c:v>
                </c:pt>
                <c:pt idx="269">
                  <c:v>139.10208684112686</c:v>
                </c:pt>
                <c:pt idx="270">
                  <c:v>145.09204238912872</c:v>
                </c:pt>
                <c:pt idx="271">
                  <c:v>137.68673816912781</c:v>
                </c:pt>
                <c:pt idx="272">
                  <c:v>124.79451112512781</c:v>
                </c:pt>
                <c:pt idx="273">
                  <c:v>157.05292319312778</c:v>
                </c:pt>
                <c:pt idx="274">
                  <c:v>78.135611493811084</c:v>
                </c:pt>
                <c:pt idx="275">
                  <c:v>70.928567722812019</c:v>
                </c:pt>
                <c:pt idx="276">
                  <c:v>76.552537708811087</c:v>
                </c:pt>
                <c:pt idx="277">
                  <c:v>79.19663666181016</c:v>
                </c:pt>
                <c:pt idx="278">
                  <c:v>77.386342661811085</c:v>
                </c:pt>
                <c:pt idx="279">
                  <c:v>74.9116890218111</c:v>
                </c:pt>
                <c:pt idx="280">
                  <c:v>73.992880701812012</c:v>
                </c:pt>
                <c:pt idx="281">
                  <c:v>83.487556462748103</c:v>
                </c:pt>
                <c:pt idx="282">
                  <c:v>78.386562502751829</c:v>
                </c:pt>
                <c:pt idx="283">
                  <c:v>81.364727742749963</c:v>
                </c:pt>
                <c:pt idx="284">
                  <c:v>65.846046131749958</c:v>
                </c:pt>
                <c:pt idx="285">
                  <c:v>67.880276181749039</c:v>
                </c:pt>
                <c:pt idx="286">
                  <c:v>74.291155034749977</c:v>
                </c:pt>
                <c:pt idx="287">
                  <c:v>101.93849131074995</c:v>
                </c:pt>
                <c:pt idx="288">
                  <c:v>289.97392061030251</c:v>
                </c:pt>
                <c:pt idx="289">
                  <c:v>284.73792954630437</c:v>
                </c:pt>
                <c:pt idx="290">
                  <c:v>307.97685631430346</c:v>
                </c:pt>
                <c:pt idx="291">
                  <c:v>302.26623228230346</c:v>
                </c:pt>
                <c:pt idx="292">
                  <c:v>247.9712209903025</c:v>
                </c:pt>
                <c:pt idx="293">
                  <c:v>269.60022292630441</c:v>
                </c:pt>
                <c:pt idx="294">
                  <c:v>283.5932388583044</c:v>
                </c:pt>
                <c:pt idx="295">
                  <c:v>216.41231130322751</c:v>
                </c:pt>
                <c:pt idx="296">
                  <c:v>231.06819202322563</c:v>
                </c:pt>
                <c:pt idx="297">
                  <c:v>208.50973759122655</c:v>
                </c:pt>
                <c:pt idx="298">
                  <c:v>181.46844320322654</c:v>
                </c:pt>
                <c:pt idx="299">
                  <c:v>167.11491751522655</c:v>
                </c:pt>
                <c:pt idx="300">
                  <c:v>204.13234757522562</c:v>
                </c:pt>
                <c:pt idx="301">
                  <c:v>234.34795938322748</c:v>
                </c:pt>
                <c:pt idx="302">
                  <c:v>193.8002134387624</c:v>
                </c:pt>
                <c:pt idx="303">
                  <c:v>196.19100491875963</c:v>
                </c:pt>
                <c:pt idx="304">
                  <c:v>181.06590471476241</c:v>
                </c:pt>
                <c:pt idx="305">
                  <c:v>181.0535762667615</c:v>
                </c:pt>
                <c:pt idx="306">
                  <c:v>184.75735599076242</c:v>
                </c:pt>
                <c:pt idx="307">
                  <c:v>244.67985851076057</c:v>
                </c:pt>
                <c:pt idx="308">
                  <c:v>261.87291061476151</c:v>
                </c:pt>
                <c:pt idx="309">
                  <c:v>209.71860584719701</c:v>
                </c:pt>
                <c:pt idx="310">
                  <c:v>214.68212655219702</c:v>
                </c:pt>
                <c:pt idx="311">
                  <c:v>202.65080127619512</c:v>
                </c:pt>
                <c:pt idx="312">
                  <c:v>146.04670680019515</c:v>
                </c:pt>
                <c:pt idx="313">
                  <c:v>152.47383951619699</c:v>
                </c:pt>
                <c:pt idx="314">
                  <c:v>173.76520320419701</c:v>
                </c:pt>
                <c:pt idx="315">
                  <c:v>220.39382234819513</c:v>
                </c:pt>
                <c:pt idx="316">
                  <c:v>192.80566395746041</c:v>
                </c:pt>
                <c:pt idx="317">
                  <c:v>204.73352045346039</c:v>
                </c:pt>
                <c:pt idx="318">
                  <c:v>208.52852887346043</c:v>
                </c:pt>
                <c:pt idx="319">
                  <c:v>185.32112553746228</c:v>
                </c:pt>
                <c:pt idx="320">
                  <c:v>125.24761058545855</c:v>
                </c:pt>
                <c:pt idx="321">
                  <c:v>143.21331817346228</c:v>
                </c:pt>
                <c:pt idx="322">
                  <c:v>139.81863649845857</c:v>
                </c:pt>
                <c:pt idx="323">
                  <c:v>210.31799327556047</c:v>
                </c:pt>
                <c:pt idx="324">
                  <c:v>212.85371273355861</c:v>
                </c:pt>
                <c:pt idx="325">
                  <c:v>233.69651104555675</c:v>
                </c:pt>
                <c:pt idx="326">
                  <c:v>216.74085348956049</c:v>
                </c:pt>
                <c:pt idx="327">
                  <c:v>209.38934882955857</c:v>
                </c:pt>
                <c:pt idx="328">
                  <c:v>236.63857497755674</c:v>
                </c:pt>
                <c:pt idx="329">
                  <c:v>265.77015223356045</c:v>
                </c:pt>
                <c:pt idx="330">
                  <c:v>175.43269650291603</c:v>
                </c:pt>
                <c:pt idx="331">
                  <c:v>171.15210955092161</c:v>
                </c:pt>
                <c:pt idx="332">
                  <c:v>152.50442946691788</c:v>
                </c:pt>
                <c:pt idx="333">
                  <c:v>118.75098253891976</c:v>
                </c:pt>
                <c:pt idx="334">
                  <c:v>117.44109541892162</c:v>
                </c:pt>
                <c:pt idx="335">
                  <c:v>167.47841404691789</c:v>
                </c:pt>
                <c:pt idx="336">
                  <c:v>157.44045010691602</c:v>
                </c:pt>
                <c:pt idx="337">
                  <c:v>109.69644377138364</c:v>
                </c:pt>
                <c:pt idx="338">
                  <c:v>110.93907483538176</c:v>
                </c:pt>
                <c:pt idx="339">
                  <c:v>115.45928817137805</c:v>
                </c:pt>
                <c:pt idx="340">
                  <c:v>67.379530903383639</c:v>
                </c:pt>
                <c:pt idx="341">
                  <c:v>35.286046567381774</c:v>
                </c:pt>
                <c:pt idx="342">
                  <c:v>54.936889847379902</c:v>
                </c:pt>
                <c:pt idx="343">
                  <c:v>98.663010611379917</c:v>
                </c:pt>
                <c:pt idx="344">
                  <c:v>105.74671553278</c:v>
                </c:pt>
                <c:pt idx="345">
                  <c:v>90.159075136778128</c:v>
                </c:pt>
                <c:pt idx="346">
                  <c:v>92.669122980778141</c:v>
                </c:pt>
                <c:pt idx="347">
                  <c:v>63.645498124776275</c:v>
                </c:pt>
                <c:pt idx="348">
                  <c:v>58.624108388780002</c:v>
                </c:pt>
                <c:pt idx="349">
                  <c:v>73.806724304778143</c:v>
                </c:pt>
                <c:pt idx="350">
                  <c:v>62.580834532776279</c:v>
                </c:pt>
                <c:pt idx="351">
                  <c:v>73.77204675838793</c:v>
                </c:pt>
                <c:pt idx="352">
                  <c:v>76.179004566387931</c:v>
                </c:pt>
                <c:pt idx="353">
                  <c:v>60.705458206387938</c:v>
                </c:pt>
                <c:pt idx="354">
                  <c:v>55.492423114384202</c:v>
                </c:pt>
                <c:pt idx="355">
                  <c:v>47.155717002386076</c:v>
                </c:pt>
                <c:pt idx="356">
                  <c:v>55.316829946389802</c:v>
                </c:pt>
                <c:pt idx="357">
                  <c:v>69.958321530386073</c:v>
                </c:pt>
                <c:pt idx="358">
                  <c:v>79.308118382491884</c:v>
                </c:pt>
                <c:pt idx="359">
                  <c:v>71.608538294493741</c:v>
                </c:pt>
                <c:pt idx="360">
                  <c:v>87.803712022493741</c:v>
                </c:pt>
                <c:pt idx="361">
                  <c:v>79.125568238490018</c:v>
                </c:pt>
                <c:pt idx="362">
                  <c:v>40.344502714493743</c:v>
                </c:pt>
                <c:pt idx="363">
                  <c:v>42.078752766493743</c:v>
                </c:pt>
                <c:pt idx="364">
                  <c:v>59.996479074493742</c:v>
                </c:pt>
                <c:pt idx="365">
                  <c:v>64.091979240687394</c:v>
                </c:pt>
                <c:pt idx="366">
                  <c:v>65.819765584685541</c:v>
                </c:pt>
                <c:pt idx="367">
                  <c:v>63.845628172687398</c:v>
                </c:pt>
                <c:pt idx="368">
                  <c:v>68.848843408687387</c:v>
                </c:pt>
                <c:pt idx="369">
                  <c:v>73.285303176687393</c:v>
                </c:pt>
                <c:pt idx="370">
                  <c:v>65.150454980683676</c:v>
                </c:pt>
                <c:pt idx="371">
                  <c:v>29.726404709689255</c:v>
                </c:pt>
                <c:pt idx="372">
                  <c:v>84.360668918236271</c:v>
                </c:pt>
                <c:pt idx="373">
                  <c:v>81.907544380236274</c:v>
                </c:pt>
                <c:pt idx="374">
                  <c:v>75.485651818238139</c:v>
                </c:pt>
                <c:pt idx="375">
                  <c:v>73.822267547238127</c:v>
                </c:pt>
                <c:pt idx="376">
                  <c:v>92.400156339236275</c:v>
                </c:pt>
                <c:pt idx="377">
                  <c:v>82.96517933123441</c:v>
                </c:pt>
                <c:pt idx="378">
                  <c:v>92.232445647236275</c:v>
                </c:pt>
                <c:pt idx="379">
                  <c:v>124.43187104481936</c:v>
                </c:pt>
                <c:pt idx="380">
                  <c:v>96.044287556819356</c:v>
                </c:pt>
                <c:pt idx="381">
                  <c:v>91.691753812819371</c:v>
                </c:pt>
                <c:pt idx="382">
                  <c:v>103.27007991681936</c:v>
                </c:pt>
                <c:pt idx="383">
                  <c:v>95.511306064821227</c:v>
                </c:pt>
                <c:pt idx="384">
                  <c:v>113.3886712728175</c:v>
                </c:pt>
                <c:pt idx="385">
                  <c:v>112.87991530081936</c:v>
                </c:pt>
                <c:pt idx="386">
                  <c:v>85.663567835179578</c:v>
                </c:pt>
                <c:pt idx="387">
                  <c:v>75.502702003183316</c:v>
                </c:pt>
                <c:pt idx="388">
                  <c:v>72.755112667177713</c:v>
                </c:pt>
                <c:pt idx="389">
                  <c:v>62.116361844181441</c:v>
                </c:pt>
                <c:pt idx="390">
                  <c:v>47.913730123179569</c:v>
                </c:pt>
                <c:pt idx="391">
                  <c:v>85.26875574318143</c:v>
                </c:pt>
                <c:pt idx="392">
                  <c:v>98.424402666181436</c:v>
                </c:pt>
                <c:pt idx="393">
                  <c:v>64.691698202706135</c:v>
                </c:pt>
                <c:pt idx="394">
                  <c:v>59.011945382707992</c:v>
                </c:pt>
                <c:pt idx="395">
                  <c:v>53.312698355709855</c:v>
                </c:pt>
                <c:pt idx="396">
                  <c:v>42.493725209706128</c:v>
                </c:pt>
                <c:pt idx="397">
                  <c:v>36.462962470707993</c:v>
                </c:pt>
                <c:pt idx="398">
                  <c:v>71.586927515707998</c:v>
                </c:pt>
                <c:pt idx="399">
                  <c:v>57.255484254709863</c:v>
                </c:pt>
                <c:pt idx="400">
                  <c:v>64.599635284221606</c:v>
                </c:pt>
                <c:pt idx="401">
                  <c:v>46.730263355221595</c:v>
                </c:pt>
                <c:pt idx="402">
                  <c:v>37.4792726572216</c:v>
                </c:pt>
                <c:pt idx="403">
                  <c:v>46.00130915122346</c:v>
                </c:pt>
                <c:pt idx="404">
                  <c:v>35.098987776223453</c:v>
                </c:pt>
                <c:pt idx="405">
                  <c:v>30.006082424221596</c:v>
                </c:pt>
                <c:pt idx="406">
                  <c:v>50.322251453221597</c:v>
                </c:pt>
                <c:pt idx="407">
                  <c:v>26.62239486300227</c:v>
                </c:pt>
                <c:pt idx="408">
                  <c:v>33.460726938004143</c:v>
                </c:pt>
                <c:pt idx="409">
                  <c:v>32.087652683002275</c:v>
                </c:pt>
                <c:pt idx="410">
                  <c:v>26.979100495002275</c:v>
                </c:pt>
                <c:pt idx="411">
                  <c:v>23.588325971002277</c:v>
                </c:pt>
                <c:pt idx="412">
                  <c:v>40.381294851002274</c:v>
                </c:pt>
                <c:pt idx="413">
                  <c:v>41.698311407002272</c:v>
                </c:pt>
                <c:pt idx="414">
                  <c:v>38.459751478523017</c:v>
                </c:pt>
                <c:pt idx="415">
                  <c:v>44.606724438528602</c:v>
                </c:pt>
                <c:pt idx="416">
                  <c:v>42.978956294528601</c:v>
                </c:pt>
                <c:pt idx="417">
                  <c:v>32.30674932252488</c:v>
                </c:pt>
                <c:pt idx="418">
                  <c:v>16.129574974524875</c:v>
                </c:pt>
                <c:pt idx="419">
                  <c:v>33.781601114526737</c:v>
                </c:pt>
                <c:pt idx="420">
                  <c:v>34.263615814526737</c:v>
                </c:pt>
                <c:pt idx="421">
                  <c:v>47.822112063296359</c:v>
                </c:pt>
                <c:pt idx="422">
                  <c:v>51.846013083296363</c:v>
                </c:pt>
                <c:pt idx="423">
                  <c:v>52.039187827300076</c:v>
                </c:pt>
                <c:pt idx="424">
                  <c:v>40.590203135296363</c:v>
                </c:pt>
                <c:pt idx="425">
                  <c:v>28.058505235298224</c:v>
                </c:pt>
                <c:pt idx="426">
                  <c:v>19.094722231298221</c:v>
                </c:pt>
                <c:pt idx="427">
                  <c:v>39.405765023296354</c:v>
                </c:pt>
                <c:pt idx="428">
                  <c:v>24.253473117605893</c:v>
                </c:pt>
                <c:pt idx="429">
                  <c:v>29.789511705604031</c:v>
                </c:pt>
                <c:pt idx="430">
                  <c:v>35.531756725605895</c:v>
                </c:pt>
                <c:pt idx="431">
                  <c:v>22.35288369360217</c:v>
                </c:pt>
                <c:pt idx="432">
                  <c:v>20.947856357607758</c:v>
                </c:pt>
                <c:pt idx="433">
                  <c:v>34.689995977604035</c:v>
                </c:pt>
                <c:pt idx="434">
                  <c:v>23.200321058604029</c:v>
                </c:pt>
                <c:pt idx="435">
                  <c:v>30.85524472361184</c:v>
                </c:pt>
                <c:pt idx="436">
                  <c:v>26.687434412613701</c:v>
                </c:pt>
                <c:pt idx="437">
                  <c:v>24.748296420613705</c:v>
                </c:pt>
                <c:pt idx="438">
                  <c:v>14.840623304609981</c:v>
                </c:pt>
                <c:pt idx="439">
                  <c:v>12.583411300613701</c:v>
                </c:pt>
                <c:pt idx="440">
                  <c:v>19.699402096613703</c:v>
                </c:pt>
                <c:pt idx="441">
                  <c:v>16.314681832609974</c:v>
                </c:pt>
                <c:pt idx="442">
                  <c:v>12.384628724485975</c:v>
                </c:pt>
                <c:pt idx="443">
                  <c:v>16.360547560484111</c:v>
                </c:pt>
                <c:pt idx="444">
                  <c:v>22.062701252485976</c:v>
                </c:pt>
                <c:pt idx="445">
                  <c:v>20.187922392484115</c:v>
                </c:pt>
                <c:pt idx="446">
                  <c:v>23.558985800484109</c:v>
                </c:pt>
                <c:pt idx="447">
                  <c:v>46.20527082448784</c:v>
                </c:pt>
                <c:pt idx="448">
                  <c:v>35.948164148484111</c:v>
                </c:pt>
                <c:pt idx="449">
                  <c:v>37.116430182011072</c:v>
                </c:pt>
                <c:pt idx="450">
                  <c:v>31.226979650009206</c:v>
                </c:pt>
                <c:pt idx="451">
                  <c:v>26.447559566012934</c:v>
                </c:pt>
                <c:pt idx="452">
                  <c:v>36.083278978012935</c:v>
                </c:pt>
                <c:pt idx="453">
                  <c:v>27.348481378011069</c:v>
                </c:pt>
                <c:pt idx="454">
                  <c:v>37.985107738009212</c:v>
                </c:pt>
                <c:pt idx="455">
                  <c:v>53.444317844011074</c:v>
                </c:pt>
                <c:pt idx="456">
                  <c:v>50.229088330899209</c:v>
                </c:pt>
                <c:pt idx="457">
                  <c:v>60.779131178901082</c:v>
                </c:pt>
                <c:pt idx="458">
                  <c:v>61.613809250901078</c:v>
                </c:pt>
                <c:pt idx="459">
                  <c:v>40.712711482899209</c:v>
                </c:pt>
                <c:pt idx="460">
                  <c:v>32.857694770899215</c:v>
                </c:pt>
                <c:pt idx="461">
                  <c:v>59.050819934901085</c:v>
                </c:pt>
                <c:pt idx="462">
                  <c:v>56.63656027489921</c:v>
                </c:pt>
                <c:pt idx="463">
                  <c:v>69.214255720859512</c:v>
                </c:pt>
                <c:pt idx="464">
                  <c:v>72.875898024859524</c:v>
                </c:pt>
                <c:pt idx="465">
                  <c:v>63.180801376857652</c:v>
                </c:pt>
                <c:pt idx="466">
                  <c:v>60.43962682885951</c:v>
                </c:pt>
                <c:pt idx="467">
                  <c:v>51.759126908859514</c:v>
                </c:pt>
                <c:pt idx="468">
                  <c:v>78.445429872859521</c:v>
                </c:pt>
                <c:pt idx="469">
                  <c:v>74.472029744859512</c:v>
                </c:pt>
                <c:pt idx="470">
                  <c:v>61.48177375849162</c:v>
                </c:pt>
                <c:pt idx="471">
                  <c:v>69.867611942491621</c:v>
                </c:pt>
                <c:pt idx="472">
                  <c:v>78.254237598495337</c:v>
                </c:pt>
                <c:pt idx="473">
                  <c:v>56.491981126493485</c:v>
                </c:pt>
                <c:pt idx="474">
                  <c:v>40.625565390491616</c:v>
                </c:pt>
                <c:pt idx="475">
                  <c:v>63.964851278493484</c:v>
                </c:pt>
                <c:pt idx="476">
                  <c:v>63.700315196493477</c:v>
                </c:pt>
                <c:pt idx="477">
                  <c:v>76.434700403560868</c:v>
                </c:pt>
                <c:pt idx="478">
                  <c:v>60.879025239560868</c:v>
                </c:pt>
                <c:pt idx="479">
                  <c:v>56.585806815560865</c:v>
                </c:pt>
                <c:pt idx="480">
                  <c:v>45.285563307560864</c:v>
                </c:pt>
                <c:pt idx="481">
                  <c:v>39.898130859559004</c:v>
                </c:pt>
                <c:pt idx="482">
                  <c:v>49.490690407560869</c:v>
                </c:pt>
                <c:pt idx="483">
                  <c:v>60.819213259559007</c:v>
                </c:pt>
                <c:pt idx="484">
                  <c:v>37.402692723792917</c:v>
                </c:pt>
                <c:pt idx="485">
                  <c:v>17.675389911791054</c:v>
                </c:pt>
                <c:pt idx="486">
                  <c:v>22.42099434779292</c:v>
                </c:pt>
                <c:pt idx="487">
                  <c:v>10.764143951792917</c:v>
                </c:pt>
                <c:pt idx="488">
                  <c:v>12.38707608779292</c:v>
                </c:pt>
                <c:pt idx="489">
                  <c:v>25.683337035791052</c:v>
                </c:pt>
                <c:pt idx="490">
                  <c:v>23.145132199792918</c:v>
                </c:pt>
                <c:pt idx="491">
                  <c:v>25.82995115699865</c:v>
                </c:pt>
                <c:pt idx="492">
                  <c:v>26.201231548998649</c:v>
                </c:pt>
                <c:pt idx="493">
                  <c:v>17.300016412998652</c:v>
                </c:pt>
                <c:pt idx="494">
                  <c:v>15.172527685000517</c:v>
                </c:pt>
                <c:pt idx="495">
                  <c:v>10.88104752899865</c:v>
                </c:pt>
                <c:pt idx="496">
                  <c:v>28.920031092998652</c:v>
                </c:pt>
                <c:pt idx="497">
                  <c:v>31.077243037000517</c:v>
                </c:pt>
                <c:pt idx="498">
                  <c:v>14.183226333087557</c:v>
                </c:pt>
                <c:pt idx="499">
                  <c:v>10.3727383630857</c:v>
                </c:pt>
                <c:pt idx="500">
                  <c:v>4.9091500490875628</c:v>
                </c:pt>
                <c:pt idx="501">
                  <c:v>1.1223621510875601</c:v>
                </c:pt>
                <c:pt idx="502">
                  <c:v>1.2527377760875607</c:v>
                </c:pt>
                <c:pt idx="503">
                  <c:v>9.5187780880875579</c:v>
                </c:pt>
                <c:pt idx="504">
                  <c:v>21.238165024087561</c:v>
                </c:pt>
                <c:pt idx="505">
                  <c:v>14.719824948133187</c:v>
                </c:pt>
                <c:pt idx="506">
                  <c:v>4.3961503001350506</c:v>
                </c:pt>
                <c:pt idx="507">
                  <c:v>2.7864231081313267</c:v>
                </c:pt>
                <c:pt idx="508">
                  <c:v>3.4104858281331909</c:v>
                </c:pt>
                <c:pt idx="509">
                  <c:v>0.66356802413318661</c:v>
                </c:pt>
                <c:pt idx="510">
                  <c:v>2.3629647521331862</c:v>
                </c:pt>
                <c:pt idx="511">
                  <c:v>1.2923573881341217</c:v>
                </c:pt>
                <c:pt idx="512">
                  <c:v>6.5609360918694071</c:v>
                </c:pt>
                <c:pt idx="513">
                  <c:v>4.5303661118684762</c:v>
                </c:pt>
                <c:pt idx="514">
                  <c:v>6.5312281798703333</c:v>
                </c:pt>
                <c:pt idx="515">
                  <c:v>3.548440679868472</c:v>
                </c:pt>
                <c:pt idx="516">
                  <c:v>1.105057919869403</c:v>
                </c:pt>
                <c:pt idx="517">
                  <c:v>1.3670182158694042</c:v>
                </c:pt>
                <c:pt idx="518">
                  <c:v>1.782965891869404</c:v>
                </c:pt>
                <c:pt idx="519">
                  <c:v>2.1689622764460839</c:v>
                </c:pt>
                <c:pt idx="520">
                  <c:v>0.78540507645074098</c:v>
                </c:pt>
                <c:pt idx="521">
                  <c:v>1.0309195644470164</c:v>
                </c:pt>
                <c:pt idx="522">
                  <c:v>1.8049678124498096</c:v>
                </c:pt>
                <c:pt idx="523">
                  <c:v>1.004827152447946</c:v>
                </c:pt>
                <c:pt idx="524">
                  <c:v>0.7337421964488785</c:v>
                </c:pt>
                <c:pt idx="525">
                  <c:v>5.0941232324488812</c:v>
                </c:pt>
                <c:pt idx="526">
                  <c:v>10.186300378786349</c:v>
                </c:pt>
                <c:pt idx="527">
                  <c:v>0.79286929878914447</c:v>
                </c:pt>
                <c:pt idx="528">
                  <c:v>5.455991310786354</c:v>
                </c:pt>
                <c:pt idx="529">
                  <c:v>0.80239395078728193</c:v>
                </c:pt>
                <c:pt idx="530">
                  <c:v>0.93516316678728251</c:v>
                </c:pt>
                <c:pt idx="531">
                  <c:v>0.7927689467872806</c:v>
                </c:pt>
                <c:pt idx="532">
                  <c:v>1.0170399587863503</c:v>
                </c:pt>
                <c:pt idx="533">
                  <c:v>1.3471824894848832</c:v>
                </c:pt>
                <c:pt idx="534">
                  <c:v>0.75471684948861006</c:v>
                </c:pt>
                <c:pt idx="535">
                  <c:v>1.4968303974848822</c:v>
                </c:pt>
                <c:pt idx="536">
                  <c:v>0.98054632948674769</c:v>
                </c:pt>
                <c:pt idx="537">
                  <c:v>0.98118557748674717</c:v>
                </c:pt>
                <c:pt idx="538">
                  <c:v>0.93594360148488343</c:v>
                </c:pt>
                <c:pt idx="539">
                  <c:v>0.78725084548488666</c:v>
                </c:pt>
                <c:pt idx="540">
                  <c:v>5.3613860599029071</c:v>
                </c:pt>
                <c:pt idx="541">
                  <c:v>1.3795156158991813</c:v>
                </c:pt>
                <c:pt idx="542">
                  <c:v>0.64003740790104346</c:v>
                </c:pt>
                <c:pt idx="543">
                  <c:v>0.85277524390197501</c:v>
                </c:pt>
                <c:pt idx="544">
                  <c:v>1.3342008999001118</c:v>
                </c:pt>
                <c:pt idx="545">
                  <c:v>0.57709913590011275</c:v>
                </c:pt>
                <c:pt idx="546">
                  <c:v>1.4900494078991797</c:v>
                </c:pt>
                <c:pt idx="547">
                  <c:v>2.439024072921784</c:v>
                </c:pt>
                <c:pt idx="548">
                  <c:v>2.3962360889227128</c:v>
                </c:pt>
                <c:pt idx="549">
                  <c:v>19.802804212921785</c:v>
                </c:pt>
                <c:pt idx="550">
                  <c:v>8.8364277529208515</c:v>
                </c:pt>
                <c:pt idx="551">
                  <c:v>9.7225829929199215</c:v>
                </c:pt>
                <c:pt idx="552">
                  <c:v>12.063968236922715</c:v>
                </c:pt>
                <c:pt idx="553">
                  <c:v>19.704329852921788</c:v>
                </c:pt>
                <c:pt idx="554">
                  <c:v>38.792895148574281</c:v>
                </c:pt>
                <c:pt idx="555">
                  <c:v>42.623226828575213</c:v>
                </c:pt>
                <c:pt idx="556">
                  <c:v>38.379404017574281</c:v>
                </c:pt>
                <c:pt idx="557">
                  <c:v>25.808062667576145</c:v>
                </c:pt>
                <c:pt idx="558">
                  <c:v>22.100200360575212</c:v>
                </c:pt>
                <c:pt idx="559">
                  <c:v>33.835374380574279</c:v>
                </c:pt>
                <c:pt idx="560">
                  <c:v>35.609643696575212</c:v>
                </c:pt>
                <c:pt idx="561">
                  <c:v>20.692340154021089</c:v>
                </c:pt>
                <c:pt idx="562">
                  <c:v>18.260814747020159</c:v>
                </c:pt>
                <c:pt idx="563">
                  <c:v>24.51274495701923</c:v>
                </c:pt>
                <c:pt idx="564">
                  <c:v>17.613897146022019</c:v>
                </c:pt>
                <c:pt idx="565">
                  <c:v>8.9958853780192278</c:v>
                </c:pt>
                <c:pt idx="566">
                  <c:v>25.248270350022022</c:v>
                </c:pt>
                <c:pt idx="567">
                  <c:v>25.563371466020158</c:v>
                </c:pt>
                <c:pt idx="568">
                  <c:v>21.948302107410477</c:v>
                </c:pt>
                <c:pt idx="569">
                  <c:v>12.867219731411408</c:v>
                </c:pt>
                <c:pt idx="570">
                  <c:v>24.258553983410479</c:v>
                </c:pt>
                <c:pt idx="571">
                  <c:v>17.477073947411409</c:v>
                </c:pt>
                <c:pt idx="572">
                  <c:v>16.451820575408615</c:v>
                </c:pt>
                <c:pt idx="573">
                  <c:v>32.104403671412342</c:v>
                </c:pt>
                <c:pt idx="574">
                  <c:v>33.938328899409541</c:v>
                </c:pt>
                <c:pt idx="575">
                  <c:v>20.90603436955811</c:v>
                </c:pt>
                <c:pt idx="576">
                  <c:v>18.33551687355904</c:v>
                </c:pt>
                <c:pt idx="577">
                  <c:v>20.135935989558106</c:v>
                </c:pt>
                <c:pt idx="578">
                  <c:v>4.0797406895590393</c:v>
                </c:pt>
                <c:pt idx="579">
                  <c:v>0.84823744955904112</c:v>
                </c:pt>
                <c:pt idx="580">
                  <c:v>0.9602911375581098</c:v>
                </c:pt>
                <c:pt idx="581">
                  <c:v>3.2073961695590407</c:v>
                </c:pt>
                <c:pt idx="582">
                  <c:v>7.7128933218427083</c:v>
                </c:pt>
                <c:pt idx="583">
                  <c:v>18.757089646844573</c:v>
                </c:pt>
                <c:pt idx="584">
                  <c:v>21.618682225843646</c:v>
                </c:pt>
                <c:pt idx="585">
                  <c:v>4.6228063218445712</c:v>
                </c:pt>
                <c:pt idx="586">
                  <c:v>2.9587972828436397</c:v>
                </c:pt>
                <c:pt idx="587">
                  <c:v>22.02844628484457</c:v>
                </c:pt>
                <c:pt idx="588">
                  <c:v>23.77941356184364</c:v>
                </c:pt>
                <c:pt idx="589">
                  <c:v>16.200307536526953</c:v>
                </c:pt>
                <c:pt idx="590">
                  <c:v>8.2141049895250902</c:v>
                </c:pt>
                <c:pt idx="591">
                  <c:v>3.2859982715278822</c:v>
                </c:pt>
                <c:pt idx="592">
                  <c:v>11.08688186452695</c:v>
                </c:pt>
                <c:pt idx="593">
                  <c:v>4.878889060526955</c:v>
                </c:pt>
                <c:pt idx="594">
                  <c:v>26.990288200526951</c:v>
                </c:pt>
                <c:pt idx="595">
                  <c:v>4.7591329325269545</c:v>
                </c:pt>
                <c:pt idx="596">
                  <c:v>69.301702732977404</c:v>
                </c:pt>
                <c:pt idx="597">
                  <c:v>76.788497715978323</c:v>
                </c:pt>
                <c:pt idx="598">
                  <c:v>88.607744400979271</c:v>
                </c:pt>
                <c:pt idx="599">
                  <c:v>94.690464856979261</c:v>
                </c:pt>
                <c:pt idx="600">
                  <c:v>103.0744109489774</c:v>
                </c:pt>
                <c:pt idx="601">
                  <c:v>121.68581367297928</c:v>
                </c:pt>
                <c:pt idx="602">
                  <c:v>99.479185400978338</c:v>
                </c:pt>
                <c:pt idx="603">
                  <c:v>153.27217943682234</c:v>
                </c:pt>
                <c:pt idx="604">
                  <c:v>159.0758643998214</c:v>
                </c:pt>
                <c:pt idx="605">
                  <c:v>171.12282010182233</c:v>
                </c:pt>
                <c:pt idx="606">
                  <c:v>165.19954648382142</c:v>
                </c:pt>
                <c:pt idx="607">
                  <c:v>176.09406028882233</c:v>
                </c:pt>
                <c:pt idx="608">
                  <c:v>183.32879985482234</c:v>
                </c:pt>
                <c:pt idx="609">
                  <c:v>207.29087419382046</c:v>
                </c:pt>
                <c:pt idx="610">
                  <c:v>252.34479253189818</c:v>
                </c:pt>
                <c:pt idx="611">
                  <c:v>252.82773148389819</c:v>
                </c:pt>
                <c:pt idx="612">
                  <c:v>262.46804328789818</c:v>
                </c:pt>
                <c:pt idx="613">
                  <c:v>260.0598686118982</c:v>
                </c:pt>
                <c:pt idx="614">
                  <c:v>259.1792416438991</c:v>
                </c:pt>
                <c:pt idx="615">
                  <c:v>270.53833565289727</c:v>
                </c:pt>
                <c:pt idx="616">
                  <c:v>287.01657496989912</c:v>
                </c:pt>
                <c:pt idx="617">
                  <c:v>200.27169127970353</c:v>
                </c:pt>
                <c:pt idx="618">
                  <c:v>191.20337301370165</c:v>
                </c:pt>
                <c:pt idx="619">
                  <c:v>188.93015086770166</c:v>
                </c:pt>
                <c:pt idx="620">
                  <c:v>163.91813598970353</c:v>
                </c:pt>
                <c:pt idx="621">
                  <c:v>169.85295779870353</c:v>
                </c:pt>
                <c:pt idx="622">
                  <c:v>185.62598372670351</c:v>
                </c:pt>
                <c:pt idx="623">
                  <c:v>194.15288173870167</c:v>
                </c:pt>
                <c:pt idx="624">
                  <c:v>136.04036127041906</c:v>
                </c:pt>
                <c:pt idx="625">
                  <c:v>136.99093102641908</c:v>
                </c:pt>
                <c:pt idx="626">
                  <c:v>152.77397935041907</c:v>
                </c:pt>
                <c:pt idx="627">
                  <c:v>146.69987278242093</c:v>
                </c:pt>
                <c:pt idx="628">
                  <c:v>112.86533377041907</c:v>
                </c:pt>
                <c:pt idx="629">
                  <c:v>132.75218811441906</c:v>
                </c:pt>
                <c:pt idx="630">
                  <c:v>95.756374298420923</c:v>
                </c:pt>
                <c:pt idx="631">
                  <c:v>53.644299812797733</c:v>
                </c:pt>
                <c:pt idx="632">
                  <c:v>68.63053512879587</c:v>
                </c:pt>
                <c:pt idx="633">
                  <c:v>81.573578988797735</c:v>
                </c:pt>
                <c:pt idx="634">
                  <c:v>77.610073240797732</c:v>
                </c:pt>
                <c:pt idx="635">
                  <c:v>119.08774744079774</c:v>
                </c:pt>
                <c:pt idx="636">
                  <c:v>115.80241880879586</c:v>
                </c:pt>
                <c:pt idx="637">
                  <c:v>111.20884823679772</c:v>
                </c:pt>
                <c:pt idx="638">
                  <c:v>137.62113917065372</c:v>
                </c:pt>
                <c:pt idx="639">
                  <c:v>160.63037339865744</c:v>
                </c:pt>
                <c:pt idx="640">
                  <c:v>159.82295128265372</c:v>
                </c:pt>
                <c:pt idx="641">
                  <c:v>156.65278832665558</c:v>
                </c:pt>
                <c:pt idx="642">
                  <c:v>163.37818961465373</c:v>
                </c:pt>
                <c:pt idx="643">
                  <c:v>170.60531195065747</c:v>
                </c:pt>
                <c:pt idx="644">
                  <c:v>199.93415958265373</c:v>
                </c:pt>
                <c:pt idx="645">
                  <c:v>203.09537113522717</c:v>
                </c:pt>
                <c:pt idx="646">
                  <c:v>174.14064992322719</c:v>
                </c:pt>
                <c:pt idx="647">
                  <c:v>128.77621372722533</c:v>
                </c:pt>
                <c:pt idx="648">
                  <c:v>132.17955755122719</c:v>
                </c:pt>
                <c:pt idx="649">
                  <c:v>138.86893037922533</c:v>
                </c:pt>
                <c:pt idx="650">
                  <c:v>159.3260066972272</c:v>
                </c:pt>
                <c:pt idx="651">
                  <c:v>171.4619880912272</c:v>
                </c:pt>
                <c:pt idx="652">
                  <c:v>142.13530520657491</c:v>
                </c:pt>
                <c:pt idx="653">
                  <c:v>141.16566657457307</c:v>
                </c:pt>
                <c:pt idx="654">
                  <c:v>153.64465403057307</c:v>
                </c:pt>
                <c:pt idx="655">
                  <c:v>154.99507404257304</c:v>
                </c:pt>
                <c:pt idx="656">
                  <c:v>162.51315517457493</c:v>
                </c:pt>
                <c:pt idx="657">
                  <c:v>187.77831825057308</c:v>
                </c:pt>
                <c:pt idx="658">
                  <c:v>183.13893505057305</c:v>
                </c:pt>
                <c:pt idx="659">
                  <c:v>90.183736069493563</c:v>
                </c:pt>
                <c:pt idx="660">
                  <c:v>95.043589213493576</c:v>
                </c:pt>
                <c:pt idx="661">
                  <c:v>83.781432525495433</c:v>
                </c:pt>
                <c:pt idx="662">
                  <c:v>81.579333937491697</c:v>
                </c:pt>
                <c:pt idx="663">
                  <c:v>105.31441543349543</c:v>
                </c:pt>
                <c:pt idx="664">
                  <c:v>86.276048425495418</c:v>
                </c:pt>
                <c:pt idx="665">
                  <c:v>120.60045578949357</c:v>
                </c:pt>
                <c:pt idx="666">
                  <c:v>129.98663255014625</c:v>
                </c:pt>
                <c:pt idx="667">
                  <c:v>125.53044622614814</c:v>
                </c:pt>
                <c:pt idx="668">
                  <c:v>136.81955190614624</c:v>
                </c:pt>
                <c:pt idx="669">
                  <c:v>80.37812548214626</c:v>
                </c:pt>
                <c:pt idx="670">
                  <c:v>57.869754374148123</c:v>
                </c:pt>
                <c:pt idx="671">
                  <c:v>43.901266766148126</c:v>
                </c:pt>
                <c:pt idx="672">
                  <c:v>53.306943536146257</c:v>
                </c:pt>
                <c:pt idx="673">
                  <c:v>93.469764938338031</c:v>
                </c:pt>
                <c:pt idx="674">
                  <c:v>139.41222447033803</c:v>
                </c:pt>
                <c:pt idx="675">
                  <c:v>83.401819142339903</c:v>
                </c:pt>
                <c:pt idx="676">
                  <c:v>78.439711654339888</c:v>
                </c:pt>
                <c:pt idx="677">
                  <c:v>89.721362702336165</c:v>
                </c:pt>
                <c:pt idx="678">
                  <c:v>145.76173832633989</c:v>
                </c:pt>
                <c:pt idx="679">
                  <c:v>172.76645764133988</c:v>
                </c:pt>
                <c:pt idx="680">
                  <c:v>126.44372541382533</c:v>
                </c:pt>
                <c:pt idx="681">
                  <c:v>120.45651734982719</c:v>
                </c:pt>
                <c:pt idx="682">
                  <c:v>88.626292729827199</c:v>
                </c:pt>
                <c:pt idx="683">
                  <c:v>99.166459573825321</c:v>
                </c:pt>
                <c:pt idx="684">
                  <c:v>71.0015864418272</c:v>
                </c:pt>
                <c:pt idx="685">
                  <c:v>99.190810133825352</c:v>
                </c:pt>
                <c:pt idx="686">
                  <c:v>73.976678177829058</c:v>
                </c:pt>
                <c:pt idx="687">
                  <c:v>289.03740449339853</c:v>
                </c:pt>
                <c:pt idx="688">
                  <c:v>304.28462594139847</c:v>
                </c:pt>
                <c:pt idx="689">
                  <c:v>321.82172562540029</c:v>
                </c:pt>
                <c:pt idx="690">
                  <c:v>322.73527708940031</c:v>
                </c:pt>
                <c:pt idx="691">
                  <c:v>323.57986505340034</c:v>
                </c:pt>
                <c:pt idx="692">
                  <c:v>327.74455240239848</c:v>
                </c:pt>
                <c:pt idx="693">
                  <c:v>333.98492745240031</c:v>
                </c:pt>
                <c:pt idx="694">
                  <c:v>172.19888286489703</c:v>
                </c:pt>
                <c:pt idx="695">
                  <c:v>187.54536531289892</c:v>
                </c:pt>
                <c:pt idx="696">
                  <c:v>197.0770346288933</c:v>
                </c:pt>
                <c:pt idx="697">
                  <c:v>154.8458385608989</c:v>
                </c:pt>
                <c:pt idx="698">
                  <c:v>141.9576037128989</c:v>
                </c:pt>
                <c:pt idx="699">
                  <c:v>166.36853350889703</c:v>
                </c:pt>
                <c:pt idx="700">
                  <c:v>191.63985096889516</c:v>
                </c:pt>
                <c:pt idx="701">
                  <c:v>124.33498129313774</c:v>
                </c:pt>
                <c:pt idx="702">
                  <c:v>113.63725392513585</c:v>
                </c:pt>
                <c:pt idx="703">
                  <c:v>86.201154877137725</c:v>
                </c:pt>
                <c:pt idx="704">
                  <c:v>68.517948005135864</c:v>
                </c:pt>
                <c:pt idx="705">
                  <c:v>54.32054651313959</c:v>
                </c:pt>
                <c:pt idx="706">
                  <c:v>105.79176961713773</c:v>
                </c:pt>
                <c:pt idx="707">
                  <c:v>101.08770687713587</c:v>
                </c:pt>
                <c:pt idx="708">
                  <c:v>122.22068068134585</c:v>
                </c:pt>
                <c:pt idx="709">
                  <c:v>119.06189043334957</c:v>
                </c:pt>
                <c:pt idx="710">
                  <c:v>120.35209517734398</c:v>
                </c:pt>
                <c:pt idx="711">
                  <c:v>79.280241521347719</c:v>
                </c:pt>
                <c:pt idx="712">
                  <c:v>89.377392257349584</c:v>
                </c:pt>
                <c:pt idx="713">
                  <c:v>101.40798592534586</c:v>
                </c:pt>
                <c:pt idx="714">
                  <c:v>153.53880028534772</c:v>
                </c:pt>
                <c:pt idx="715">
                  <c:v>154.06305492467584</c:v>
                </c:pt>
                <c:pt idx="716">
                  <c:v>143.8772107326777</c:v>
                </c:pt>
                <c:pt idx="717">
                  <c:v>131.99856114867583</c:v>
                </c:pt>
                <c:pt idx="718">
                  <c:v>117.48944197267397</c:v>
                </c:pt>
                <c:pt idx="719">
                  <c:v>109.62150693667769</c:v>
                </c:pt>
                <c:pt idx="720">
                  <c:v>102.85124453667584</c:v>
                </c:pt>
                <c:pt idx="721">
                  <c:v>140.4131380446758</c:v>
                </c:pt>
                <c:pt idx="722">
                  <c:v>178.84460396162029</c:v>
                </c:pt>
                <c:pt idx="723">
                  <c:v>123.09941888562219</c:v>
                </c:pt>
                <c:pt idx="724">
                  <c:v>108.94874475362033</c:v>
                </c:pt>
                <c:pt idx="725">
                  <c:v>102.35199537762031</c:v>
                </c:pt>
                <c:pt idx="726">
                  <c:v>101.27404481762032</c:v>
                </c:pt>
                <c:pt idx="727">
                  <c:v>132.19599849762403</c:v>
                </c:pt>
                <c:pt idx="728">
                  <c:v>143.35656574162033</c:v>
                </c:pt>
                <c:pt idx="729">
                  <c:v>202.50733048474109</c:v>
                </c:pt>
                <c:pt idx="730">
                  <c:v>206.91297946474481</c:v>
                </c:pt>
                <c:pt idx="731">
                  <c:v>208.5153227607392</c:v>
                </c:pt>
                <c:pt idx="732">
                  <c:v>208.50941681274296</c:v>
                </c:pt>
                <c:pt idx="733">
                  <c:v>194.89624524074105</c:v>
                </c:pt>
                <c:pt idx="734">
                  <c:v>210.18869139274292</c:v>
                </c:pt>
                <c:pt idx="735">
                  <c:v>234.72106074874105</c:v>
                </c:pt>
                <c:pt idx="736">
                  <c:v>231.1980186648228</c:v>
                </c:pt>
                <c:pt idx="737">
                  <c:v>212.32132484482278</c:v>
                </c:pt>
                <c:pt idx="738">
                  <c:v>218.19600545282464</c:v>
                </c:pt>
                <c:pt idx="739">
                  <c:v>215.00641125682279</c:v>
                </c:pt>
                <c:pt idx="740">
                  <c:v>198.48193970882093</c:v>
                </c:pt>
                <c:pt idx="741">
                  <c:v>217.64867564882465</c:v>
                </c:pt>
                <c:pt idx="742">
                  <c:v>231.11323628482464</c:v>
                </c:pt>
                <c:pt idx="743">
                  <c:v>208.45652243101571</c:v>
                </c:pt>
                <c:pt idx="744">
                  <c:v>212.5277563390157</c:v>
                </c:pt>
                <c:pt idx="745">
                  <c:v>219.39037056701946</c:v>
                </c:pt>
                <c:pt idx="746">
                  <c:v>203.04853758701572</c:v>
                </c:pt>
                <c:pt idx="747">
                  <c:v>204.17193140701571</c:v>
                </c:pt>
                <c:pt idx="748">
                  <c:v>223.70635718701757</c:v>
                </c:pt>
                <c:pt idx="749">
                  <c:v>230.34451166701942</c:v>
                </c:pt>
                <c:pt idx="750">
                  <c:v>194.48203342418341</c:v>
                </c:pt>
                <c:pt idx="751">
                  <c:v>172.47899721218712</c:v>
                </c:pt>
                <c:pt idx="752">
                  <c:v>180.72038138818525</c:v>
                </c:pt>
                <c:pt idx="753">
                  <c:v>141.49051618018339</c:v>
                </c:pt>
                <c:pt idx="754">
                  <c:v>132.50837361218896</c:v>
                </c:pt>
                <c:pt idx="755">
                  <c:v>185.24161184818712</c:v>
                </c:pt>
                <c:pt idx="756">
                  <c:v>174.46497657218526</c:v>
                </c:pt>
                <c:pt idx="757">
                  <c:v>220.13236308788723</c:v>
                </c:pt>
                <c:pt idx="758">
                  <c:v>225.81516933589097</c:v>
                </c:pt>
                <c:pt idx="759">
                  <c:v>240.04929627988727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99DD-4A21-81C4-CF0DABA6DFBB}"/>
            </c:ext>
          </c:extLst>
        </c:ser>
        <c:ser>
          <c:idx val="5"/>
          <c:order val="1"/>
          <c:tx>
            <c:strRef>
              <c:f>Dat_02!$D$1</c:f>
              <c:strCache>
                <c:ptCount val="1"/>
                <c:pt idx="0">
                  <c:v>Producible medio</c:v>
                </c:pt>
              </c:strCache>
            </c:strRef>
          </c:tx>
          <c:spPr>
            <a:solidFill>
              <a:srgbClr val="FFFF99"/>
            </a:solidFill>
            <a:ln w="19050">
              <a:solidFill>
                <a:srgbClr val="FF0000"/>
              </a:solidFill>
            </a:ln>
          </c:spPr>
          <c:cat>
            <c:multiLvlStrRef>
              <c:f>Dat_02!$H$3:$I$762</c:f>
              <c:multiLvlStrCache>
                <c:ptCount val="746"/>
                <c:lvl>
                  <c:pt idx="14">
                    <c:v>M</c:v>
                  </c:pt>
                  <c:pt idx="45">
                    <c:v>A</c:v>
                  </c:pt>
                  <c:pt idx="75">
                    <c:v>M</c:v>
                  </c:pt>
                  <c:pt idx="106">
                    <c:v>J</c:v>
                  </c:pt>
                  <c:pt idx="136">
                    <c:v>J</c:v>
                  </c:pt>
                  <c:pt idx="167">
                    <c:v>A</c:v>
                  </c:pt>
                  <c:pt idx="198">
                    <c:v>S</c:v>
                  </c:pt>
                  <c:pt idx="228">
                    <c:v>O</c:v>
                  </c:pt>
                  <c:pt idx="259">
                    <c:v>N</c:v>
                  </c:pt>
                  <c:pt idx="289">
                    <c:v>D</c:v>
                  </c:pt>
                  <c:pt idx="320">
                    <c:v>E</c:v>
                  </c:pt>
                  <c:pt idx="351">
                    <c:v>F</c:v>
                  </c:pt>
                  <c:pt idx="379">
                    <c:v>M</c:v>
                  </c:pt>
                  <c:pt idx="410">
                    <c:v>A</c:v>
                  </c:pt>
                  <c:pt idx="440">
                    <c:v>M</c:v>
                  </c:pt>
                  <c:pt idx="471">
                    <c:v>J</c:v>
                  </c:pt>
                  <c:pt idx="501">
                    <c:v>J</c:v>
                  </c:pt>
                  <c:pt idx="532">
                    <c:v>A</c:v>
                  </c:pt>
                  <c:pt idx="563">
                    <c:v>S</c:v>
                  </c:pt>
                  <c:pt idx="593">
                    <c:v>O</c:v>
                  </c:pt>
                  <c:pt idx="624">
                    <c:v>N</c:v>
                  </c:pt>
                  <c:pt idx="654">
                    <c:v>D</c:v>
                  </c:pt>
                  <c:pt idx="685">
                    <c:v>E</c:v>
                  </c:pt>
                  <c:pt idx="716">
                    <c:v>F</c:v>
                  </c:pt>
                  <c:pt idx="745">
                    <c:v>M</c:v>
                  </c:pt>
                </c:lvl>
                <c:lvl>
                  <c:pt idx="0">
                    <c:v>2022 </c:v>
                  </c:pt>
                  <c:pt idx="306">
                    <c:v>2023 </c:v>
                  </c:pt>
                  <c:pt idx="671">
                    <c:v>2024 </c:v>
                  </c:pt>
                </c:lvl>
              </c:multiLvlStrCache>
            </c:multiLvlStrRef>
          </c:cat>
          <c:val>
            <c:numRef>
              <c:f>Dat_02!$D$3:$D$762</c:f>
              <c:numCache>
                <c:formatCode>#,##0.0</c:formatCode>
                <c:ptCount val="760"/>
                <c:pt idx="0">
                  <c:v>128.70213492494773</c:v>
                </c:pt>
                <c:pt idx="1">
                  <c:v>128.70213492494773</c:v>
                </c:pt>
                <c:pt idx="2">
                  <c:v>128.70213492494773</c:v>
                </c:pt>
                <c:pt idx="3">
                  <c:v>128.70213492494773</c:v>
                </c:pt>
                <c:pt idx="4">
                  <c:v>128.70213492494773</c:v>
                </c:pt>
                <c:pt idx="5">
                  <c:v>128.70213492494773</c:v>
                </c:pt>
                <c:pt idx="6">
                  <c:v>128.70213492494773</c:v>
                </c:pt>
                <c:pt idx="7">
                  <c:v>128.70213492494773</c:v>
                </c:pt>
                <c:pt idx="8">
                  <c:v>128.70213492494773</c:v>
                </c:pt>
                <c:pt idx="9">
                  <c:v>128.70213492494773</c:v>
                </c:pt>
                <c:pt idx="10">
                  <c:v>128.70213492494773</c:v>
                </c:pt>
                <c:pt idx="11">
                  <c:v>128.70213492494773</c:v>
                </c:pt>
                <c:pt idx="12">
                  <c:v>128.70213492494773</c:v>
                </c:pt>
                <c:pt idx="13">
                  <c:v>128.70213492494773</c:v>
                </c:pt>
                <c:pt idx="14">
                  <c:v>128.70213492494773</c:v>
                </c:pt>
                <c:pt idx="15">
                  <c:v>128.70213492494773</c:v>
                </c:pt>
                <c:pt idx="16">
                  <c:v>128.70213492494773</c:v>
                </c:pt>
                <c:pt idx="17">
                  <c:v>128.70213492494773</c:v>
                </c:pt>
                <c:pt idx="18">
                  <c:v>128.70213492494773</c:v>
                </c:pt>
                <c:pt idx="19">
                  <c:v>128.70213492494773</c:v>
                </c:pt>
                <c:pt idx="20">
                  <c:v>128.70213492494773</c:v>
                </c:pt>
                <c:pt idx="21">
                  <c:v>128.70213492494773</c:v>
                </c:pt>
                <c:pt idx="22">
                  <c:v>128.70213492494773</c:v>
                </c:pt>
                <c:pt idx="23">
                  <c:v>128.70213492494773</c:v>
                </c:pt>
                <c:pt idx="24">
                  <c:v>128.70213492494773</c:v>
                </c:pt>
                <c:pt idx="25">
                  <c:v>128.70213492494773</c:v>
                </c:pt>
                <c:pt idx="26">
                  <c:v>128.70213492494773</c:v>
                </c:pt>
                <c:pt idx="27">
                  <c:v>128.70213492494773</c:v>
                </c:pt>
                <c:pt idx="28">
                  <c:v>128.70213492494773</c:v>
                </c:pt>
                <c:pt idx="29">
                  <c:v>128.70213492494773</c:v>
                </c:pt>
                <c:pt idx="30">
                  <c:v>128.70213492494773</c:v>
                </c:pt>
                <c:pt idx="31">
                  <c:v>125.24455872987446</c:v>
                </c:pt>
                <c:pt idx="32">
                  <c:v>125.24455872987446</c:v>
                </c:pt>
                <c:pt idx="33">
                  <c:v>125.24455872987446</c:v>
                </c:pt>
                <c:pt idx="34">
                  <c:v>125.24455872987446</c:v>
                </c:pt>
                <c:pt idx="35">
                  <c:v>125.24455872987446</c:v>
                </c:pt>
                <c:pt idx="36">
                  <c:v>125.24455872987446</c:v>
                </c:pt>
                <c:pt idx="37">
                  <c:v>125.24455872987446</c:v>
                </c:pt>
                <c:pt idx="38">
                  <c:v>125.24455872987446</c:v>
                </c:pt>
                <c:pt idx="39">
                  <c:v>125.24455872987446</c:v>
                </c:pt>
                <c:pt idx="40">
                  <c:v>125.24455872987446</c:v>
                </c:pt>
                <c:pt idx="41">
                  <c:v>125.24455872987446</c:v>
                </c:pt>
                <c:pt idx="42">
                  <c:v>125.24455872987446</c:v>
                </c:pt>
                <c:pt idx="43">
                  <c:v>125.24455872987446</c:v>
                </c:pt>
                <c:pt idx="44">
                  <c:v>125.24455872987446</c:v>
                </c:pt>
                <c:pt idx="45">
                  <c:v>125.24455872987446</c:v>
                </c:pt>
                <c:pt idx="46">
                  <c:v>125.24455872987446</c:v>
                </c:pt>
                <c:pt idx="47">
                  <c:v>125.24455872987446</c:v>
                </c:pt>
                <c:pt idx="48">
                  <c:v>125.24455872987446</c:v>
                </c:pt>
                <c:pt idx="49">
                  <c:v>125.24455872987446</c:v>
                </c:pt>
                <c:pt idx="50">
                  <c:v>125.24455872987446</c:v>
                </c:pt>
                <c:pt idx="51">
                  <c:v>125.24455872987446</c:v>
                </c:pt>
                <c:pt idx="52">
                  <c:v>125.24455872987446</c:v>
                </c:pt>
                <c:pt idx="53">
                  <c:v>125.24455872987446</c:v>
                </c:pt>
                <c:pt idx="54">
                  <c:v>125.24455872987446</c:v>
                </c:pt>
                <c:pt idx="55">
                  <c:v>125.24455872987446</c:v>
                </c:pt>
                <c:pt idx="56">
                  <c:v>125.24455872987446</c:v>
                </c:pt>
                <c:pt idx="57">
                  <c:v>125.24455872987446</c:v>
                </c:pt>
                <c:pt idx="58">
                  <c:v>125.24455872987446</c:v>
                </c:pt>
                <c:pt idx="59">
                  <c:v>125.24455872987446</c:v>
                </c:pt>
                <c:pt idx="60">
                  <c:v>125.24455872987446</c:v>
                </c:pt>
                <c:pt idx="61">
                  <c:v>99.174715760964361</c:v>
                </c:pt>
                <c:pt idx="62">
                  <c:v>99.174715760964361</c:v>
                </c:pt>
                <c:pt idx="63">
                  <c:v>99.174715760964361</c:v>
                </c:pt>
                <c:pt idx="64">
                  <c:v>99.174715760964361</c:v>
                </c:pt>
                <c:pt idx="65">
                  <c:v>99.174715760964361</c:v>
                </c:pt>
                <c:pt idx="66">
                  <c:v>99.174715760964361</c:v>
                </c:pt>
                <c:pt idx="67">
                  <c:v>99.174715760964361</c:v>
                </c:pt>
                <c:pt idx="68">
                  <c:v>99.174715760964361</c:v>
                </c:pt>
                <c:pt idx="69">
                  <c:v>99.174715760964361</c:v>
                </c:pt>
                <c:pt idx="70">
                  <c:v>99.174715760964361</c:v>
                </c:pt>
                <c:pt idx="71">
                  <c:v>99.174715760964361</c:v>
                </c:pt>
                <c:pt idx="72">
                  <c:v>99.174715760964361</c:v>
                </c:pt>
                <c:pt idx="73">
                  <c:v>99.174715760964361</c:v>
                </c:pt>
                <c:pt idx="74">
                  <c:v>99.174715760964361</c:v>
                </c:pt>
                <c:pt idx="75">
                  <c:v>99.174715760964361</c:v>
                </c:pt>
                <c:pt idx="76">
                  <c:v>99.174715760964361</c:v>
                </c:pt>
                <c:pt idx="77">
                  <c:v>99.174715760964361</c:v>
                </c:pt>
                <c:pt idx="78">
                  <c:v>99.174715760964361</c:v>
                </c:pt>
                <c:pt idx="79">
                  <c:v>99.174715760964361</c:v>
                </c:pt>
                <c:pt idx="80">
                  <c:v>99.174715760964361</c:v>
                </c:pt>
                <c:pt idx="81">
                  <c:v>99.174715760964361</c:v>
                </c:pt>
                <c:pt idx="82">
                  <c:v>99.174715760964361</c:v>
                </c:pt>
                <c:pt idx="83">
                  <c:v>99.174715760964361</c:v>
                </c:pt>
                <c:pt idx="84">
                  <c:v>99.174715760964361</c:v>
                </c:pt>
                <c:pt idx="85">
                  <c:v>99.174715760964361</c:v>
                </c:pt>
                <c:pt idx="86">
                  <c:v>99.174715760964361</c:v>
                </c:pt>
                <c:pt idx="87">
                  <c:v>99.174715760964361</c:v>
                </c:pt>
                <c:pt idx="88">
                  <c:v>99.174715760964361</c:v>
                </c:pt>
                <c:pt idx="89">
                  <c:v>99.174715760964361</c:v>
                </c:pt>
                <c:pt idx="90">
                  <c:v>99.174715760964361</c:v>
                </c:pt>
                <c:pt idx="91">
                  <c:v>99.174715760964361</c:v>
                </c:pt>
                <c:pt idx="92">
                  <c:v>63.624179558812038</c:v>
                </c:pt>
                <c:pt idx="93">
                  <c:v>63.624179558812038</c:v>
                </c:pt>
                <c:pt idx="94">
                  <c:v>63.624179558812038</c:v>
                </c:pt>
                <c:pt idx="95">
                  <c:v>63.624179558812038</c:v>
                </c:pt>
                <c:pt idx="96">
                  <c:v>63.624179558812038</c:v>
                </c:pt>
                <c:pt idx="97">
                  <c:v>63.624179558812038</c:v>
                </c:pt>
                <c:pt idx="98">
                  <c:v>63.624179558812038</c:v>
                </c:pt>
                <c:pt idx="99">
                  <c:v>63.624179558812038</c:v>
                </c:pt>
                <c:pt idx="100">
                  <c:v>63.624179558812038</c:v>
                </c:pt>
                <c:pt idx="101">
                  <c:v>63.624179558812038</c:v>
                </c:pt>
                <c:pt idx="102">
                  <c:v>63.624179558812038</c:v>
                </c:pt>
                <c:pt idx="103">
                  <c:v>63.624179558812038</c:v>
                </c:pt>
                <c:pt idx="104">
                  <c:v>63.624179558812038</c:v>
                </c:pt>
                <c:pt idx="105">
                  <c:v>63.624179558812038</c:v>
                </c:pt>
                <c:pt idx="106">
                  <c:v>63.624179558812038</c:v>
                </c:pt>
                <c:pt idx="107">
                  <c:v>63.624179558812038</c:v>
                </c:pt>
                <c:pt idx="108">
                  <c:v>63.624179558812038</c:v>
                </c:pt>
                <c:pt idx="109">
                  <c:v>63.624179558812038</c:v>
                </c:pt>
                <c:pt idx="110">
                  <c:v>63.624179558812038</c:v>
                </c:pt>
                <c:pt idx="111">
                  <c:v>63.624179558812038</c:v>
                </c:pt>
                <c:pt idx="112">
                  <c:v>63.624179558812038</c:v>
                </c:pt>
                <c:pt idx="113">
                  <c:v>63.624179558812038</c:v>
                </c:pt>
                <c:pt idx="114">
                  <c:v>63.624179558812038</c:v>
                </c:pt>
                <c:pt idx="115">
                  <c:v>63.624179558812038</c:v>
                </c:pt>
                <c:pt idx="116">
                  <c:v>63.624179558812038</c:v>
                </c:pt>
                <c:pt idx="117">
                  <c:v>63.624179558812038</c:v>
                </c:pt>
                <c:pt idx="118">
                  <c:v>63.624179558812038</c:v>
                </c:pt>
                <c:pt idx="119">
                  <c:v>63.624179558812038</c:v>
                </c:pt>
                <c:pt idx="120">
                  <c:v>63.624179558812038</c:v>
                </c:pt>
                <c:pt idx="121">
                  <c:v>63.624179558812038</c:v>
                </c:pt>
                <c:pt idx="122">
                  <c:v>27.442156278712137</c:v>
                </c:pt>
                <c:pt idx="123">
                  <c:v>27.442156278712137</c:v>
                </c:pt>
                <c:pt idx="124">
                  <c:v>27.442156278712137</c:v>
                </c:pt>
                <c:pt idx="125">
                  <c:v>27.442156278712137</c:v>
                </c:pt>
                <c:pt idx="126">
                  <c:v>27.442156278712137</c:v>
                </c:pt>
                <c:pt idx="127">
                  <c:v>27.442156278712137</c:v>
                </c:pt>
                <c:pt idx="128">
                  <c:v>27.442156278712137</c:v>
                </c:pt>
                <c:pt idx="129">
                  <c:v>27.442156278712137</c:v>
                </c:pt>
                <c:pt idx="130">
                  <c:v>27.442156278712137</c:v>
                </c:pt>
                <c:pt idx="131">
                  <c:v>27.442156278712137</c:v>
                </c:pt>
                <c:pt idx="132">
                  <c:v>27.442156278712137</c:v>
                </c:pt>
                <c:pt idx="133">
                  <c:v>27.442156278712137</c:v>
                </c:pt>
                <c:pt idx="134">
                  <c:v>27.442156278712137</c:v>
                </c:pt>
                <c:pt idx="135">
                  <c:v>27.442156278712137</c:v>
                </c:pt>
                <c:pt idx="136">
                  <c:v>27.442156278712137</c:v>
                </c:pt>
                <c:pt idx="137">
                  <c:v>27.442156278712137</c:v>
                </c:pt>
                <c:pt idx="138">
                  <c:v>27.442156278712137</c:v>
                </c:pt>
                <c:pt idx="139">
                  <c:v>27.442156278712137</c:v>
                </c:pt>
                <c:pt idx="140">
                  <c:v>27.442156278712137</c:v>
                </c:pt>
                <c:pt idx="141">
                  <c:v>27.442156278712137</c:v>
                </c:pt>
                <c:pt idx="142">
                  <c:v>27.442156278712137</c:v>
                </c:pt>
                <c:pt idx="143">
                  <c:v>27.442156278712137</c:v>
                </c:pt>
                <c:pt idx="144">
                  <c:v>27.442156278712137</c:v>
                </c:pt>
                <c:pt idx="145">
                  <c:v>27.442156278712137</c:v>
                </c:pt>
                <c:pt idx="146">
                  <c:v>27.442156278712137</c:v>
                </c:pt>
                <c:pt idx="147">
                  <c:v>27.442156278712137</c:v>
                </c:pt>
                <c:pt idx="148">
                  <c:v>27.442156278712137</c:v>
                </c:pt>
                <c:pt idx="149">
                  <c:v>27.442156278712137</c:v>
                </c:pt>
                <c:pt idx="150">
                  <c:v>27.442156278712137</c:v>
                </c:pt>
                <c:pt idx="151">
                  <c:v>27.442156278712137</c:v>
                </c:pt>
                <c:pt idx="152">
                  <c:v>27.442156278712137</c:v>
                </c:pt>
                <c:pt idx="153">
                  <c:v>16.581237981614105</c:v>
                </c:pt>
                <c:pt idx="154">
                  <c:v>16.581237981614105</c:v>
                </c:pt>
                <c:pt idx="155">
                  <c:v>16.581237981614105</c:v>
                </c:pt>
                <c:pt idx="156">
                  <c:v>16.581237981614105</c:v>
                </c:pt>
                <c:pt idx="157">
                  <c:v>16.581237981614105</c:v>
                </c:pt>
                <c:pt idx="158">
                  <c:v>16.581237981614105</c:v>
                </c:pt>
                <c:pt idx="159">
                  <c:v>16.581237981614105</c:v>
                </c:pt>
                <c:pt idx="160">
                  <c:v>16.581237981614105</c:v>
                </c:pt>
                <c:pt idx="161">
                  <c:v>16.581237981614105</c:v>
                </c:pt>
                <c:pt idx="162">
                  <c:v>16.581237981614105</c:v>
                </c:pt>
                <c:pt idx="163">
                  <c:v>16.581237981614105</c:v>
                </c:pt>
                <c:pt idx="164">
                  <c:v>16.581237981614105</c:v>
                </c:pt>
                <c:pt idx="165">
                  <c:v>16.581237981614105</c:v>
                </c:pt>
                <c:pt idx="166">
                  <c:v>16.581237981614105</c:v>
                </c:pt>
                <c:pt idx="167">
                  <c:v>16.581237981614105</c:v>
                </c:pt>
                <c:pt idx="168">
                  <c:v>16.581237981614105</c:v>
                </c:pt>
                <c:pt idx="169">
                  <c:v>16.581237981614105</c:v>
                </c:pt>
                <c:pt idx="170">
                  <c:v>16.581237981614105</c:v>
                </c:pt>
                <c:pt idx="171">
                  <c:v>16.581237981614105</c:v>
                </c:pt>
                <c:pt idx="172">
                  <c:v>16.581237981614105</c:v>
                </c:pt>
                <c:pt idx="173">
                  <c:v>16.581237981614105</c:v>
                </c:pt>
                <c:pt idx="174">
                  <c:v>16.581237981614105</c:v>
                </c:pt>
                <c:pt idx="175">
                  <c:v>16.581237981614105</c:v>
                </c:pt>
                <c:pt idx="176">
                  <c:v>16.581237981614105</c:v>
                </c:pt>
                <c:pt idx="177">
                  <c:v>16.581237981614105</c:v>
                </c:pt>
                <c:pt idx="178">
                  <c:v>16.581237981614105</c:v>
                </c:pt>
                <c:pt idx="179">
                  <c:v>16.581237981614105</c:v>
                </c:pt>
                <c:pt idx="180">
                  <c:v>16.581237981614105</c:v>
                </c:pt>
                <c:pt idx="181">
                  <c:v>16.581237981614105</c:v>
                </c:pt>
                <c:pt idx="182">
                  <c:v>16.581237981614105</c:v>
                </c:pt>
                <c:pt idx="183">
                  <c:v>16.581237981614105</c:v>
                </c:pt>
                <c:pt idx="184">
                  <c:v>21.033168040284398</c:v>
                </c:pt>
                <c:pt idx="185">
                  <c:v>21.033168040284398</c:v>
                </c:pt>
                <c:pt idx="186">
                  <c:v>21.033168040284398</c:v>
                </c:pt>
                <c:pt idx="187">
                  <c:v>21.033168040284398</c:v>
                </c:pt>
                <c:pt idx="188">
                  <c:v>21.033168040284398</c:v>
                </c:pt>
                <c:pt idx="189">
                  <c:v>21.033168040284398</c:v>
                </c:pt>
                <c:pt idx="190">
                  <c:v>21.033168040284398</c:v>
                </c:pt>
                <c:pt idx="191">
                  <c:v>21.033168040284398</c:v>
                </c:pt>
                <c:pt idx="192">
                  <c:v>21.033168040284398</c:v>
                </c:pt>
                <c:pt idx="193">
                  <c:v>21.033168040284398</c:v>
                </c:pt>
                <c:pt idx="194">
                  <c:v>21.033168040284398</c:v>
                </c:pt>
                <c:pt idx="195">
                  <c:v>21.033168040284398</c:v>
                </c:pt>
                <c:pt idx="196">
                  <c:v>21.033168040284398</c:v>
                </c:pt>
                <c:pt idx="197">
                  <c:v>21.033168040284398</c:v>
                </c:pt>
                <c:pt idx="198">
                  <c:v>21.033168040284398</c:v>
                </c:pt>
                <c:pt idx="199">
                  <c:v>21.033168040284398</c:v>
                </c:pt>
                <c:pt idx="200">
                  <c:v>21.033168040284398</c:v>
                </c:pt>
                <c:pt idx="201">
                  <c:v>21.033168040284398</c:v>
                </c:pt>
                <c:pt idx="202">
                  <c:v>21.033168040284398</c:v>
                </c:pt>
                <c:pt idx="203">
                  <c:v>21.033168040284398</c:v>
                </c:pt>
                <c:pt idx="204">
                  <c:v>21.033168040284398</c:v>
                </c:pt>
                <c:pt idx="205">
                  <c:v>21.033168040284398</c:v>
                </c:pt>
                <c:pt idx="206">
                  <c:v>21.033168040284398</c:v>
                </c:pt>
                <c:pt idx="207">
                  <c:v>21.033168040284398</c:v>
                </c:pt>
                <c:pt idx="208">
                  <c:v>21.033168040284398</c:v>
                </c:pt>
                <c:pt idx="209">
                  <c:v>21.033168040284398</c:v>
                </c:pt>
                <c:pt idx="210">
                  <c:v>21.033168040284398</c:v>
                </c:pt>
                <c:pt idx="211">
                  <c:v>21.033168040284398</c:v>
                </c:pt>
                <c:pt idx="212">
                  <c:v>21.033168040284398</c:v>
                </c:pt>
                <c:pt idx="213">
                  <c:v>21.033168040284398</c:v>
                </c:pt>
                <c:pt idx="214">
                  <c:v>41.704179443866899</c:v>
                </c:pt>
                <c:pt idx="215">
                  <c:v>41.704179443866899</c:v>
                </c:pt>
                <c:pt idx="216">
                  <c:v>41.704179443866899</c:v>
                </c:pt>
                <c:pt idx="217">
                  <c:v>41.704179443866899</c:v>
                </c:pt>
                <c:pt idx="218">
                  <c:v>41.704179443866899</c:v>
                </c:pt>
                <c:pt idx="219">
                  <c:v>41.704179443866899</c:v>
                </c:pt>
                <c:pt idx="220">
                  <c:v>41.704179443866899</c:v>
                </c:pt>
                <c:pt idx="221">
                  <c:v>41.704179443866899</c:v>
                </c:pt>
                <c:pt idx="222">
                  <c:v>41.704179443866899</c:v>
                </c:pt>
                <c:pt idx="223">
                  <c:v>41.704179443866899</c:v>
                </c:pt>
                <c:pt idx="224">
                  <c:v>41.704179443866899</c:v>
                </c:pt>
                <c:pt idx="225">
                  <c:v>41.704179443866899</c:v>
                </c:pt>
                <c:pt idx="226">
                  <c:v>41.704179443866899</c:v>
                </c:pt>
                <c:pt idx="227">
                  <c:v>41.704179443866899</c:v>
                </c:pt>
                <c:pt idx="228">
                  <c:v>41.704179443866899</c:v>
                </c:pt>
                <c:pt idx="229">
                  <c:v>41.704179443866899</c:v>
                </c:pt>
                <c:pt idx="230">
                  <c:v>41.704179443866899</c:v>
                </c:pt>
                <c:pt idx="231">
                  <c:v>41.704179443866899</c:v>
                </c:pt>
                <c:pt idx="232">
                  <c:v>41.704179443866899</c:v>
                </c:pt>
                <c:pt idx="233">
                  <c:v>41.704179443866899</c:v>
                </c:pt>
                <c:pt idx="234">
                  <c:v>41.704179443866899</c:v>
                </c:pt>
                <c:pt idx="235">
                  <c:v>41.704179443866899</c:v>
                </c:pt>
                <c:pt idx="236">
                  <c:v>41.704179443866899</c:v>
                </c:pt>
                <c:pt idx="237">
                  <c:v>41.704179443866899</c:v>
                </c:pt>
                <c:pt idx="238">
                  <c:v>41.704179443866899</c:v>
                </c:pt>
                <c:pt idx="239">
                  <c:v>41.704179443866899</c:v>
                </c:pt>
                <c:pt idx="240">
                  <c:v>41.704179443866899</c:v>
                </c:pt>
                <c:pt idx="241">
                  <c:v>41.704179443866899</c:v>
                </c:pt>
                <c:pt idx="242">
                  <c:v>41.704179443866899</c:v>
                </c:pt>
                <c:pt idx="243">
                  <c:v>41.704179443866899</c:v>
                </c:pt>
                <c:pt idx="244">
                  <c:v>41.704179443866899</c:v>
                </c:pt>
                <c:pt idx="245">
                  <c:v>83.437278222405467</c:v>
                </c:pt>
                <c:pt idx="246">
                  <c:v>83.437278222405467</c:v>
                </c:pt>
                <c:pt idx="247">
                  <c:v>83.437278222405467</c:v>
                </c:pt>
                <c:pt idx="248">
                  <c:v>83.437278222405467</c:v>
                </c:pt>
                <c:pt idx="249">
                  <c:v>83.437278222405467</c:v>
                </c:pt>
                <c:pt idx="250">
                  <c:v>83.437278222405467</c:v>
                </c:pt>
                <c:pt idx="251">
                  <c:v>83.437278222405467</c:v>
                </c:pt>
                <c:pt idx="252">
                  <c:v>83.437278222405467</c:v>
                </c:pt>
                <c:pt idx="253">
                  <c:v>83.437278222405467</c:v>
                </c:pt>
                <c:pt idx="254">
                  <c:v>83.437278222405467</c:v>
                </c:pt>
                <c:pt idx="255">
                  <c:v>83.437278222405467</c:v>
                </c:pt>
                <c:pt idx="256">
                  <c:v>83.437278222405467</c:v>
                </c:pt>
                <c:pt idx="257">
                  <c:v>83.437278222405467</c:v>
                </c:pt>
                <c:pt idx="258">
                  <c:v>83.437278222405467</c:v>
                </c:pt>
                <c:pt idx="259">
                  <c:v>83.437278222405467</c:v>
                </c:pt>
                <c:pt idx="260">
                  <c:v>83.437278222405467</c:v>
                </c:pt>
                <c:pt idx="261">
                  <c:v>83.437278222405467</c:v>
                </c:pt>
                <c:pt idx="262">
                  <c:v>83.437278222405467</c:v>
                </c:pt>
                <c:pt idx="263">
                  <c:v>83.437278222405467</c:v>
                </c:pt>
                <c:pt idx="264">
                  <c:v>83.437278222405467</c:v>
                </c:pt>
                <c:pt idx="265">
                  <c:v>83.437278222405467</c:v>
                </c:pt>
                <c:pt idx="266">
                  <c:v>83.437278222405467</c:v>
                </c:pt>
                <c:pt idx="267">
                  <c:v>83.437278222405467</c:v>
                </c:pt>
                <c:pt idx="268">
                  <c:v>83.437278222405467</c:v>
                </c:pt>
                <c:pt idx="269">
                  <c:v>83.437278222405467</c:v>
                </c:pt>
                <c:pt idx="270">
                  <c:v>83.437278222405467</c:v>
                </c:pt>
                <c:pt idx="271">
                  <c:v>83.437278222405467</c:v>
                </c:pt>
                <c:pt idx="272">
                  <c:v>83.437278222405467</c:v>
                </c:pt>
                <c:pt idx="273">
                  <c:v>83.437278222405467</c:v>
                </c:pt>
                <c:pt idx="274">
                  <c:v>83.437278222405467</c:v>
                </c:pt>
                <c:pt idx="275">
                  <c:v>108.10243370537623</c:v>
                </c:pt>
                <c:pt idx="276">
                  <c:v>108.10243370537623</c:v>
                </c:pt>
                <c:pt idx="277">
                  <c:v>108.10243370537623</c:v>
                </c:pt>
                <c:pt idx="278">
                  <c:v>108.10243370537623</c:v>
                </c:pt>
                <c:pt idx="279">
                  <c:v>108.10243370537623</c:v>
                </c:pt>
                <c:pt idx="280">
                  <c:v>108.10243370537623</c:v>
                </c:pt>
                <c:pt idx="281">
                  <c:v>108.10243370537623</c:v>
                </c:pt>
                <c:pt idx="282">
                  <c:v>108.10243370537623</c:v>
                </c:pt>
                <c:pt idx="283">
                  <c:v>108.10243370537623</c:v>
                </c:pt>
                <c:pt idx="284">
                  <c:v>108.10243370537623</c:v>
                </c:pt>
                <c:pt idx="285">
                  <c:v>108.10243370537623</c:v>
                </c:pt>
                <c:pt idx="286">
                  <c:v>108.10243370537623</c:v>
                </c:pt>
                <c:pt idx="287">
                  <c:v>108.10243370537623</c:v>
                </c:pt>
                <c:pt idx="288">
                  <c:v>108.10243370537623</c:v>
                </c:pt>
                <c:pt idx="289">
                  <c:v>108.10243370537623</c:v>
                </c:pt>
                <c:pt idx="290">
                  <c:v>108.10243370537623</c:v>
                </c:pt>
                <c:pt idx="291">
                  <c:v>108.10243370537623</c:v>
                </c:pt>
                <c:pt idx="292">
                  <c:v>108.10243370537623</c:v>
                </c:pt>
                <c:pt idx="293">
                  <c:v>108.10243370537623</c:v>
                </c:pt>
                <c:pt idx="294">
                  <c:v>108.10243370537623</c:v>
                </c:pt>
                <c:pt idx="295">
                  <c:v>108.10243370537623</c:v>
                </c:pt>
                <c:pt idx="296">
                  <c:v>108.10243370537623</c:v>
                </c:pt>
                <c:pt idx="297">
                  <c:v>108.10243370537623</c:v>
                </c:pt>
                <c:pt idx="298">
                  <c:v>108.10243370537623</c:v>
                </c:pt>
                <c:pt idx="299">
                  <c:v>108.10243370537623</c:v>
                </c:pt>
                <c:pt idx="300">
                  <c:v>108.10243370537623</c:v>
                </c:pt>
                <c:pt idx="301">
                  <c:v>108.10243370537623</c:v>
                </c:pt>
                <c:pt idx="302">
                  <c:v>108.10243370537623</c:v>
                </c:pt>
                <c:pt idx="303">
                  <c:v>108.10243370537623</c:v>
                </c:pt>
                <c:pt idx="304">
                  <c:v>108.10243370537623</c:v>
                </c:pt>
                <c:pt idx="305">
                  <c:v>108.10243370537623</c:v>
                </c:pt>
                <c:pt idx="306">
                  <c:v>119.44455644829111</c:v>
                </c:pt>
                <c:pt idx="307">
                  <c:v>119.44455644829111</c:v>
                </c:pt>
                <c:pt idx="308">
                  <c:v>119.44455644829111</c:v>
                </c:pt>
                <c:pt idx="309">
                  <c:v>119.44455644829111</c:v>
                </c:pt>
                <c:pt idx="310">
                  <c:v>119.44455644829111</c:v>
                </c:pt>
                <c:pt idx="311">
                  <c:v>119.44455644829111</c:v>
                </c:pt>
                <c:pt idx="312">
                  <c:v>119.44455644829111</c:v>
                </c:pt>
                <c:pt idx="313">
                  <c:v>119.44455644829111</c:v>
                </c:pt>
                <c:pt idx="314">
                  <c:v>119.44455644829111</c:v>
                </c:pt>
                <c:pt idx="315">
                  <c:v>119.44455644829111</c:v>
                </c:pt>
                <c:pt idx="316">
                  <c:v>119.44455644829111</c:v>
                </c:pt>
                <c:pt idx="317">
                  <c:v>119.44455644829111</c:v>
                </c:pt>
                <c:pt idx="318">
                  <c:v>119.44455644829111</c:v>
                </c:pt>
                <c:pt idx="319">
                  <c:v>119.44455644829111</c:v>
                </c:pt>
                <c:pt idx="320">
                  <c:v>119.44455644829111</c:v>
                </c:pt>
                <c:pt idx="321">
                  <c:v>119.44455644829111</c:v>
                </c:pt>
                <c:pt idx="322">
                  <c:v>119.44455644829111</c:v>
                </c:pt>
                <c:pt idx="323">
                  <c:v>119.44455644829111</c:v>
                </c:pt>
                <c:pt idx="324">
                  <c:v>119.44455644829111</c:v>
                </c:pt>
                <c:pt idx="325">
                  <c:v>119.44455644829111</c:v>
                </c:pt>
                <c:pt idx="326">
                  <c:v>119.44455644829111</c:v>
                </c:pt>
                <c:pt idx="327">
                  <c:v>119.44455644829111</c:v>
                </c:pt>
                <c:pt idx="328">
                  <c:v>119.44455644829111</c:v>
                </c:pt>
                <c:pt idx="329">
                  <c:v>119.44455644829111</c:v>
                </c:pt>
                <c:pt idx="330">
                  <c:v>119.44455644829111</c:v>
                </c:pt>
                <c:pt idx="331">
                  <c:v>119.44455644829111</c:v>
                </c:pt>
                <c:pt idx="332">
                  <c:v>119.44455644829111</c:v>
                </c:pt>
                <c:pt idx="333">
                  <c:v>119.44455644829111</c:v>
                </c:pt>
                <c:pt idx="334">
                  <c:v>119.44455644829111</c:v>
                </c:pt>
                <c:pt idx="335">
                  <c:v>119.44455644829111</c:v>
                </c:pt>
                <c:pt idx="336">
                  <c:v>119.44455644829111</c:v>
                </c:pt>
                <c:pt idx="337">
                  <c:v>127.90897946252304</c:v>
                </c:pt>
                <c:pt idx="338">
                  <c:v>127.90897946252304</c:v>
                </c:pt>
                <c:pt idx="339">
                  <c:v>127.90897946252304</c:v>
                </c:pt>
                <c:pt idx="340">
                  <c:v>127.90897946252304</c:v>
                </c:pt>
                <c:pt idx="341">
                  <c:v>127.90897946252304</c:v>
                </c:pt>
                <c:pt idx="342">
                  <c:v>127.90897946252304</c:v>
                </c:pt>
                <c:pt idx="343">
                  <c:v>127.90897946252304</c:v>
                </c:pt>
                <c:pt idx="344">
                  <c:v>127.90897946252304</c:v>
                </c:pt>
                <c:pt idx="345">
                  <c:v>127.90897946252304</c:v>
                </c:pt>
                <c:pt idx="346">
                  <c:v>127.90897946252304</c:v>
                </c:pt>
                <c:pt idx="347">
                  <c:v>127.90897946252304</c:v>
                </c:pt>
                <c:pt idx="348">
                  <c:v>127.90897946252304</c:v>
                </c:pt>
                <c:pt idx="349">
                  <c:v>127.90897946252304</c:v>
                </c:pt>
                <c:pt idx="350">
                  <c:v>127.90897946252304</c:v>
                </c:pt>
                <c:pt idx="351">
                  <c:v>127.90897946252304</c:v>
                </c:pt>
                <c:pt idx="352">
                  <c:v>127.90897946252304</c:v>
                </c:pt>
                <c:pt idx="353">
                  <c:v>127.90897946252304</c:v>
                </c:pt>
                <c:pt idx="354">
                  <c:v>127.90897946252304</c:v>
                </c:pt>
                <c:pt idx="355">
                  <c:v>127.90897946252304</c:v>
                </c:pt>
                <c:pt idx="356">
                  <c:v>127.90897946252304</c:v>
                </c:pt>
                <c:pt idx="357">
                  <c:v>127.90897946252304</c:v>
                </c:pt>
                <c:pt idx="358">
                  <c:v>127.90897946252304</c:v>
                </c:pt>
                <c:pt idx="359">
                  <c:v>127.90897946252304</c:v>
                </c:pt>
                <c:pt idx="360">
                  <c:v>127.90897946252304</c:v>
                </c:pt>
                <c:pt idx="361">
                  <c:v>127.90897946252304</c:v>
                </c:pt>
                <c:pt idx="362">
                  <c:v>127.90897946252304</c:v>
                </c:pt>
                <c:pt idx="363">
                  <c:v>127.90897946252304</c:v>
                </c:pt>
                <c:pt idx="364">
                  <c:v>127.90897946252304</c:v>
                </c:pt>
                <c:pt idx="365">
                  <c:v>128.18908398701601</c:v>
                </c:pt>
                <c:pt idx="366">
                  <c:v>128.18908398701601</c:v>
                </c:pt>
                <c:pt idx="367">
                  <c:v>128.18908398701601</c:v>
                </c:pt>
                <c:pt idx="368">
                  <c:v>128.18908398701601</c:v>
                </c:pt>
                <c:pt idx="369">
                  <c:v>128.18908398701601</c:v>
                </c:pt>
                <c:pt idx="370">
                  <c:v>128.18908398701601</c:v>
                </c:pt>
                <c:pt idx="371">
                  <c:v>128.18908398701601</c:v>
                </c:pt>
                <c:pt idx="372">
                  <c:v>128.18908398701601</c:v>
                </c:pt>
                <c:pt idx="373">
                  <c:v>128.18908398701601</c:v>
                </c:pt>
                <c:pt idx="374">
                  <c:v>128.18908398701601</c:v>
                </c:pt>
                <c:pt idx="375">
                  <c:v>128.18908398701601</c:v>
                </c:pt>
                <c:pt idx="376">
                  <c:v>128.18908398701601</c:v>
                </c:pt>
                <c:pt idx="377">
                  <c:v>128.18908398701601</c:v>
                </c:pt>
                <c:pt idx="378">
                  <c:v>128.18908398701601</c:v>
                </c:pt>
                <c:pt idx="379">
                  <c:v>128.18908398701601</c:v>
                </c:pt>
                <c:pt idx="380">
                  <c:v>128.18908398701601</c:v>
                </c:pt>
                <c:pt idx="381">
                  <c:v>128.18908398701601</c:v>
                </c:pt>
                <c:pt idx="382">
                  <c:v>128.18908398701601</c:v>
                </c:pt>
                <c:pt idx="383">
                  <c:v>128.18908398701601</c:v>
                </c:pt>
                <c:pt idx="384">
                  <c:v>128.18908398701601</c:v>
                </c:pt>
                <c:pt idx="385">
                  <c:v>128.18908398701601</c:v>
                </c:pt>
                <c:pt idx="386">
                  <c:v>128.18908398701601</c:v>
                </c:pt>
                <c:pt idx="387">
                  <c:v>128.18908398701601</c:v>
                </c:pt>
                <c:pt idx="388">
                  <c:v>128.18908398701601</c:v>
                </c:pt>
                <c:pt idx="389">
                  <c:v>128.18908398701601</c:v>
                </c:pt>
                <c:pt idx="390">
                  <c:v>128.18908398701601</c:v>
                </c:pt>
                <c:pt idx="391">
                  <c:v>128.18908398701601</c:v>
                </c:pt>
                <c:pt idx="392">
                  <c:v>128.18908398701601</c:v>
                </c:pt>
                <c:pt idx="393">
                  <c:v>128.18908398701601</c:v>
                </c:pt>
                <c:pt idx="394">
                  <c:v>128.18908398701601</c:v>
                </c:pt>
                <c:pt idx="395">
                  <c:v>128.18908398701601</c:v>
                </c:pt>
                <c:pt idx="396">
                  <c:v>125.90182729691037</c:v>
                </c:pt>
                <c:pt idx="397">
                  <c:v>125.90182729691037</c:v>
                </c:pt>
                <c:pt idx="398">
                  <c:v>125.90182729691037</c:v>
                </c:pt>
                <c:pt idx="399">
                  <c:v>125.90182729691037</c:v>
                </c:pt>
                <c:pt idx="400">
                  <c:v>125.90182729691037</c:v>
                </c:pt>
                <c:pt idx="401">
                  <c:v>125.90182729691037</c:v>
                </c:pt>
                <c:pt idx="402">
                  <c:v>125.90182729691037</c:v>
                </c:pt>
                <c:pt idx="403">
                  <c:v>125.90182729691037</c:v>
                </c:pt>
                <c:pt idx="404">
                  <c:v>125.90182729691037</c:v>
                </c:pt>
                <c:pt idx="405">
                  <c:v>125.90182729691037</c:v>
                </c:pt>
                <c:pt idx="406">
                  <c:v>125.90182729691037</c:v>
                </c:pt>
                <c:pt idx="407">
                  <c:v>125.90182729691037</c:v>
                </c:pt>
                <c:pt idx="408">
                  <c:v>125.90182729691037</c:v>
                </c:pt>
                <c:pt idx="409">
                  <c:v>125.90182729691037</c:v>
                </c:pt>
                <c:pt idx="410">
                  <c:v>125.90182729691037</c:v>
                </c:pt>
                <c:pt idx="411">
                  <c:v>125.90182729691037</c:v>
                </c:pt>
                <c:pt idx="412">
                  <c:v>125.90182729691037</c:v>
                </c:pt>
                <c:pt idx="413">
                  <c:v>125.90182729691037</c:v>
                </c:pt>
                <c:pt idx="414">
                  <c:v>125.90182729691037</c:v>
                </c:pt>
                <c:pt idx="415">
                  <c:v>125.90182729691037</c:v>
                </c:pt>
                <c:pt idx="416">
                  <c:v>125.90182729691037</c:v>
                </c:pt>
                <c:pt idx="417">
                  <c:v>125.90182729691037</c:v>
                </c:pt>
                <c:pt idx="418">
                  <c:v>125.90182729691037</c:v>
                </c:pt>
                <c:pt idx="419">
                  <c:v>125.90182729691037</c:v>
                </c:pt>
                <c:pt idx="420">
                  <c:v>125.90182729691037</c:v>
                </c:pt>
                <c:pt idx="421">
                  <c:v>125.90182729691037</c:v>
                </c:pt>
                <c:pt idx="422">
                  <c:v>125.90182729691037</c:v>
                </c:pt>
                <c:pt idx="423">
                  <c:v>125.90182729691037</c:v>
                </c:pt>
                <c:pt idx="424">
                  <c:v>125.90182729691037</c:v>
                </c:pt>
                <c:pt idx="425">
                  <c:v>125.90182729691037</c:v>
                </c:pt>
                <c:pt idx="426">
                  <c:v>98.741424078570617</c:v>
                </c:pt>
                <c:pt idx="427">
                  <c:v>98.741424078570617</c:v>
                </c:pt>
                <c:pt idx="428">
                  <c:v>98.741424078570617</c:v>
                </c:pt>
                <c:pt idx="429">
                  <c:v>98.741424078570617</c:v>
                </c:pt>
                <c:pt idx="430">
                  <c:v>98.741424078570617</c:v>
                </c:pt>
                <c:pt idx="431">
                  <c:v>98.741424078570617</c:v>
                </c:pt>
                <c:pt idx="432">
                  <c:v>98.741424078570617</c:v>
                </c:pt>
                <c:pt idx="433">
                  <c:v>98.741424078570617</c:v>
                </c:pt>
                <c:pt idx="434">
                  <c:v>98.741424078570617</c:v>
                </c:pt>
                <c:pt idx="435">
                  <c:v>98.741424078570617</c:v>
                </c:pt>
                <c:pt idx="436">
                  <c:v>98.741424078570617</c:v>
                </c:pt>
                <c:pt idx="437">
                  <c:v>98.741424078570617</c:v>
                </c:pt>
                <c:pt idx="438">
                  <c:v>98.741424078570617</c:v>
                </c:pt>
                <c:pt idx="439">
                  <c:v>98.741424078570617</c:v>
                </c:pt>
                <c:pt idx="440">
                  <c:v>98.741424078570617</c:v>
                </c:pt>
                <c:pt idx="441">
                  <c:v>98.741424078570617</c:v>
                </c:pt>
                <c:pt idx="442">
                  <c:v>98.741424078570617</c:v>
                </c:pt>
                <c:pt idx="443">
                  <c:v>98.741424078570617</c:v>
                </c:pt>
                <c:pt idx="444">
                  <c:v>98.741424078570617</c:v>
                </c:pt>
                <c:pt idx="445">
                  <c:v>98.741424078570617</c:v>
                </c:pt>
                <c:pt idx="446">
                  <c:v>98.741424078570617</c:v>
                </c:pt>
                <c:pt idx="447">
                  <c:v>98.741424078570617</c:v>
                </c:pt>
                <c:pt idx="448">
                  <c:v>98.741424078570617</c:v>
                </c:pt>
                <c:pt idx="449">
                  <c:v>98.741424078570617</c:v>
                </c:pt>
                <c:pt idx="450">
                  <c:v>98.741424078570617</c:v>
                </c:pt>
                <c:pt idx="451">
                  <c:v>98.741424078570617</c:v>
                </c:pt>
                <c:pt idx="452">
                  <c:v>98.741424078570617</c:v>
                </c:pt>
                <c:pt idx="453">
                  <c:v>98.741424078570617</c:v>
                </c:pt>
                <c:pt idx="454">
                  <c:v>98.741424078570617</c:v>
                </c:pt>
                <c:pt idx="455">
                  <c:v>98.741424078570617</c:v>
                </c:pt>
                <c:pt idx="456">
                  <c:v>98.741424078570617</c:v>
                </c:pt>
                <c:pt idx="457">
                  <c:v>62.091495991055417</c:v>
                </c:pt>
                <c:pt idx="458">
                  <c:v>62.091495991055417</c:v>
                </c:pt>
                <c:pt idx="459">
                  <c:v>62.091495991055417</c:v>
                </c:pt>
                <c:pt idx="460">
                  <c:v>62.091495991055417</c:v>
                </c:pt>
                <c:pt idx="461">
                  <c:v>62.091495991055417</c:v>
                </c:pt>
                <c:pt idx="462">
                  <c:v>62.091495991055417</c:v>
                </c:pt>
                <c:pt idx="463">
                  <c:v>62.091495991055417</c:v>
                </c:pt>
                <c:pt idx="464">
                  <c:v>62.091495991055417</c:v>
                </c:pt>
                <c:pt idx="465">
                  <c:v>62.091495991055417</c:v>
                </c:pt>
                <c:pt idx="466">
                  <c:v>62.091495991055417</c:v>
                </c:pt>
                <c:pt idx="467">
                  <c:v>62.091495991055417</c:v>
                </c:pt>
                <c:pt idx="468">
                  <c:v>62.091495991055417</c:v>
                </c:pt>
                <c:pt idx="469">
                  <c:v>62.091495991055417</c:v>
                </c:pt>
                <c:pt idx="470">
                  <c:v>62.091495991055417</c:v>
                </c:pt>
                <c:pt idx="471">
                  <c:v>62.091495991055417</c:v>
                </c:pt>
                <c:pt idx="472">
                  <c:v>62.091495991055417</c:v>
                </c:pt>
                <c:pt idx="473">
                  <c:v>62.091495991055417</c:v>
                </c:pt>
                <c:pt idx="474">
                  <c:v>62.091495991055417</c:v>
                </c:pt>
                <c:pt idx="475">
                  <c:v>62.091495991055417</c:v>
                </c:pt>
                <c:pt idx="476">
                  <c:v>62.091495991055417</c:v>
                </c:pt>
                <c:pt idx="477">
                  <c:v>62.091495991055417</c:v>
                </c:pt>
                <c:pt idx="478">
                  <c:v>62.091495991055417</c:v>
                </c:pt>
                <c:pt idx="479">
                  <c:v>62.091495991055417</c:v>
                </c:pt>
                <c:pt idx="480">
                  <c:v>62.091495991055417</c:v>
                </c:pt>
                <c:pt idx="481">
                  <c:v>62.091495991055417</c:v>
                </c:pt>
                <c:pt idx="482">
                  <c:v>62.091495991055417</c:v>
                </c:pt>
                <c:pt idx="483">
                  <c:v>62.091495991055417</c:v>
                </c:pt>
                <c:pt idx="484">
                  <c:v>62.091495991055417</c:v>
                </c:pt>
                <c:pt idx="485">
                  <c:v>62.091495991055417</c:v>
                </c:pt>
                <c:pt idx="486">
                  <c:v>62.091495991055417</c:v>
                </c:pt>
                <c:pt idx="487">
                  <c:v>26.601704529721381</c:v>
                </c:pt>
                <c:pt idx="488">
                  <c:v>26.601704529721381</c:v>
                </c:pt>
                <c:pt idx="489">
                  <c:v>26.601704529721381</c:v>
                </c:pt>
                <c:pt idx="490">
                  <c:v>26.601704529721381</c:v>
                </c:pt>
                <c:pt idx="491">
                  <c:v>26.601704529721381</c:v>
                </c:pt>
                <c:pt idx="492">
                  <c:v>26.601704529721381</c:v>
                </c:pt>
                <c:pt idx="493">
                  <c:v>26.601704529721381</c:v>
                </c:pt>
                <c:pt idx="494">
                  <c:v>26.601704529721381</c:v>
                </c:pt>
                <c:pt idx="495">
                  <c:v>26.601704529721381</c:v>
                </c:pt>
                <c:pt idx="496">
                  <c:v>26.601704529721381</c:v>
                </c:pt>
                <c:pt idx="497">
                  <c:v>26.601704529721381</c:v>
                </c:pt>
                <c:pt idx="498">
                  <c:v>26.601704529721381</c:v>
                </c:pt>
                <c:pt idx="499">
                  <c:v>26.601704529721381</c:v>
                </c:pt>
                <c:pt idx="500">
                  <c:v>26.601704529721381</c:v>
                </c:pt>
                <c:pt idx="501">
                  <c:v>26.601704529721381</c:v>
                </c:pt>
                <c:pt idx="502">
                  <c:v>26.601704529721381</c:v>
                </c:pt>
                <c:pt idx="503">
                  <c:v>26.601704529721381</c:v>
                </c:pt>
                <c:pt idx="504">
                  <c:v>26.601704529721381</c:v>
                </c:pt>
                <c:pt idx="505">
                  <c:v>26.601704529721381</c:v>
                </c:pt>
                <c:pt idx="506">
                  <c:v>26.601704529721381</c:v>
                </c:pt>
                <c:pt idx="507">
                  <c:v>26.601704529721381</c:v>
                </c:pt>
                <c:pt idx="508">
                  <c:v>26.601704529721381</c:v>
                </c:pt>
                <c:pt idx="509">
                  <c:v>26.601704529721381</c:v>
                </c:pt>
                <c:pt idx="510">
                  <c:v>26.601704529721381</c:v>
                </c:pt>
                <c:pt idx="511">
                  <c:v>26.601704529721381</c:v>
                </c:pt>
                <c:pt idx="512">
                  <c:v>26.601704529721381</c:v>
                </c:pt>
                <c:pt idx="513">
                  <c:v>26.601704529721381</c:v>
                </c:pt>
                <c:pt idx="514">
                  <c:v>26.601704529721381</c:v>
                </c:pt>
                <c:pt idx="515">
                  <c:v>26.601704529721381</c:v>
                </c:pt>
                <c:pt idx="516">
                  <c:v>26.601704529721381</c:v>
                </c:pt>
                <c:pt idx="517">
                  <c:v>26.601704529721381</c:v>
                </c:pt>
                <c:pt idx="518">
                  <c:v>15.940810769841702</c:v>
                </c:pt>
                <c:pt idx="519">
                  <c:v>15.940810769841702</c:v>
                </c:pt>
                <c:pt idx="520">
                  <c:v>15.940810769841702</c:v>
                </c:pt>
                <c:pt idx="521">
                  <c:v>15.940810769841702</c:v>
                </c:pt>
                <c:pt idx="522">
                  <c:v>15.940810769841702</c:v>
                </c:pt>
                <c:pt idx="523">
                  <c:v>15.940810769841702</c:v>
                </c:pt>
                <c:pt idx="524">
                  <c:v>15.940810769841702</c:v>
                </c:pt>
                <c:pt idx="525">
                  <c:v>15.940810769841702</c:v>
                </c:pt>
                <c:pt idx="526">
                  <c:v>15.940810769841702</c:v>
                </c:pt>
                <c:pt idx="527">
                  <c:v>15.940810769841702</c:v>
                </c:pt>
                <c:pt idx="528">
                  <c:v>15.940810769841702</c:v>
                </c:pt>
                <c:pt idx="529">
                  <c:v>15.940810769841702</c:v>
                </c:pt>
                <c:pt idx="530">
                  <c:v>15.940810769841702</c:v>
                </c:pt>
                <c:pt idx="531">
                  <c:v>15.940810769841702</c:v>
                </c:pt>
                <c:pt idx="532">
                  <c:v>15.940810769841702</c:v>
                </c:pt>
                <c:pt idx="533">
                  <c:v>15.940810769841702</c:v>
                </c:pt>
                <c:pt idx="534">
                  <c:v>15.940810769841702</c:v>
                </c:pt>
                <c:pt idx="535">
                  <c:v>15.940810769841702</c:v>
                </c:pt>
                <c:pt idx="536">
                  <c:v>15.940810769841702</c:v>
                </c:pt>
                <c:pt idx="537">
                  <c:v>15.940810769841702</c:v>
                </c:pt>
                <c:pt idx="538">
                  <c:v>15.940810769841702</c:v>
                </c:pt>
                <c:pt idx="539">
                  <c:v>15.940810769841702</c:v>
                </c:pt>
                <c:pt idx="540">
                  <c:v>15.940810769841702</c:v>
                </c:pt>
                <c:pt idx="541">
                  <c:v>15.940810769841702</c:v>
                </c:pt>
                <c:pt idx="542">
                  <c:v>15.940810769841702</c:v>
                </c:pt>
                <c:pt idx="543">
                  <c:v>15.940810769841702</c:v>
                </c:pt>
                <c:pt idx="544">
                  <c:v>15.940810769841702</c:v>
                </c:pt>
                <c:pt idx="545">
                  <c:v>15.940810769841702</c:v>
                </c:pt>
                <c:pt idx="546">
                  <c:v>15.940810769841702</c:v>
                </c:pt>
                <c:pt idx="547">
                  <c:v>15.940810769841702</c:v>
                </c:pt>
                <c:pt idx="548">
                  <c:v>15.940810769841702</c:v>
                </c:pt>
                <c:pt idx="549">
                  <c:v>20.220393285105605</c:v>
                </c:pt>
                <c:pt idx="550">
                  <c:v>20.220393285105605</c:v>
                </c:pt>
                <c:pt idx="551">
                  <c:v>20.220393285105605</c:v>
                </c:pt>
                <c:pt idx="552">
                  <c:v>20.220393285105605</c:v>
                </c:pt>
                <c:pt idx="553">
                  <c:v>20.220393285105605</c:v>
                </c:pt>
                <c:pt idx="554">
                  <c:v>20.220393285105605</c:v>
                </c:pt>
                <c:pt idx="555">
                  <c:v>20.220393285105605</c:v>
                </c:pt>
                <c:pt idx="556">
                  <c:v>20.220393285105605</c:v>
                </c:pt>
                <c:pt idx="557">
                  <c:v>20.220393285105605</c:v>
                </c:pt>
                <c:pt idx="558">
                  <c:v>20.220393285105605</c:v>
                </c:pt>
                <c:pt idx="559">
                  <c:v>20.220393285105605</c:v>
                </c:pt>
                <c:pt idx="560">
                  <c:v>20.220393285105605</c:v>
                </c:pt>
                <c:pt idx="561">
                  <c:v>20.220393285105605</c:v>
                </c:pt>
                <c:pt idx="562">
                  <c:v>20.220393285105605</c:v>
                </c:pt>
                <c:pt idx="563">
                  <c:v>20.220393285105605</c:v>
                </c:pt>
                <c:pt idx="564">
                  <c:v>20.220393285105605</c:v>
                </c:pt>
                <c:pt idx="565">
                  <c:v>20.220393285105605</c:v>
                </c:pt>
                <c:pt idx="566">
                  <c:v>20.220393285105605</c:v>
                </c:pt>
                <c:pt idx="567">
                  <c:v>20.220393285105605</c:v>
                </c:pt>
                <c:pt idx="568">
                  <c:v>20.220393285105605</c:v>
                </c:pt>
                <c:pt idx="569">
                  <c:v>20.220393285105605</c:v>
                </c:pt>
                <c:pt idx="570">
                  <c:v>20.220393285105605</c:v>
                </c:pt>
                <c:pt idx="571">
                  <c:v>20.220393285105605</c:v>
                </c:pt>
                <c:pt idx="572">
                  <c:v>20.220393285105605</c:v>
                </c:pt>
                <c:pt idx="573">
                  <c:v>20.220393285105605</c:v>
                </c:pt>
                <c:pt idx="574">
                  <c:v>20.220393285105605</c:v>
                </c:pt>
                <c:pt idx="575">
                  <c:v>20.220393285105605</c:v>
                </c:pt>
                <c:pt idx="576">
                  <c:v>20.220393285105605</c:v>
                </c:pt>
                <c:pt idx="577">
                  <c:v>20.220393285105605</c:v>
                </c:pt>
                <c:pt idx="578">
                  <c:v>20.220393285105605</c:v>
                </c:pt>
                <c:pt idx="579">
                  <c:v>40.400211353346023</c:v>
                </c:pt>
                <c:pt idx="580">
                  <c:v>40.400211353346023</c:v>
                </c:pt>
                <c:pt idx="581">
                  <c:v>40.400211353346023</c:v>
                </c:pt>
                <c:pt idx="582">
                  <c:v>40.400211353346023</c:v>
                </c:pt>
                <c:pt idx="583">
                  <c:v>40.400211353346023</c:v>
                </c:pt>
                <c:pt idx="584">
                  <c:v>40.400211353346023</c:v>
                </c:pt>
                <c:pt idx="585">
                  <c:v>40.400211353346023</c:v>
                </c:pt>
                <c:pt idx="586">
                  <c:v>40.400211353346023</c:v>
                </c:pt>
                <c:pt idx="587">
                  <c:v>40.400211353346023</c:v>
                </c:pt>
                <c:pt idx="588">
                  <c:v>40.400211353346023</c:v>
                </c:pt>
                <c:pt idx="589">
                  <c:v>40.400211353346023</c:v>
                </c:pt>
                <c:pt idx="590">
                  <c:v>40.400211353346023</c:v>
                </c:pt>
                <c:pt idx="591">
                  <c:v>40.400211353346023</c:v>
                </c:pt>
                <c:pt idx="592">
                  <c:v>40.400211353346023</c:v>
                </c:pt>
                <c:pt idx="593">
                  <c:v>40.400211353346023</c:v>
                </c:pt>
                <c:pt idx="594">
                  <c:v>40.400211353346023</c:v>
                </c:pt>
                <c:pt idx="595">
                  <c:v>40.400211353346023</c:v>
                </c:pt>
                <c:pt idx="596">
                  <c:v>40.400211353346023</c:v>
                </c:pt>
                <c:pt idx="597">
                  <c:v>40.400211353346023</c:v>
                </c:pt>
                <c:pt idx="598">
                  <c:v>40.400211353346023</c:v>
                </c:pt>
                <c:pt idx="599">
                  <c:v>40.400211353346023</c:v>
                </c:pt>
                <c:pt idx="600">
                  <c:v>40.400211353346023</c:v>
                </c:pt>
                <c:pt idx="601">
                  <c:v>40.400211353346023</c:v>
                </c:pt>
                <c:pt idx="602">
                  <c:v>40.400211353346023</c:v>
                </c:pt>
                <c:pt idx="603">
                  <c:v>40.400211353346023</c:v>
                </c:pt>
                <c:pt idx="604">
                  <c:v>40.400211353346023</c:v>
                </c:pt>
                <c:pt idx="605">
                  <c:v>40.400211353346023</c:v>
                </c:pt>
                <c:pt idx="606">
                  <c:v>40.400211353346023</c:v>
                </c:pt>
                <c:pt idx="607">
                  <c:v>40.400211353346023</c:v>
                </c:pt>
                <c:pt idx="608">
                  <c:v>40.400211353346023</c:v>
                </c:pt>
                <c:pt idx="609">
                  <c:v>40.400211353346023</c:v>
                </c:pt>
                <c:pt idx="610">
                  <c:v>80.938788836501317</c:v>
                </c:pt>
                <c:pt idx="611">
                  <c:v>80.938788836501317</c:v>
                </c:pt>
                <c:pt idx="612">
                  <c:v>80.938788836501317</c:v>
                </c:pt>
                <c:pt idx="613">
                  <c:v>80.938788836501317</c:v>
                </c:pt>
                <c:pt idx="614">
                  <c:v>80.938788836501317</c:v>
                </c:pt>
                <c:pt idx="615">
                  <c:v>80.938788836501317</c:v>
                </c:pt>
                <c:pt idx="616">
                  <c:v>80.938788836501317</c:v>
                </c:pt>
                <c:pt idx="617">
                  <c:v>80.938788836501317</c:v>
                </c:pt>
                <c:pt idx="618">
                  <c:v>80.938788836501317</c:v>
                </c:pt>
                <c:pt idx="619">
                  <c:v>80.938788836501317</c:v>
                </c:pt>
                <c:pt idx="620">
                  <c:v>80.938788836501317</c:v>
                </c:pt>
                <c:pt idx="621">
                  <c:v>80.938788836501317</c:v>
                </c:pt>
                <c:pt idx="622">
                  <c:v>80.938788836501317</c:v>
                </c:pt>
                <c:pt idx="623">
                  <c:v>80.938788836501317</c:v>
                </c:pt>
                <c:pt idx="624">
                  <c:v>80.938788836501317</c:v>
                </c:pt>
                <c:pt idx="625">
                  <c:v>80.938788836501317</c:v>
                </c:pt>
                <c:pt idx="626">
                  <c:v>80.938788836501317</c:v>
                </c:pt>
                <c:pt idx="627">
                  <c:v>80.938788836501317</c:v>
                </c:pt>
                <c:pt idx="628">
                  <c:v>80.938788836501317</c:v>
                </c:pt>
                <c:pt idx="629">
                  <c:v>80.938788836501317</c:v>
                </c:pt>
                <c:pt idx="630">
                  <c:v>80.938788836501317</c:v>
                </c:pt>
                <c:pt idx="631">
                  <c:v>80.938788836501317</c:v>
                </c:pt>
                <c:pt idx="632">
                  <c:v>80.938788836501317</c:v>
                </c:pt>
                <c:pt idx="633">
                  <c:v>80.938788836501317</c:v>
                </c:pt>
                <c:pt idx="634">
                  <c:v>80.938788836501317</c:v>
                </c:pt>
                <c:pt idx="635">
                  <c:v>80.938788836501317</c:v>
                </c:pt>
                <c:pt idx="636">
                  <c:v>80.938788836501317</c:v>
                </c:pt>
                <c:pt idx="637">
                  <c:v>80.938788836501317</c:v>
                </c:pt>
                <c:pt idx="638">
                  <c:v>80.938788836501317</c:v>
                </c:pt>
                <c:pt idx="639">
                  <c:v>80.938788836501317</c:v>
                </c:pt>
                <c:pt idx="640">
                  <c:v>105.77564059458246</c:v>
                </c:pt>
                <c:pt idx="641">
                  <c:v>105.77564059458246</c:v>
                </c:pt>
                <c:pt idx="642">
                  <c:v>105.77564059458246</c:v>
                </c:pt>
                <c:pt idx="643">
                  <c:v>105.77564059458246</c:v>
                </c:pt>
                <c:pt idx="644">
                  <c:v>105.77564059458246</c:v>
                </c:pt>
                <c:pt idx="645">
                  <c:v>105.77564059458246</c:v>
                </c:pt>
                <c:pt idx="646">
                  <c:v>105.77564059458246</c:v>
                </c:pt>
                <c:pt idx="647">
                  <c:v>105.77564059458246</c:v>
                </c:pt>
                <c:pt idx="648">
                  <c:v>105.77564059458246</c:v>
                </c:pt>
                <c:pt idx="649">
                  <c:v>105.77564059458246</c:v>
                </c:pt>
                <c:pt idx="650">
                  <c:v>105.77564059458246</c:v>
                </c:pt>
                <c:pt idx="651">
                  <c:v>105.77564059458246</c:v>
                </c:pt>
                <c:pt idx="652">
                  <c:v>105.77564059458246</c:v>
                </c:pt>
                <c:pt idx="653">
                  <c:v>105.77564059458246</c:v>
                </c:pt>
                <c:pt idx="654">
                  <c:v>105.77564059458246</c:v>
                </c:pt>
                <c:pt idx="655">
                  <c:v>105.77564059458246</c:v>
                </c:pt>
                <c:pt idx="656">
                  <c:v>105.77564059458246</c:v>
                </c:pt>
                <c:pt idx="657">
                  <c:v>105.77564059458246</c:v>
                </c:pt>
                <c:pt idx="658">
                  <c:v>105.77564059458246</c:v>
                </c:pt>
                <c:pt idx="659">
                  <c:v>105.77564059458246</c:v>
                </c:pt>
                <c:pt idx="660">
                  <c:v>105.77564059458246</c:v>
                </c:pt>
                <c:pt idx="661">
                  <c:v>105.77564059458246</c:v>
                </c:pt>
                <c:pt idx="662">
                  <c:v>105.77564059458246</c:v>
                </c:pt>
                <c:pt idx="663">
                  <c:v>105.77564059458246</c:v>
                </c:pt>
                <c:pt idx="664">
                  <c:v>105.77564059458246</c:v>
                </c:pt>
                <c:pt idx="665">
                  <c:v>105.77564059458246</c:v>
                </c:pt>
                <c:pt idx="666">
                  <c:v>105.77564059458246</c:v>
                </c:pt>
                <c:pt idx="667">
                  <c:v>105.77564059458246</c:v>
                </c:pt>
                <c:pt idx="668">
                  <c:v>105.77564059458246</c:v>
                </c:pt>
                <c:pt idx="669">
                  <c:v>105.77564059458246</c:v>
                </c:pt>
                <c:pt idx="670">
                  <c:v>105.77564059458246</c:v>
                </c:pt>
                <c:pt idx="671">
                  <c:v>117.73333309338341</c:v>
                </c:pt>
                <c:pt idx="672">
                  <c:v>117.73333309338341</c:v>
                </c:pt>
                <c:pt idx="673">
                  <c:v>117.73333309338341</c:v>
                </c:pt>
                <c:pt idx="674">
                  <c:v>117.73333309338341</c:v>
                </c:pt>
                <c:pt idx="675">
                  <c:v>117.73333309338341</c:v>
                </c:pt>
                <c:pt idx="676">
                  <c:v>117.73333309338341</c:v>
                </c:pt>
                <c:pt idx="677">
                  <c:v>117.73333309338341</c:v>
                </c:pt>
                <c:pt idx="678">
                  <c:v>117.73333309338341</c:v>
                </c:pt>
                <c:pt idx="679">
                  <c:v>117.73333309338341</c:v>
                </c:pt>
                <c:pt idx="680">
                  <c:v>117.73333309338341</c:v>
                </c:pt>
                <c:pt idx="681">
                  <c:v>117.73333309338341</c:v>
                </c:pt>
                <c:pt idx="682">
                  <c:v>117.73333309338341</c:v>
                </c:pt>
                <c:pt idx="683">
                  <c:v>117.73333309338341</c:v>
                </c:pt>
                <c:pt idx="684">
                  <c:v>117.73333309338341</c:v>
                </c:pt>
                <c:pt idx="685">
                  <c:v>117.73333309338341</c:v>
                </c:pt>
                <c:pt idx="686">
                  <c:v>117.73333309338341</c:v>
                </c:pt>
                <c:pt idx="687">
                  <c:v>117.73333309338341</c:v>
                </c:pt>
                <c:pt idx="688">
                  <c:v>117.73333309338341</c:v>
                </c:pt>
                <c:pt idx="689">
                  <c:v>117.73333309338341</c:v>
                </c:pt>
                <c:pt idx="690">
                  <c:v>117.73333309338341</c:v>
                </c:pt>
                <c:pt idx="691">
                  <c:v>117.73333309338341</c:v>
                </c:pt>
                <c:pt idx="692">
                  <c:v>117.73333309338341</c:v>
                </c:pt>
                <c:pt idx="693">
                  <c:v>117.73333309338341</c:v>
                </c:pt>
                <c:pt idx="694">
                  <c:v>117.73333309338341</c:v>
                </c:pt>
                <c:pt idx="695">
                  <c:v>117.73333309338341</c:v>
                </c:pt>
                <c:pt idx="696">
                  <c:v>117.73333309338341</c:v>
                </c:pt>
                <c:pt idx="697">
                  <c:v>117.73333309338341</c:v>
                </c:pt>
                <c:pt idx="698">
                  <c:v>117.73333309338341</c:v>
                </c:pt>
                <c:pt idx="699">
                  <c:v>117.73333309338341</c:v>
                </c:pt>
                <c:pt idx="700">
                  <c:v>117.73333309338341</c:v>
                </c:pt>
                <c:pt idx="701">
                  <c:v>117.73333309338341</c:v>
                </c:pt>
                <c:pt idx="702">
                  <c:v>123.24675909882176</c:v>
                </c:pt>
                <c:pt idx="703">
                  <c:v>123.24675909882176</c:v>
                </c:pt>
                <c:pt idx="704">
                  <c:v>123.24675909882176</c:v>
                </c:pt>
                <c:pt idx="705">
                  <c:v>123.24675909882176</c:v>
                </c:pt>
                <c:pt idx="706">
                  <c:v>123.24675909882176</c:v>
                </c:pt>
                <c:pt idx="707">
                  <c:v>123.24675909882176</c:v>
                </c:pt>
                <c:pt idx="708">
                  <c:v>123.24675909882176</c:v>
                </c:pt>
                <c:pt idx="709">
                  <c:v>123.24675909882176</c:v>
                </c:pt>
                <c:pt idx="710">
                  <c:v>123.24675909882176</c:v>
                </c:pt>
                <c:pt idx="711">
                  <c:v>123.24675909882176</c:v>
                </c:pt>
                <c:pt idx="712">
                  <c:v>123.24675909882176</c:v>
                </c:pt>
                <c:pt idx="713">
                  <c:v>123.24675909882176</c:v>
                </c:pt>
                <c:pt idx="714">
                  <c:v>123.24675909882176</c:v>
                </c:pt>
                <c:pt idx="715">
                  <c:v>123.24675909882176</c:v>
                </c:pt>
                <c:pt idx="716">
                  <c:v>123.24675909882176</c:v>
                </c:pt>
                <c:pt idx="717">
                  <c:v>123.24675909882176</c:v>
                </c:pt>
                <c:pt idx="718">
                  <c:v>123.24675909882176</c:v>
                </c:pt>
                <c:pt idx="719">
                  <c:v>123.24675909882176</c:v>
                </c:pt>
                <c:pt idx="720">
                  <c:v>123.24675909882176</c:v>
                </c:pt>
                <c:pt idx="721">
                  <c:v>123.24675909882176</c:v>
                </c:pt>
                <c:pt idx="722">
                  <c:v>123.24675909882176</c:v>
                </c:pt>
                <c:pt idx="723">
                  <c:v>123.24675909882176</c:v>
                </c:pt>
                <c:pt idx="724">
                  <c:v>123.24675909882176</c:v>
                </c:pt>
                <c:pt idx="725">
                  <c:v>123.24675909882176</c:v>
                </c:pt>
                <c:pt idx="726">
                  <c:v>123.24675909882176</c:v>
                </c:pt>
                <c:pt idx="727">
                  <c:v>123.24675909882176</c:v>
                </c:pt>
                <c:pt idx="728">
                  <c:v>123.24675909882176</c:v>
                </c:pt>
                <c:pt idx="729">
                  <c:v>123.24675909882176</c:v>
                </c:pt>
                <c:pt idx="730">
                  <c:v>123.24675909882176</c:v>
                </c:pt>
                <c:pt idx="731">
                  <c:v>124.20934941128793</c:v>
                </c:pt>
                <c:pt idx="732">
                  <c:v>124.20934941128793</c:v>
                </c:pt>
                <c:pt idx="733">
                  <c:v>124.20934941128793</c:v>
                </c:pt>
                <c:pt idx="734">
                  <c:v>124.20934941128793</c:v>
                </c:pt>
                <c:pt idx="735">
                  <c:v>124.20934941128793</c:v>
                </c:pt>
                <c:pt idx="736">
                  <c:v>124.20934941128793</c:v>
                </c:pt>
                <c:pt idx="737">
                  <c:v>124.20934941128793</c:v>
                </c:pt>
                <c:pt idx="738">
                  <c:v>124.20934941128793</c:v>
                </c:pt>
                <c:pt idx="739">
                  <c:v>124.20934941128793</c:v>
                </c:pt>
                <c:pt idx="740">
                  <c:v>124.20934941128793</c:v>
                </c:pt>
                <c:pt idx="741">
                  <c:v>124.20934941128793</c:v>
                </c:pt>
                <c:pt idx="742">
                  <c:v>124.20934941128793</c:v>
                </c:pt>
                <c:pt idx="743">
                  <c:v>124.20934941128793</c:v>
                </c:pt>
                <c:pt idx="744">
                  <c:v>124.20934941128793</c:v>
                </c:pt>
                <c:pt idx="745">
                  <c:v>124.20934941128793</c:v>
                </c:pt>
                <c:pt idx="746">
                  <c:v>124.20934941128793</c:v>
                </c:pt>
                <c:pt idx="747">
                  <c:v>124.20934941128793</c:v>
                </c:pt>
                <c:pt idx="748">
                  <c:v>124.20934941128793</c:v>
                </c:pt>
                <c:pt idx="749">
                  <c:v>124.20934941128793</c:v>
                </c:pt>
                <c:pt idx="750">
                  <c:v>124.20934941128793</c:v>
                </c:pt>
                <c:pt idx="751">
                  <c:v>124.20934941128793</c:v>
                </c:pt>
                <c:pt idx="752">
                  <c:v>124.20934941128793</c:v>
                </c:pt>
                <c:pt idx="753">
                  <c:v>124.20934941128793</c:v>
                </c:pt>
                <c:pt idx="754">
                  <c:v>124.20934941128793</c:v>
                </c:pt>
                <c:pt idx="755">
                  <c:v>124.20934941128793</c:v>
                </c:pt>
                <c:pt idx="756">
                  <c:v>124.20934941128793</c:v>
                </c:pt>
                <c:pt idx="757">
                  <c:v>124.20934941128793</c:v>
                </c:pt>
                <c:pt idx="758">
                  <c:v>124.20934941128793</c:v>
                </c:pt>
                <c:pt idx="759">
                  <c:v>124.20934941128793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99DD-4A21-81C4-CF0DABA6DFBB}"/>
            </c:ext>
          </c:extLst>
        </c:ser>
        <c:ser>
          <c:idx val="7"/>
          <c:order val="2"/>
          <c:spPr>
            <a:solidFill>
              <a:srgbClr val="F5F5F5"/>
            </a:solidFill>
            <a:ln w="25400">
              <a:noFill/>
            </a:ln>
          </c:spPr>
          <c:cat>
            <c:multiLvlStrRef>
              <c:f>Dat_02!$H$3:$I$762</c:f>
              <c:multiLvlStrCache>
                <c:ptCount val="746"/>
                <c:lvl>
                  <c:pt idx="14">
                    <c:v>M</c:v>
                  </c:pt>
                  <c:pt idx="45">
                    <c:v>A</c:v>
                  </c:pt>
                  <c:pt idx="75">
                    <c:v>M</c:v>
                  </c:pt>
                  <c:pt idx="106">
                    <c:v>J</c:v>
                  </c:pt>
                  <c:pt idx="136">
                    <c:v>J</c:v>
                  </c:pt>
                  <c:pt idx="167">
                    <c:v>A</c:v>
                  </c:pt>
                  <c:pt idx="198">
                    <c:v>S</c:v>
                  </c:pt>
                  <c:pt idx="228">
                    <c:v>O</c:v>
                  </c:pt>
                  <c:pt idx="259">
                    <c:v>N</c:v>
                  </c:pt>
                  <c:pt idx="289">
                    <c:v>D</c:v>
                  </c:pt>
                  <c:pt idx="320">
                    <c:v>E</c:v>
                  </c:pt>
                  <c:pt idx="351">
                    <c:v>F</c:v>
                  </c:pt>
                  <c:pt idx="379">
                    <c:v>M</c:v>
                  </c:pt>
                  <c:pt idx="410">
                    <c:v>A</c:v>
                  </c:pt>
                  <c:pt idx="440">
                    <c:v>M</c:v>
                  </c:pt>
                  <c:pt idx="471">
                    <c:v>J</c:v>
                  </c:pt>
                  <c:pt idx="501">
                    <c:v>J</c:v>
                  </c:pt>
                  <c:pt idx="532">
                    <c:v>A</c:v>
                  </c:pt>
                  <c:pt idx="563">
                    <c:v>S</c:v>
                  </c:pt>
                  <c:pt idx="593">
                    <c:v>O</c:v>
                  </c:pt>
                  <c:pt idx="624">
                    <c:v>N</c:v>
                  </c:pt>
                  <c:pt idx="654">
                    <c:v>D</c:v>
                  </c:pt>
                  <c:pt idx="685">
                    <c:v>E</c:v>
                  </c:pt>
                  <c:pt idx="716">
                    <c:v>F</c:v>
                  </c:pt>
                  <c:pt idx="745">
                    <c:v>M</c:v>
                  </c:pt>
                </c:lvl>
                <c:lvl>
                  <c:pt idx="0">
                    <c:v>2022 </c:v>
                  </c:pt>
                  <c:pt idx="306">
                    <c:v>2023 </c:v>
                  </c:pt>
                  <c:pt idx="671">
                    <c:v>2024 </c:v>
                  </c:pt>
                </c:lvl>
              </c:multiLvlStrCache>
            </c:multiLvlStrRef>
          </c:cat>
          <c:val>
            <c:numRef>
              <c:f>Dat_02!$E$3:$E$762</c:f>
              <c:numCache>
                <c:formatCode>#,##0.0</c:formatCode>
                <c:ptCount val="760"/>
                <c:pt idx="0">
                  <c:v>31.391719412993378</c:v>
                </c:pt>
                <c:pt idx="1">
                  <c:v>40.784673179673312</c:v>
                </c:pt>
                <c:pt idx="2">
                  <c:v>49.315927419673315</c:v>
                </c:pt>
                <c:pt idx="3">
                  <c:v>39.349748935674242</c:v>
                </c:pt>
                <c:pt idx="4">
                  <c:v>48.881724543674245</c:v>
                </c:pt>
                <c:pt idx="5">
                  <c:v>45.742094035673311</c:v>
                </c:pt>
                <c:pt idx="6">
                  <c:v>60.618987323673309</c:v>
                </c:pt>
                <c:pt idx="7">
                  <c:v>36.964099775673311</c:v>
                </c:pt>
                <c:pt idx="8">
                  <c:v>62.300421105205558</c:v>
                </c:pt>
                <c:pt idx="9">
                  <c:v>54.79258792720556</c:v>
                </c:pt>
                <c:pt idx="10">
                  <c:v>60.629858955205556</c:v>
                </c:pt>
                <c:pt idx="11">
                  <c:v>59.165812285206492</c:v>
                </c:pt>
                <c:pt idx="12">
                  <c:v>60.547653731206488</c:v>
                </c:pt>
                <c:pt idx="13">
                  <c:v>63.689207503205559</c:v>
                </c:pt>
                <c:pt idx="14">
                  <c:v>88.789314825206489</c:v>
                </c:pt>
                <c:pt idx="15">
                  <c:v>106.00299378317858</c:v>
                </c:pt>
                <c:pt idx="16">
                  <c:v>76.527726677176716</c:v>
                </c:pt>
                <c:pt idx="17">
                  <c:v>83.819214599177656</c:v>
                </c:pt>
                <c:pt idx="18">
                  <c:v>73.140999351177655</c:v>
                </c:pt>
                <c:pt idx="19">
                  <c:v>63.440759083177653</c:v>
                </c:pt>
                <c:pt idx="20">
                  <c:v>64.563472147177663</c:v>
                </c:pt>
                <c:pt idx="21">
                  <c:v>71.529757761177663</c:v>
                </c:pt>
                <c:pt idx="22">
                  <c:v>96.653541922288952</c:v>
                </c:pt>
                <c:pt idx="23">
                  <c:v>108.81718818828989</c:v>
                </c:pt>
                <c:pt idx="24">
                  <c:v>101.39951637829083</c:v>
                </c:pt>
                <c:pt idx="25">
                  <c:v>97.732828272288955</c:v>
                </c:pt>
                <c:pt idx="26">
                  <c:v>77.183881546289896</c:v>
                </c:pt>
                <c:pt idx="27">
                  <c:v>88.084318582288944</c:v>
                </c:pt>
                <c:pt idx="28">
                  <c:v>100.24024737228989</c:v>
                </c:pt>
                <c:pt idx="29">
                  <c:v>77.083825651458611</c:v>
                </c:pt>
                <c:pt idx="30">
                  <c:v>78.783568207456753</c:v>
                </c:pt>
                <c:pt idx="31">
                  <c:v>79.621652601457697</c:v>
                </c:pt>
                <c:pt idx="32">
                  <c:v>63.652071265456755</c:v>
                </c:pt>
                <c:pt idx="33">
                  <c:v>52.926250857457688</c:v>
                </c:pt>
                <c:pt idx="34">
                  <c:v>72.057024007457684</c:v>
                </c:pt>
                <c:pt idx="35">
                  <c:v>96.13378803145676</c:v>
                </c:pt>
                <c:pt idx="36">
                  <c:v>76.231480753457234</c:v>
                </c:pt>
                <c:pt idx="37">
                  <c:v>56.790206899457232</c:v>
                </c:pt>
                <c:pt idx="38">
                  <c:v>53.223992833460024</c:v>
                </c:pt>
                <c:pt idx="39">
                  <c:v>70.652818067457233</c:v>
                </c:pt>
                <c:pt idx="40">
                  <c:v>40.918056189456301</c:v>
                </c:pt>
                <c:pt idx="41">
                  <c:v>46.868316089458169</c:v>
                </c:pt>
                <c:pt idx="42">
                  <c:v>73.202432325457238</c:v>
                </c:pt>
                <c:pt idx="43">
                  <c:v>97.029967481449177</c:v>
                </c:pt>
                <c:pt idx="44">
                  <c:v>81.191819453449156</c:v>
                </c:pt>
                <c:pt idx="45">
                  <c:v>74.553324233448251</c:v>
                </c:pt>
                <c:pt idx="46">
                  <c:v>65.376347637449172</c:v>
                </c:pt>
                <c:pt idx="47">
                  <c:v>72.665358119449166</c:v>
                </c:pt>
                <c:pt idx="48">
                  <c:v>79.34810926944823</c:v>
                </c:pt>
                <c:pt idx="49">
                  <c:v>82.780507059450102</c:v>
                </c:pt>
                <c:pt idx="50">
                  <c:v>91.179375421669945</c:v>
                </c:pt>
                <c:pt idx="51">
                  <c:v>107.24645708966996</c:v>
                </c:pt>
                <c:pt idx="52">
                  <c:v>109.59587319367088</c:v>
                </c:pt>
                <c:pt idx="53">
                  <c:v>79.516294011670894</c:v>
                </c:pt>
                <c:pt idx="54">
                  <c:v>91.745059781669966</c:v>
                </c:pt>
                <c:pt idx="55">
                  <c:v>101.44792483766902</c:v>
                </c:pt>
                <c:pt idx="56">
                  <c:v>104.48264529367088</c:v>
                </c:pt>
                <c:pt idx="57">
                  <c:v>99.326831420552693</c:v>
                </c:pt>
                <c:pt idx="58">
                  <c:v>114.03566418455084</c:v>
                </c:pt>
                <c:pt idx="59">
                  <c:v>117.81579688055271</c:v>
                </c:pt>
                <c:pt idx="60">
                  <c:v>104.73164693055364</c:v>
                </c:pt>
                <c:pt idx="61">
                  <c:v>83.156359126549916</c:v>
                </c:pt>
                <c:pt idx="62">
                  <c:v>91.21433605255362</c:v>
                </c:pt>
                <c:pt idx="63">
                  <c:v>99.174715760964361</c:v>
                </c:pt>
                <c:pt idx="64">
                  <c:v>99.174715760964361</c:v>
                </c:pt>
                <c:pt idx="65">
                  <c:v>86.8020471523065</c:v>
                </c:pt>
                <c:pt idx="66">
                  <c:v>69.103522436307443</c:v>
                </c:pt>
                <c:pt idx="67">
                  <c:v>72.622806806305576</c:v>
                </c:pt>
                <c:pt idx="68">
                  <c:v>64.835992066308364</c:v>
                </c:pt>
                <c:pt idx="69">
                  <c:v>79.258509340306517</c:v>
                </c:pt>
                <c:pt idx="70">
                  <c:v>83.370523604307436</c:v>
                </c:pt>
                <c:pt idx="71">
                  <c:v>64.487095028005015</c:v>
                </c:pt>
                <c:pt idx="72">
                  <c:v>54.860505084005958</c:v>
                </c:pt>
                <c:pt idx="73">
                  <c:v>61.607467572005014</c:v>
                </c:pt>
                <c:pt idx="74">
                  <c:v>40.143651944004084</c:v>
                </c:pt>
                <c:pt idx="75">
                  <c:v>39.209505080005947</c:v>
                </c:pt>
                <c:pt idx="76">
                  <c:v>49.212794322006879</c:v>
                </c:pt>
                <c:pt idx="77">
                  <c:v>51.786156812005011</c:v>
                </c:pt>
                <c:pt idx="78">
                  <c:v>61.161129312259817</c:v>
                </c:pt>
                <c:pt idx="79">
                  <c:v>65.167090836259817</c:v>
                </c:pt>
                <c:pt idx="80">
                  <c:v>62.089040656260742</c:v>
                </c:pt>
                <c:pt idx="81">
                  <c:v>57.760507064259812</c:v>
                </c:pt>
                <c:pt idx="82">
                  <c:v>52.668547350260752</c:v>
                </c:pt>
                <c:pt idx="83">
                  <c:v>62.746090904259816</c:v>
                </c:pt>
                <c:pt idx="84">
                  <c:v>55.796363632261681</c:v>
                </c:pt>
                <c:pt idx="85">
                  <c:v>37.202491168886539</c:v>
                </c:pt>
                <c:pt idx="86">
                  <c:v>32.887609544888399</c:v>
                </c:pt>
                <c:pt idx="87">
                  <c:v>34.880052270888399</c:v>
                </c:pt>
                <c:pt idx="88">
                  <c:v>41.353239382888404</c:v>
                </c:pt>
                <c:pt idx="89">
                  <c:v>28.317300492888396</c:v>
                </c:pt>
                <c:pt idx="90">
                  <c:v>38.824673940888403</c:v>
                </c:pt>
                <c:pt idx="91">
                  <c:v>48.850169006887469</c:v>
                </c:pt>
                <c:pt idx="92">
                  <c:v>41.207367929528253</c:v>
                </c:pt>
                <c:pt idx="93">
                  <c:v>52.536363009527328</c:v>
                </c:pt>
                <c:pt idx="94">
                  <c:v>46.10201554552733</c:v>
                </c:pt>
                <c:pt idx="95">
                  <c:v>32.200516235526393</c:v>
                </c:pt>
                <c:pt idx="96">
                  <c:v>24.11654776152826</c:v>
                </c:pt>
                <c:pt idx="97">
                  <c:v>30.488533945529191</c:v>
                </c:pt>
                <c:pt idx="98">
                  <c:v>29.348419123526394</c:v>
                </c:pt>
                <c:pt idx="99">
                  <c:v>22.97658207775229</c:v>
                </c:pt>
                <c:pt idx="100">
                  <c:v>25.693151507752294</c:v>
                </c:pt>
                <c:pt idx="101">
                  <c:v>30.172250453753222</c:v>
                </c:pt>
                <c:pt idx="102">
                  <c:v>26.469429901751361</c:v>
                </c:pt>
                <c:pt idx="103">
                  <c:v>19.406487079751358</c:v>
                </c:pt>
                <c:pt idx="104">
                  <c:v>46.200025131753222</c:v>
                </c:pt>
                <c:pt idx="105">
                  <c:v>42.439020761752289</c:v>
                </c:pt>
                <c:pt idx="106">
                  <c:v>29.932358020219034</c:v>
                </c:pt>
                <c:pt idx="107">
                  <c:v>5.7832736262199687</c:v>
                </c:pt>
                <c:pt idx="108">
                  <c:v>1.2738564382199693</c:v>
                </c:pt>
                <c:pt idx="109">
                  <c:v>10.591816084219973</c:v>
                </c:pt>
                <c:pt idx="110">
                  <c:v>1.5330402962209009</c:v>
                </c:pt>
                <c:pt idx="111">
                  <c:v>4.6798778182190359</c:v>
                </c:pt>
                <c:pt idx="112">
                  <c:v>7.928798956219973</c:v>
                </c:pt>
                <c:pt idx="113">
                  <c:v>19.59688801024253</c:v>
                </c:pt>
                <c:pt idx="114">
                  <c:v>11.886811138243461</c:v>
                </c:pt>
                <c:pt idx="115">
                  <c:v>13.637115506245326</c:v>
                </c:pt>
                <c:pt idx="116">
                  <c:v>14.103308344244393</c:v>
                </c:pt>
                <c:pt idx="117">
                  <c:v>14.828685156243465</c:v>
                </c:pt>
                <c:pt idx="118">
                  <c:v>16.303281046242528</c:v>
                </c:pt>
                <c:pt idx="119">
                  <c:v>21.96886816424346</c:v>
                </c:pt>
                <c:pt idx="120">
                  <c:v>9.211150769911189</c:v>
                </c:pt>
                <c:pt idx="121">
                  <c:v>14.028541505911191</c:v>
                </c:pt>
                <c:pt idx="122">
                  <c:v>18.326979493911189</c:v>
                </c:pt>
                <c:pt idx="123">
                  <c:v>13.377881027910261</c:v>
                </c:pt>
                <c:pt idx="124">
                  <c:v>10.92700495791026</c:v>
                </c:pt>
                <c:pt idx="125">
                  <c:v>12.704216783910262</c:v>
                </c:pt>
                <c:pt idx="126">
                  <c:v>9.9428198619102588</c:v>
                </c:pt>
                <c:pt idx="127">
                  <c:v>11.325503423679002</c:v>
                </c:pt>
                <c:pt idx="128">
                  <c:v>9.0330230036817962</c:v>
                </c:pt>
                <c:pt idx="129">
                  <c:v>9.7995151336799324</c:v>
                </c:pt>
                <c:pt idx="130">
                  <c:v>10.655314937679002</c:v>
                </c:pt>
                <c:pt idx="131">
                  <c:v>6.8382933716789998</c:v>
                </c:pt>
                <c:pt idx="132">
                  <c:v>9.1660574676808615</c:v>
                </c:pt>
                <c:pt idx="133">
                  <c:v>8.5802800636789982</c:v>
                </c:pt>
                <c:pt idx="134">
                  <c:v>4.8299751573210594</c:v>
                </c:pt>
                <c:pt idx="135">
                  <c:v>6.5488495373191977</c:v>
                </c:pt>
                <c:pt idx="136">
                  <c:v>1.5232129653201263</c:v>
                </c:pt>
                <c:pt idx="137">
                  <c:v>1.2849200733191937</c:v>
                </c:pt>
                <c:pt idx="138">
                  <c:v>1.4496847053201272</c:v>
                </c:pt>
                <c:pt idx="139">
                  <c:v>0.77954121532105636</c:v>
                </c:pt>
                <c:pt idx="140">
                  <c:v>1.173243831319196</c:v>
                </c:pt>
                <c:pt idx="141">
                  <c:v>20.147601515821357</c:v>
                </c:pt>
                <c:pt idx="142">
                  <c:v>2.6018812478222864</c:v>
                </c:pt>
                <c:pt idx="143">
                  <c:v>9.799058977821355</c:v>
                </c:pt>
                <c:pt idx="144">
                  <c:v>1.8927773678213562</c:v>
                </c:pt>
                <c:pt idx="145">
                  <c:v>6.3751965378232196</c:v>
                </c:pt>
                <c:pt idx="146">
                  <c:v>2.6759367778213563</c:v>
                </c:pt>
                <c:pt idx="147">
                  <c:v>4.0206456878222889</c:v>
                </c:pt>
                <c:pt idx="148">
                  <c:v>2.3778563500869931</c:v>
                </c:pt>
                <c:pt idx="149">
                  <c:v>3.0707219940860671</c:v>
                </c:pt>
                <c:pt idx="150">
                  <c:v>8.0482750000860612</c:v>
                </c:pt>
                <c:pt idx="151">
                  <c:v>1.4271286360860649</c:v>
                </c:pt>
                <c:pt idx="152">
                  <c:v>1.0757615200851323</c:v>
                </c:pt>
                <c:pt idx="153">
                  <c:v>3.5158488080869938</c:v>
                </c:pt>
                <c:pt idx="154">
                  <c:v>5.5261776980869985</c:v>
                </c:pt>
                <c:pt idx="155">
                  <c:v>1.0188386552845767</c:v>
                </c:pt>
                <c:pt idx="156">
                  <c:v>1.4412675172845775</c:v>
                </c:pt>
                <c:pt idx="157">
                  <c:v>1.3329215492845761</c:v>
                </c:pt>
                <c:pt idx="158">
                  <c:v>0.83663648328457563</c:v>
                </c:pt>
                <c:pt idx="159">
                  <c:v>0.67314303928457597</c:v>
                </c:pt>
                <c:pt idx="160">
                  <c:v>1.3498702392864397</c:v>
                </c:pt>
                <c:pt idx="161">
                  <c:v>0.70941754728457818</c:v>
                </c:pt>
                <c:pt idx="162">
                  <c:v>4.9430723089984605</c:v>
                </c:pt>
                <c:pt idx="163">
                  <c:v>1.7937095069993885</c:v>
                </c:pt>
                <c:pt idx="164">
                  <c:v>1.2085088429984607</c:v>
                </c:pt>
                <c:pt idx="165">
                  <c:v>2.0580843149993888</c:v>
                </c:pt>
                <c:pt idx="166">
                  <c:v>1.3415646249993878</c:v>
                </c:pt>
                <c:pt idx="167">
                  <c:v>1.4799389209993896</c:v>
                </c:pt>
                <c:pt idx="168">
                  <c:v>1.9507038109975257</c:v>
                </c:pt>
                <c:pt idx="169">
                  <c:v>2.0448352808154886</c:v>
                </c:pt>
                <c:pt idx="170">
                  <c:v>4.3118216648145573</c:v>
                </c:pt>
                <c:pt idx="171">
                  <c:v>12.737456120815484</c:v>
                </c:pt>
                <c:pt idx="172">
                  <c:v>8.6795645528154886</c:v>
                </c:pt>
                <c:pt idx="173">
                  <c:v>0.63787914281455593</c:v>
                </c:pt>
                <c:pt idx="174">
                  <c:v>3.61111934681642</c:v>
                </c:pt>
                <c:pt idx="175">
                  <c:v>14.42095846081456</c:v>
                </c:pt>
                <c:pt idx="176">
                  <c:v>8.6421926085703387</c:v>
                </c:pt>
                <c:pt idx="177">
                  <c:v>1.5996729785712704</c:v>
                </c:pt>
                <c:pt idx="178">
                  <c:v>0.86446228857127061</c:v>
                </c:pt>
                <c:pt idx="179">
                  <c:v>6.8627261985703409</c:v>
                </c:pt>
                <c:pt idx="180">
                  <c:v>1.2790894625712717</c:v>
                </c:pt>
                <c:pt idx="181">
                  <c:v>7.5367625565703422</c:v>
                </c:pt>
                <c:pt idx="182">
                  <c:v>16.581237981614105</c:v>
                </c:pt>
                <c:pt idx="183">
                  <c:v>8.7315964332490115</c:v>
                </c:pt>
                <c:pt idx="184">
                  <c:v>3.7828873652471482</c:v>
                </c:pt>
                <c:pt idx="185">
                  <c:v>0.90883960924807983</c:v>
                </c:pt>
                <c:pt idx="186">
                  <c:v>1.0499202512480805</c:v>
                </c:pt>
                <c:pt idx="187">
                  <c:v>0.80755490724715129</c:v>
                </c:pt>
                <c:pt idx="188">
                  <c:v>1.2218452492471479</c:v>
                </c:pt>
                <c:pt idx="189">
                  <c:v>1.0894917012471488</c:v>
                </c:pt>
                <c:pt idx="190">
                  <c:v>2.8869032931076291</c:v>
                </c:pt>
                <c:pt idx="191">
                  <c:v>14.760340259105767</c:v>
                </c:pt>
                <c:pt idx="192">
                  <c:v>21.033168040284398</c:v>
                </c:pt>
                <c:pt idx="193">
                  <c:v>13.339951817105764</c:v>
                </c:pt>
                <c:pt idx="194">
                  <c:v>3.9322403651076274</c:v>
                </c:pt>
                <c:pt idx="195">
                  <c:v>5.1425005751057649</c:v>
                </c:pt>
                <c:pt idx="196">
                  <c:v>15.42366311510763</c:v>
                </c:pt>
                <c:pt idx="197">
                  <c:v>12.349760605496158</c:v>
                </c:pt>
                <c:pt idx="198">
                  <c:v>21.033168040284398</c:v>
                </c:pt>
                <c:pt idx="199">
                  <c:v>21.033168040284398</c:v>
                </c:pt>
                <c:pt idx="200">
                  <c:v>16.074023705495222</c:v>
                </c:pt>
                <c:pt idx="201">
                  <c:v>13.853308805496155</c:v>
                </c:pt>
                <c:pt idx="202">
                  <c:v>21.033168040284398</c:v>
                </c:pt>
                <c:pt idx="203">
                  <c:v>21.033168040284398</c:v>
                </c:pt>
                <c:pt idx="204">
                  <c:v>18.91056866332821</c:v>
                </c:pt>
                <c:pt idx="205">
                  <c:v>15.011955983329143</c:v>
                </c:pt>
                <c:pt idx="206">
                  <c:v>15.385728020327274</c:v>
                </c:pt>
                <c:pt idx="207">
                  <c:v>7.3847436263291382</c:v>
                </c:pt>
                <c:pt idx="208">
                  <c:v>1.3258039603282086</c:v>
                </c:pt>
                <c:pt idx="209">
                  <c:v>1.1169635263272795</c:v>
                </c:pt>
                <c:pt idx="210">
                  <c:v>0.78786596332913905</c:v>
                </c:pt>
                <c:pt idx="211">
                  <c:v>0.62199482457556587</c:v>
                </c:pt>
                <c:pt idx="212">
                  <c:v>1.5908444845746343</c:v>
                </c:pt>
                <c:pt idx="213">
                  <c:v>15.933703672575568</c:v>
                </c:pt>
                <c:pt idx="214">
                  <c:v>11.227034907575566</c:v>
                </c:pt>
                <c:pt idx="215">
                  <c:v>7.9707422325755672</c:v>
                </c:pt>
                <c:pt idx="216">
                  <c:v>20.891594586575568</c:v>
                </c:pt>
                <c:pt idx="217">
                  <c:v>16.433540057575566</c:v>
                </c:pt>
                <c:pt idx="218">
                  <c:v>8.6749098880381279</c:v>
                </c:pt>
                <c:pt idx="219">
                  <c:v>9.3689522890390577</c:v>
                </c:pt>
                <c:pt idx="220">
                  <c:v>13.773585029038127</c:v>
                </c:pt>
                <c:pt idx="221">
                  <c:v>5.7188718090381263</c:v>
                </c:pt>
                <c:pt idx="222">
                  <c:v>4.7329473290381268</c:v>
                </c:pt>
                <c:pt idx="223">
                  <c:v>14.908775329039058</c:v>
                </c:pt>
                <c:pt idx="224">
                  <c:v>11.686731429039057</c:v>
                </c:pt>
                <c:pt idx="225">
                  <c:v>8.0333308843297484</c:v>
                </c:pt>
                <c:pt idx="226">
                  <c:v>13.818515744328819</c:v>
                </c:pt>
                <c:pt idx="227">
                  <c:v>13.067054888329748</c:v>
                </c:pt>
                <c:pt idx="228">
                  <c:v>8.1490059843288183</c:v>
                </c:pt>
                <c:pt idx="229">
                  <c:v>9.3695336443297492</c:v>
                </c:pt>
                <c:pt idx="230">
                  <c:v>13.885516124329747</c:v>
                </c:pt>
                <c:pt idx="231">
                  <c:v>13.979799504328817</c:v>
                </c:pt>
                <c:pt idx="232">
                  <c:v>36.042525623746585</c:v>
                </c:pt>
                <c:pt idx="233">
                  <c:v>41.704179443866899</c:v>
                </c:pt>
                <c:pt idx="234">
                  <c:v>41.704179443866899</c:v>
                </c:pt>
                <c:pt idx="235">
                  <c:v>41.704179443866899</c:v>
                </c:pt>
                <c:pt idx="236">
                  <c:v>41.704179443866899</c:v>
                </c:pt>
                <c:pt idx="237">
                  <c:v>41.704179443866899</c:v>
                </c:pt>
                <c:pt idx="238">
                  <c:v>41.704179443866899</c:v>
                </c:pt>
                <c:pt idx="239">
                  <c:v>41.704179443866899</c:v>
                </c:pt>
                <c:pt idx="240">
                  <c:v>41.704179443866899</c:v>
                </c:pt>
                <c:pt idx="241">
                  <c:v>41.704179443866899</c:v>
                </c:pt>
                <c:pt idx="242">
                  <c:v>41.704179443866899</c:v>
                </c:pt>
                <c:pt idx="243">
                  <c:v>41.704179443866899</c:v>
                </c:pt>
                <c:pt idx="244">
                  <c:v>41.704179443866899</c:v>
                </c:pt>
                <c:pt idx="245">
                  <c:v>55.130181238325342</c:v>
                </c:pt>
                <c:pt idx="246">
                  <c:v>48.506123542046467</c:v>
                </c:pt>
                <c:pt idx="247">
                  <c:v>49.718320378047402</c:v>
                </c:pt>
                <c:pt idx="248">
                  <c:v>46.650063326046464</c:v>
                </c:pt>
                <c:pt idx="249">
                  <c:v>40.67551791804739</c:v>
                </c:pt>
                <c:pt idx="250">
                  <c:v>40.382972262046458</c:v>
                </c:pt>
                <c:pt idx="251">
                  <c:v>48.894716262047396</c:v>
                </c:pt>
                <c:pt idx="252">
                  <c:v>44.898839198047398</c:v>
                </c:pt>
                <c:pt idx="253">
                  <c:v>40.248126950567581</c:v>
                </c:pt>
                <c:pt idx="254">
                  <c:v>42.249594190569447</c:v>
                </c:pt>
                <c:pt idx="255">
                  <c:v>35.319905954567588</c:v>
                </c:pt>
                <c:pt idx="256">
                  <c:v>33.268927706570381</c:v>
                </c:pt>
                <c:pt idx="257">
                  <c:v>36.046191154565719</c:v>
                </c:pt>
                <c:pt idx="258">
                  <c:v>40.401686802569451</c:v>
                </c:pt>
                <c:pt idx="259">
                  <c:v>36.647924542569449</c:v>
                </c:pt>
                <c:pt idx="260">
                  <c:v>50.92107846073597</c:v>
                </c:pt>
                <c:pt idx="261">
                  <c:v>54.079362809736899</c:v>
                </c:pt>
                <c:pt idx="262">
                  <c:v>62.311454867738767</c:v>
                </c:pt>
                <c:pt idx="263">
                  <c:v>54.486124876736902</c:v>
                </c:pt>
                <c:pt idx="264">
                  <c:v>53.590608580737836</c:v>
                </c:pt>
                <c:pt idx="265">
                  <c:v>62.19546324073783</c:v>
                </c:pt>
                <c:pt idx="266">
                  <c:v>73.662484316736894</c:v>
                </c:pt>
                <c:pt idx="267">
                  <c:v>83.437278222405467</c:v>
                </c:pt>
                <c:pt idx="268">
                  <c:v>83.437278222405467</c:v>
                </c:pt>
                <c:pt idx="269">
                  <c:v>83.437278222405467</c:v>
                </c:pt>
                <c:pt idx="270">
                  <c:v>83.437278222405467</c:v>
                </c:pt>
                <c:pt idx="271">
                  <c:v>83.437278222405467</c:v>
                </c:pt>
                <c:pt idx="272">
                  <c:v>83.437278222405467</c:v>
                </c:pt>
                <c:pt idx="273">
                  <c:v>83.437278222405467</c:v>
                </c:pt>
                <c:pt idx="274">
                  <c:v>78.135611493811084</c:v>
                </c:pt>
                <c:pt idx="275">
                  <c:v>70.928567722812019</c:v>
                </c:pt>
                <c:pt idx="276">
                  <c:v>76.552537708811087</c:v>
                </c:pt>
                <c:pt idx="277">
                  <c:v>79.19663666181016</c:v>
                </c:pt>
                <c:pt idx="278">
                  <c:v>77.386342661811085</c:v>
                </c:pt>
                <c:pt idx="279">
                  <c:v>74.9116890218111</c:v>
                </c:pt>
                <c:pt idx="280">
                  <c:v>73.992880701812012</c:v>
                </c:pt>
                <c:pt idx="281">
                  <c:v>83.487556462748103</c:v>
                </c:pt>
                <c:pt idx="282">
                  <c:v>78.386562502751829</c:v>
                </c:pt>
                <c:pt idx="283">
                  <c:v>81.364727742749963</c:v>
                </c:pt>
                <c:pt idx="284">
                  <c:v>65.846046131749958</c:v>
                </c:pt>
                <c:pt idx="285">
                  <c:v>67.880276181749039</c:v>
                </c:pt>
                <c:pt idx="286">
                  <c:v>74.291155034749977</c:v>
                </c:pt>
                <c:pt idx="287">
                  <c:v>101.93849131074995</c:v>
                </c:pt>
                <c:pt idx="288">
                  <c:v>108.10243370537623</c:v>
                </c:pt>
                <c:pt idx="289">
                  <c:v>108.10243370537623</c:v>
                </c:pt>
                <c:pt idx="290">
                  <c:v>108.10243370537623</c:v>
                </c:pt>
                <c:pt idx="291">
                  <c:v>108.10243370537623</c:v>
                </c:pt>
                <c:pt idx="292">
                  <c:v>108.10243370537623</c:v>
                </c:pt>
                <c:pt idx="293">
                  <c:v>108.10243370537623</c:v>
                </c:pt>
                <c:pt idx="294">
                  <c:v>108.10243370537623</c:v>
                </c:pt>
                <c:pt idx="295">
                  <c:v>108.10243370537623</c:v>
                </c:pt>
                <c:pt idx="296">
                  <c:v>108.10243370537623</c:v>
                </c:pt>
                <c:pt idx="297">
                  <c:v>108.10243370537623</c:v>
                </c:pt>
                <c:pt idx="298">
                  <c:v>108.10243370537623</c:v>
                </c:pt>
                <c:pt idx="299">
                  <c:v>108.10243370537623</c:v>
                </c:pt>
                <c:pt idx="300">
                  <c:v>108.10243370537623</c:v>
                </c:pt>
                <c:pt idx="301">
                  <c:v>108.10243370537623</c:v>
                </c:pt>
                <c:pt idx="302">
                  <c:v>108.10243370537623</c:v>
                </c:pt>
                <c:pt idx="303">
                  <c:v>108.10243370537623</c:v>
                </c:pt>
                <c:pt idx="304">
                  <c:v>108.10243370537623</c:v>
                </c:pt>
                <c:pt idx="305">
                  <c:v>108.10243370537623</c:v>
                </c:pt>
                <c:pt idx="306">
                  <c:v>119.44455644829111</c:v>
                </c:pt>
                <c:pt idx="307">
                  <c:v>119.44455644829111</c:v>
                </c:pt>
                <c:pt idx="308">
                  <c:v>119.44455644829111</c:v>
                </c:pt>
                <c:pt idx="309">
                  <c:v>119.44455644829111</c:v>
                </c:pt>
                <c:pt idx="310">
                  <c:v>119.44455644829111</c:v>
                </c:pt>
                <c:pt idx="311">
                  <c:v>119.44455644829111</c:v>
                </c:pt>
                <c:pt idx="312">
                  <c:v>119.44455644829111</c:v>
                </c:pt>
                <c:pt idx="313">
                  <c:v>119.44455644829111</c:v>
                </c:pt>
                <c:pt idx="314">
                  <c:v>119.44455644829111</c:v>
                </c:pt>
                <c:pt idx="315">
                  <c:v>119.44455644829111</c:v>
                </c:pt>
                <c:pt idx="316">
                  <c:v>119.44455644829111</c:v>
                </c:pt>
                <c:pt idx="317">
                  <c:v>119.44455644829111</c:v>
                </c:pt>
                <c:pt idx="318">
                  <c:v>119.44455644829111</c:v>
                </c:pt>
                <c:pt idx="319">
                  <c:v>119.44455644829111</c:v>
                </c:pt>
                <c:pt idx="320">
                  <c:v>119.44455644829111</c:v>
                </c:pt>
                <c:pt idx="321">
                  <c:v>119.44455644829111</c:v>
                </c:pt>
                <c:pt idx="322">
                  <c:v>119.44455644829111</c:v>
                </c:pt>
                <c:pt idx="323">
                  <c:v>119.44455644829111</c:v>
                </c:pt>
                <c:pt idx="324">
                  <c:v>119.44455644829111</c:v>
                </c:pt>
                <c:pt idx="325">
                  <c:v>119.44455644829111</c:v>
                </c:pt>
                <c:pt idx="326">
                  <c:v>119.44455644829111</c:v>
                </c:pt>
                <c:pt idx="327">
                  <c:v>119.44455644829111</c:v>
                </c:pt>
                <c:pt idx="328">
                  <c:v>119.44455644829111</c:v>
                </c:pt>
                <c:pt idx="329">
                  <c:v>119.44455644829111</c:v>
                </c:pt>
                <c:pt idx="330">
                  <c:v>119.44455644829111</c:v>
                </c:pt>
                <c:pt idx="331">
                  <c:v>119.44455644829111</c:v>
                </c:pt>
                <c:pt idx="332">
                  <c:v>119.44455644829111</c:v>
                </c:pt>
                <c:pt idx="333">
                  <c:v>118.75098253891976</c:v>
                </c:pt>
                <c:pt idx="334">
                  <c:v>117.44109541892162</c:v>
                </c:pt>
                <c:pt idx="335">
                  <c:v>119.44455644829111</c:v>
                </c:pt>
                <c:pt idx="336">
                  <c:v>119.44455644829111</c:v>
                </c:pt>
                <c:pt idx="337">
                  <c:v>109.69644377138364</c:v>
                </c:pt>
                <c:pt idx="338">
                  <c:v>110.93907483538176</c:v>
                </c:pt>
                <c:pt idx="339">
                  <c:v>115.45928817137805</c:v>
                </c:pt>
                <c:pt idx="340">
                  <c:v>67.379530903383639</c:v>
                </c:pt>
                <c:pt idx="341">
                  <c:v>35.286046567381774</c:v>
                </c:pt>
                <c:pt idx="342">
                  <c:v>54.936889847379902</c:v>
                </c:pt>
                <c:pt idx="343">
                  <c:v>98.663010611379917</c:v>
                </c:pt>
                <c:pt idx="344">
                  <c:v>105.74671553278</c:v>
                </c:pt>
                <c:pt idx="345">
                  <c:v>90.159075136778128</c:v>
                </c:pt>
                <c:pt idx="346">
                  <c:v>92.669122980778141</c:v>
                </c:pt>
                <c:pt idx="347">
                  <c:v>63.645498124776275</c:v>
                </c:pt>
                <c:pt idx="348">
                  <c:v>58.624108388780002</c:v>
                </c:pt>
                <c:pt idx="349">
                  <c:v>73.806724304778143</c:v>
                </c:pt>
                <c:pt idx="350">
                  <c:v>62.580834532776279</c:v>
                </c:pt>
                <c:pt idx="351">
                  <c:v>73.77204675838793</c:v>
                </c:pt>
                <c:pt idx="352">
                  <c:v>76.179004566387931</c:v>
                </c:pt>
                <c:pt idx="353">
                  <c:v>60.705458206387938</c:v>
                </c:pt>
                <c:pt idx="354">
                  <c:v>55.492423114384202</c:v>
                </c:pt>
                <c:pt idx="355">
                  <c:v>47.155717002386076</c:v>
                </c:pt>
                <c:pt idx="356">
                  <c:v>55.316829946389802</c:v>
                </c:pt>
                <c:pt idx="357">
                  <c:v>69.958321530386073</c:v>
                </c:pt>
                <c:pt idx="358">
                  <c:v>79.308118382491884</c:v>
                </c:pt>
                <c:pt idx="359">
                  <c:v>71.608538294493741</c:v>
                </c:pt>
                <c:pt idx="360">
                  <c:v>87.803712022493741</c:v>
                </c:pt>
                <c:pt idx="361">
                  <c:v>79.125568238490018</c:v>
                </c:pt>
                <c:pt idx="362">
                  <c:v>40.344502714493743</c:v>
                </c:pt>
                <c:pt idx="363">
                  <c:v>42.078752766493743</c:v>
                </c:pt>
                <c:pt idx="364">
                  <c:v>59.996479074493742</c:v>
                </c:pt>
                <c:pt idx="365">
                  <c:v>64.091979240687394</c:v>
                </c:pt>
                <c:pt idx="366">
                  <c:v>65.819765584685541</c:v>
                </c:pt>
                <c:pt idx="367">
                  <c:v>63.845628172687398</c:v>
                </c:pt>
                <c:pt idx="368">
                  <c:v>68.848843408687387</c:v>
                </c:pt>
                <c:pt idx="369">
                  <c:v>73.285303176687393</c:v>
                </c:pt>
                <c:pt idx="370">
                  <c:v>65.150454980683676</c:v>
                </c:pt>
                <c:pt idx="371">
                  <c:v>29.726404709689255</c:v>
                </c:pt>
                <c:pt idx="372">
                  <c:v>84.360668918236271</c:v>
                </c:pt>
                <c:pt idx="373">
                  <c:v>81.907544380236274</c:v>
                </c:pt>
                <c:pt idx="374">
                  <c:v>75.485651818238139</c:v>
                </c:pt>
                <c:pt idx="375">
                  <c:v>73.822267547238127</c:v>
                </c:pt>
                <c:pt idx="376">
                  <c:v>92.400156339236275</c:v>
                </c:pt>
                <c:pt idx="377">
                  <c:v>82.96517933123441</c:v>
                </c:pt>
                <c:pt idx="378">
                  <c:v>92.232445647236275</c:v>
                </c:pt>
                <c:pt idx="379">
                  <c:v>124.43187104481936</c:v>
                </c:pt>
                <c:pt idx="380">
                  <c:v>96.044287556819356</c:v>
                </c:pt>
                <c:pt idx="381">
                  <c:v>91.691753812819371</c:v>
                </c:pt>
                <c:pt idx="382">
                  <c:v>103.27007991681936</c:v>
                </c:pt>
                <c:pt idx="383">
                  <c:v>95.511306064821227</c:v>
                </c:pt>
                <c:pt idx="384">
                  <c:v>113.3886712728175</c:v>
                </c:pt>
                <c:pt idx="385">
                  <c:v>112.87991530081936</c:v>
                </c:pt>
                <c:pt idx="386">
                  <c:v>85.663567835179578</c:v>
                </c:pt>
                <c:pt idx="387">
                  <c:v>75.502702003183316</c:v>
                </c:pt>
                <c:pt idx="388">
                  <c:v>72.755112667177713</c:v>
                </c:pt>
                <c:pt idx="389">
                  <c:v>62.116361844181441</c:v>
                </c:pt>
                <c:pt idx="390">
                  <c:v>47.913730123179569</c:v>
                </c:pt>
                <c:pt idx="391">
                  <c:v>85.26875574318143</c:v>
                </c:pt>
                <c:pt idx="392">
                  <c:v>98.424402666181436</c:v>
                </c:pt>
                <c:pt idx="393">
                  <c:v>64.691698202706135</c:v>
                </c:pt>
                <c:pt idx="394">
                  <c:v>59.011945382707992</c:v>
                </c:pt>
                <c:pt idx="395">
                  <c:v>53.312698355709855</c:v>
                </c:pt>
                <c:pt idx="396">
                  <c:v>42.493725209706128</c:v>
                </c:pt>
                <c:pt idx="397">
                  <c:v>36.462962470707993</c:v>
                </c:pt>
                <c:pt idx="398">
                  <c:v>71.586927515707998</c:v>
                </c:pt>
                <c:pt idx="399">
                  <c:v>57.255484254709863</c:v>
                </c:pt>
                <c:pt idx="400">
                  <c:v>64.599635284221606</c:v>
                </c:pt>
                <c:pt idx="401">
                  <c:v>46.730263355221595</c:v>
                </c:pt>
                <c:pt idx="402">
                  <c:v>37.4792726572216</c:v>
                </c:pt>
                <c:pt idx="403">
                  <c:v>46.00130915122346</c:v>
                </c:pt>
                <c:pt idx="404">
                  <c:v>35.098987776223453</c:v>
                </c:pt>
                <c:pt idx="405">
                  <c:v>30.006082424221596</c:v>
                </c:pt>
                <c:pt idx="406">
                  <c:v>50.322251453221597</c:v>
                </c:pt>
                <c:pt idx="407">
                  <c:v>26.62239486300227</c:v>
                </c:pt>
                <c:pt idx="408">
                  <c:v>33.460726938004143</c:v>
                </c:pt>
                <c:pt idx="409">
                  <c:v>32.087652683002275</c:v>
                </c:pt>
                <c:pt idx="410">
                  <c:v>26.979100495002275</c:v>
                </c:pt>
                <c:pt idx="411">
                  <c:v>23.588325971002277</c:v>
                </c:pt>
                <c:pt idx="412">
                  <c:v>40.381294851002274</c:v>
                </c:pt>
                <c:pt idx="413">
                  <c:v>41.698311407002272</c:v>
                </c:pt>
                <c:pt idx="414">
                  <c:v>38.459751478523017</c:v>
                </c:pt>
                <c:pt idx="415">
                  <c:v>44.606724438528602</c:v>
                </c:pt>
                <c:pt idx="416">
                  <c:v>42.978956294528601</c:v>
                </c:pt>
                <c:pt idx="417">
                  <c:v>32.30674932252488</c:v>
                </c:pt>
                <c:pt idx="418">
                  <c:v>16.129574974524875</c:v>
                </c:pt>
                <c:pt idx="419">
                  <c:v>33.781601114526737</c:v>
                </c:pt>
                <c:pt idx="420">
                  <c:v>34.263615814526737</c:v>
                </c:pt>
                <c:pt idx="421">
                  <c:v>47.822112063296359</c:v>
                </c:pt>
                <c:pt idx="422">
                  <c:v>51.846013083296363</c:v>
                </c:pt>
                <c:pt idx="423">
                  <c:v>52.039187827300076</c:v>
                </c:pt>
                <c:pt idx="424">
                  <c:v>40.590203135296363</c:v>
                </c:pt>
                <c:pt idx="425">
                  <c:v>28.058505235298224</c:v>
                </c:pt>
                <c:pt idx="426">
                  <c:v>19.094722231298221</c:v>
                </c:pt>
                <c:pt idx="427">
                  <c:v>39.405765023296354</c:v>
                </c:pt>
                <c:pt idx="428">
                  <c:v>24.253473117605893</c:v>
                </c:pt>
                <c:pt idx="429">
                  <c:v>29.789511705604031</c:v>
                </c:pt>
                <c:pt idx="430">
                  <c:v>35.531756725605895</c:v>
                </c:pt>
                <c:pt idx="431">
                  <c:v>22.35288369360217</c:v>
                </c:pt>
                <c:pt idx="432">
                  <c:v>20.947856357607758</c:v>
                </c:pt>
                <c:pt idx="433">
                  <c:v>34.689995977604035</c:v>
                </c:pt>
                <c:pt idx="434">
                  <c:v>23.200321058604029</c:v>
                </c:pt>
                <c:pt idx="435">
                  <c:v>30.85524472361184</c:v>
                </c:pt>
                <c:pt idx="436">
                  <c:v>26.687434412613701</c:v>
                </c:pt>
                <c:pt idx="437">
                  <c:v>24.748296420613705</c:v>
                </c:pt>
                <c:pt idx="438">
                  <c:v>14.840623304609981</c:v>
                </c:pt>
                <c:pt idx="439">
                  <c:v>12.583411300613701</c:v>
                </c:pt>
                <c:pt idx="440">
                  <c:v>19.699402096613703</c:v>
                </c:pt>
                <c:pt idx="441">
                  <c:v>16.314681832609974</c:v>
                </c:pt>
                <c:pt idx="442">
                  <c:v>12.384628724485975</c:v>
                </c:pt>
                <c:pt idx="443">
                  <c:v>16.360547560484111</c:v>
                </c:pt>
                <c:pt idx="444">
                  <c:v>22.062701252485976</c:v>
                </c:pt>
                <c:pt idx="445">
                  <c:v>20.187922392484115</c:v>
                </c:pt>
                <c:pt idx="446">
                  <c:v>23.558985800484109</c:v>
                </c:pt>
                <c:pt idx="447">
                  <c:v>46.20527082448784</c:v>
                </c:pt>
                <c:pt idx="448">
                  <c:v>35.948164148484111</c:v>
                </c:pt>
                <c:pt idx="449">
                  <c:v>37.116430182011072</c:v>
                </c:pt>
                <c:pt idx="450">
                  <c:v>31.226979650009206</c:v>
                </c:pt>
                <c:pt idx="451">
                  <c:v>26.447559566012934</c:v>
                </c:pt>
                <c:pt idx="452">
                  <c:v>36.083278978012935</c:v>
                </c:pt>
                <c:pt idx="453">
                  <c:v>27.348481378011069</c:v>
                </c:pt>
                <c:pt idx="454">
                  <c:v>37.985107738009212</c:v>
                </c:pt>
                <c:pt idx="455">
                  <c:v>53.444317844011074</c:v>
                </c:pt>
                <c:pt idx="456">
                  <c:v>50.229088330899209</c:v>
                </c:pt>
                <c:pt idx="457">
                  <c:v>60.779131178901082</c:v>
                </c:pt>
                <c:pt idx="458">
                  <c:v>61.613809250901078</c:v>
                </c:pt>
                <c:pt idx="459">
                  <c:v>40.712711482899209</c:v>
                </c:pt>
                <c:pt idx="460">
                  <c:v>32.857694770899215</c:v>
                </c:pt>
                <c:pt idx="461">
                  <c:v>59.050819934901085</c:v>
                </c:pt>
                <c:pt idx="462">
                  <c:v>56.63656027489921</c:v>
                </c:pt>
                <c:pt idx="463">
                  <c:v>62.091495991055417</c:v>
                </c:pt>
                <c:pt idx="464">
                  <c:v>62.091495991055417</c:v>
                </c:pt>
                <c:pt idx="465">
                  <c:v>62.091495991055417</c:v>
                </c:pt>
                <c:pt idx="466">
                  <c:v>60.43962682885951</c:v>
                </c:pt>
                <c:pt idx="467">
                  <c:v>51.759126908859514</c:v>
                </c:pt>
                <c:pt idx="468">
                  <c:v>62.091495991055417</c:v>
                </c:pt>
                <c:pt idx="469">
                  <c:v>62.091495991055417</c:v>
                </c:pt>
                <c:pt idx="470">
                  <c:v>61.48177375849162</c:v>
                </c:pt>
                <c:pt idx="471">
                  <c:v>62.091495991055417</c:v>
                </c:pt>
                <c:pt idx="472">
                  <c:v>62.091495991055417</c:v>
                </c:pt>
                <c:pt idx="473">
                  <c:v>56.491981126493485</c:v>
                </c:pt>
                <c:pt idx="474">
                  <c:v>40.625565390491616</c:v>
                </c:pt>
                <c:pt idx="475">
                  <c:v>62.091495991055417</c:v>
                </c:pt>
                <c:pt idx="476">
                  <c:v>62.091495991055417</c:v>
                </c:pt>
                <c:pt idx="477">
                  <c:v>62.091495991055417</c:v>
                </c:pt>
                <c:pt idx="478">
                  <c:v>60.879025239560868</c:v>
                </c:pt>
                <c:pt idx="479">
                  <c:v>56.585806815560865</c:v>
                </c:pt>
                <c:pt idx="480">
                  <c:v>45.285563307560864</c:v>
                </c:pt>
                <c:pt idx="481">
                  <c:v>39.898130859559004</c:v>
                </c:pt>
                <c:pt idx="482">
                  <c:v>49.490690407560869</c:v>
                </c:pt>
                <c:pt idx="483">
                  <c:v>60.819213259559007</c:v>
                </c:pt>
                <c:pt idx="484">
                  <c:v>37.402692723792917</c:v>
                </c:pt>
                <c:pt idx="485">
                  <c:v>17.675389911791054</c:v>
                </c:pt>
                <c:pt idx="486">
                  <c:v>22.42099434779292</c:v>
                </c:pt>
                <c:pt idx="487">
                  <c:v>10.764143951792917</c:v>
                </c:pt>
                <c:pt idx="488">
                  <c:v>12.38707608779292</c:v>
                </c:pt>
                <c:pt idx="489">
                  <c:v>25.683337035791052</c:v>
                </c:pt>
                <c:pt idx="490">
                  <c:v>23.145132199792918</c:v>
                </c:pt>
                <c:pt idx="491">
                  <c:v>25.82995115699865</c:v>
                </c:pt>
                <c:pt idx="492">
                  <c:v>26.201231548998649</c:v>
                </c:pt>
                <c:pt idx="493">
                  <c:v>17.300016412998652</c:v>
                </c:pt>
                <c:pt idx="494">
                  <c:v>15.172527685000517</c:v>
                </c:pt>
                <c:pt idx="495">
                  <c:v>10.88104752899865</c:v>
                </c:pt>
                <c:pt idx="496">
                  <c:v>26.601704529721381</c:v>
                </c:pt>
                <c:pt idx="497">
                  <c:v>26.601704529721381</c:v>
                </c:pt>
                <c:pt idx="498">
                  <c:v>14.183226333087557</c:v>
                </c:pt>
                <c:pt idx="499">
                  <c:v>10.3727383630857</c:v>
                </c:pt>
                <c:pt idx="500">
                  <c:v>4.9091500490875628</c:v>
                </c:pt>
                <c:pt idx="501">
                  <c:v>1.1223621510875601</c:v>
                </c:pt>
                <c:pt idx="502">
                  <c:v>1.2527377760875607</c:v>
                </c:pt>
                <c:pt idx="503">
                  <c:v>9.5187780880875579</c:v>
                </c:pt>
                <c:pt idx="504">
                  <c:v>21.238165024087561</c:v>
                </c:pt>
                <c:pt idx="505">
                  <c:v>14.719824948133187</c:v>
                </c:pt>
                <c:pt idx="506">
                  <c:v>4.3961503001350506</c:v>
                </c:pt>
                <c:pt idx="507">
                  <c:v>2.7864231081313267</c:v>
                </c:pt>
                <c:pt idx="508">
                  <c:v>3.4104858281331909</c:v>
                </c:pt>
                <c:pt idx="509">
                  <c:v>0.66356802413318661</c:v>
                </c:pt>
                <c:pt idx="510">
                  <c:v>2.3629647521331862</c:v>
                </c:pt>
                <c:pt idx="511">
                  <c:v>1.2923573881341217</c:v>
                </c:pt>
                <c:pt idx="512">
                  <c:v>6.5609360918694071</c:v>
                </c:pt>
                <c:pt idx="513">
                  <c:v>4.5303661118684762</c:v>
                </c:pt>
                <c:pt idx="514">
                  <c:v>6.5312281798703333</c:v>
                </c:pt>
                <c:pt idx="515">
                  <c:v>3.548440679868472</c:v>
                </c:pt>
                <c:pt idx="516">
                  <c:v>1.105057919869403</c:v>
                </c:pt>
                <c:pt idx="517">
                  <c:v>1.3670182158694042</c:v>
                </c:pt>
                <c:pt idx="518">
                  <c:v>1.782965891869404</c:v>
                </c:pt>
                <c:pt idx="519">
                  <c:v>2.1689622764460839</c:v>
                </c:pt>
                <c:pt idx="520">
                  <c:v>0.78540507645074098</c:v>
                </c:pt>
                <c:pt idx="521">
                  <c:v>1.0309195644470164</c:v>
                </c:pt>
                <c:pt idx="522">
                  <c:v>1.8049678124498096</c:v>
                </c:pt>
                <c:pt idx="523">
                  <c:v>1.004827152447946</c:v>
                </c:pt>
                <c:pt idx="524">
                  <c:v>0.7337421964488785</c:v>
                </c:pt>
                <c:pt idx="525">
                  <c:v>5.0941232324488812</c:v>
                </c:pt>
                <c:pt idx="526">
                  <c:v>10.186300378786349</c:v>
                </c:pt>
                <c:pt idx="527">
                  <c:v>0.79286929878914447</c:v>
                </c:pt>
                <c:pt idx="528">
                  <c:v>5.455991310786354</c:v>
                </c:pt>
                <c:pt idx="529">
                  <c:v>0.80239395078728193</c:v>
                </c:pt>
                <c:pt idx="530">
                  <c:v>0.93516316678728251</c:v>
                </c:pt>
                <c:pt idx="531">
                  <c:v>0.7927689467872806</c:v>
                </c:pt>
                <c:pt idx="532">
                  <c:v>1.0170399587863503</c:v>
                </c:pt>
                <c:pt idx="533">
                  <c:v>1.3471824894848832</c:v>
                </c:pt>
                <c:pt idx="534">
                  <c:v>0.75471684948861006</c:v>
                </c:pt>
                <c:pt idx="535">
                  <c:v>1.4968303974848822</c:v>
                </c:pt>
                <c:pt idx="536">
                  <c:v>0.98054632948674769</c:v>
                </c:pt>
                <c:pt idx="537">
                  <c:v>0.98118557748674717</c:v>
                </c:pt>
                <c:pt idx="538">
                  <c:v>0.93594360148488343</c:v>
                </c:pt>
                <c:pt idx="539">
                  <c:v>0.78725084548488666</c:v>
                </c:pt>
                <c:pt idx="540">
                  <c:v>5.3613860599029071</c:v>
                </c:pt>
                <c:pt idx="541">
                  <c:v>1.3795156158991813</c:v>
                </c:pt>
                <c:pt idx="542">
                  <c:v>0.64003740790104346</c:v>
                </c:pt>
                <c:pt idx="543">
                  <c:v>0.85277524390197501</c:v>
                </c:pt>
                <c:pt idx="544">
                  <c:v>1.3342008999001118</c:v>
                </c:pt>
                <c:pt idx="545">
                  <c:v>0.57709913590011275</c:v>
                </c:pt>
                <c:pt idx="546">
                  <c:v>1.4900494078991797</c:v>
                </c:pt>
                <c:pt idx="547">
                  <c:v>2.439024072921784</c:v>
                </c:pt>
                <c:pt idx="548">
                  <c:v>2.3962360889227128</c:v>
                </c:pt>
                <c:pt idx="549">
                  <c:v>19.802804212921785</c:v>
                </c:pt>
                <c:pt idx="550">
                  <c:v>8.8364277529208515</c:v>
                </c:pt>
                <c:pt idx="551">
                  <c:v>9.7225829929199215</c:v>
                </c:pt>
                <c:pt idx="552">
                  <c:v>12.063968236922715</c:v>
                </c:pt>
                <c:pt idx="553">
                  <c:v>19.704329852921788</c:v>
                </c:pt>
                <c:pt idx="554">
                  <c:v>20.220393285105605</c:v>
                </c:pt>
                <c:pt idx="555">
                  <c:v>20.220393285105605</c:v>
                </c:pt>
                <c:pt idx="556">
                  <c:v>20.220393285105605</c:v>
                </c:pt>
                <c:pt idx="557">
                  <c:v>20.220393285105605</c:v>
                </c:pt>
                <c:pt idx="558">
                  <c:v>20.220393285105605</c:v>
                </c:pt>
                <c:pt idx="559">
                  <c:v>20.220393285105605</c:v>
                </c:pt>
                <c:pt idx="560">
                  <c:v>20.220393285105605</c:v>
                </c:pt>
                <c:pt idx="561">
                  <c:v>20.220393285105605</c:v>
                </c:pt>
                <c:pt idx="562">
                  <c:v>18.260814747020159</c:v>
                </c:pt>
                <c:pt idx="563">
                  <c:v>20.220393285105605</c:v>
                </c:pt>
                <c:pt idx="564">
                  <c:v>17.613897146022019</c:v>
                </c:pt>
                <c:pt idx="565">
                  <c:v>8.9958853780192278</c:v>
                </c:pt>
                <c:pt idx="566">
                  <c:v>20.220393285105605</c:v>
                </c:pt>
                <c:pt idx="567">
                  <c:v>20.220393285105605</c:v>
                </c:pt>
                <c:pt idx="568">
                  <c:v>20.220393285105605</c:v>
                </c:pt>
                <c:pt idx="569">
                  <c:v>12.867219731411408</c:v>
                </c:pt>
                <c:pt idx="570">
                  <c:v>20.220393285105605</c:v>
                </c:pt>
                <c:pt idx="571">
                  <c:v>17.477073947411409</c:v>
                </c:pt>
                <c:pt idx="572">
                  <c:v>16.451820575408615</c:v>
                </c:pt>
                <c:pt idx="573">
                  <c:v>20.220393285105605</c:v>
                </c:pt>
                <c:pt idx="574">
                  <c:v>20.220393285105605</c:v>
                </c:pt>
                <c:pt idx="575">
                  <c:v>20.220393285105605</c:v>
                </c:pt>
                <c:pt idx="576">
                  <c:v>18.33551687355904</c:v>
                </c:pt>
                <c:pt idx="577">
                  <c:v>20.135935989558106</c:v>
                </c:pt>
                <c:pt idx="578">
                  <c:v>4.0797406895590393</c:v>
                </c:pt>
                <c:pt idx="579">
                  <c:v>0.84823744955904112</c:v>
                </c:pt>
                <c:pt idx="580">
                  <c:v>0.9602911375581098</c:v>
                </c:pt>
                <c:pt idx="581">
                  <c:v>3.2073961695590407</c:v>
                </c:pt>
                <c:pt idx="582">
                  <c:v>7.7128933218427083</c:v>
                </c:pt>
                <c:pt idx="583">
                  <c:v>18.757089646844573</c:v>
                </c:pt>
                <c:pt idx="584">
                  <c:v>21.618682225843646</c:v>
                </c:pt>
                <c:pt idx="585">
                  <c:v>4.6228063218445712</c:v>
                </c:pt>
                <c:pt idx="586">
                  <c:v>2.9587972828436397</c:v>
                </c:pt>
                <c:pt idx="587">
                  <c:v>22.02844628484457</c:v>
                </c:pt>
                <c:pt idx="588">
                  <c:v>23.77941356184364</c:v>
                </c:pt>
                <c:pt idx="589">
                  <c:v>16.200307536526953</c:v>
                </c:pt>
                <c:pt idx="590">
                  <c:v>8.2141049895250902</c:v>
                </c:pt>
                <c:pt idx="591">
                  <c:v>3.2859982715278822</c:v>
                </c:pt>
                <c:pt idx="592">
                  <c:v>11.08688186452695</c:v>
                </c:pt>
                <c:pt idx="593">
                  <c:v>4.878889060526955</c:v>
                </c:pt>
                <c:pt idx="594">
                  <c:v>26.990288200526951</c:v>
                </c:pt>
                <c:pt idx="595">
                  <c:v>4.7591329325269545</c:v>
                </c:pt>
                <c:pt idx="596">
                  <c:v>40.400211353346023</c:v>
                </c:pt>
                <c:pt idx="597">
                  <c:v>40.400211353346023</c:v>
                </c:pt>
                <c:pt idx="598">
                  <c:v>40.400211353346023</c:v>
                </c:pt>
                <c:pt idx="599">
                  <c:v>40.400211353346023</c:v>
                </c:pt>
                <c:pt idx="600">
                  <c:v>40.400211353346023</c:v>
                </c:pt>
                <c:pt idx="601">
                  <c:v>40.400211353346023</c:v>
                </c:pt>
                <c:pt idx="602">
                  <c:v>40.400211353346023</c:v>
                </c:pt>
                <c:pt idx="603">
                  <c:v>40.400211353346023</c:v>
                </c:pt>
                <c:pt idx="604">
                  <c:v>40.400211353346023</c:v>
                </c:pt>
                <c:pt idx="605">
                  <c:v>40.400211353346023</c:v>
                </c:pt>
                <c:pt idx="606">
                  <c:v>40.400211353346023</c:v>
                </c:pt>
                <c:pt idx="607">
                  <c:v>40.400211353346023</c:v>
                </c:pt>
                <c:pt idx="608">
                  <c:v>40.400211353346023</c:v>
                </c:pt>
                <c:pt idx="609">
                  <c:v>40.400211353346023</c:v>
                </c:pt>
                <c:pt idx="610">
                  <c:v>80.938788836501317</c:v>
                </c:pt>
                <c:pt idx="611">
                  <c:v>80.938788836501317</c:v>
                </c:pt>
                <c:pt idx="612">
                  <c:v>80.938788836501317</c:v>
                </c:pt>
                <c:pt idx="613">
                  <c:v>80.938788836501317</c:v>
                </c:pt>
                <c:pt idx="614">
                  <c:v>80.938788836501317</c:v>
                </c:pt>
                <c:pt idx="615">
                  <c:v>80.938788836501317</c:v>
                </c:pt>
                <c:pt idx="616">
                  <c:v>80.938788836501317</c:v>
                </c:pt>
                <c:pt idx="617">
                  <c:v>80.938788836501317</c:v>
                </c:pt>
                <c:pt idx="618">
                  <c:v>80.938788836501317</c:v>
                </c:pt>
                <c:pt idx="619">
                  <c:v>80.938788836501317</c:v>
                </c:pt>
                <c:pt idx="620">
                  <c:v>80.938788836501317</c:v>
                </c:pt>
                <c:pt idx="621">
                  <c:v>80.938788836501317</c:v>
                </c:pt>
                <c:pt idx="622">
                  <c:v>80.938788836501317</c:v>
                </c:pt>
                <c:pt idx="623">
                  <c:v>80.938788836501317</c:v>
                </c:pt>
                <c:pt idx="624">
                  <c:v>80.938788836501317</c:v>
                </c:pt>
                <c:pt idx="625">
                  <c:v>80.938788836501317</c:v>
                </c:pt>
                <c:pt idx="626">
                  <c:v>80.938788836501317</c:v>
                </c:pt>
                <c:pt idx="627">
                  <c:v>80.938788836501317</c:v>
                </c:pt>
                <c:pt idx="628">
                  <c:v>80.938788836501317</c:v>
                </c:pt>
                <c:pt idx="629">
                  <c:v>80.938788836501317</c:v>
                </c:pt>
                <c:pt idx="630">
                  <c:v>80.938788836501317</c:v>
                </c:pt>
                <c:pt idx="631">
                  <c:v>53.644299812797733</c:v>
                </c:pt>
                <c:pt idx="632">
                  <c:v>68.63053512879587</c:v>
                </c:pt>
                <c:pt idx="633">
                  <c:v>80.938788836501317</c:v>
                </c:pt>
                <c:pt idx="634">
                  <c:v>77.610073240797732</c:v>
                </c:pt>
                <c:pt idx="635">
                  <c:v>80.938788836501317</c:v>
                </c:pt>
                <c:pt idx="636">
                  <c:v>80.938788836501317</c:v>
                </c:pt>
                <c:pt idx="637">
                  <c:v>80.938788836501317</c:v>
                </c:pt>
                <c:pt idx="638">
                  <c:v>80.938788836501317</c:v>
                </c:pt>
                <c:pt idx="639">
                  <c:v>80.938788836501317</c:v>
                </c:pt>
                <c:pt idx="640">
                  <c:v>105.77564059458246</c:v>
                </c:pt>
                <c:pt idx="641">
                  <c:v>105.77564059458246</c:v>
                </c:pt>
                <c:pt idx="642">
                  <c:v>105.77564059458246</c:v>
                </c:pt>
                <c:pt idx="643">
                  <c:v>105.77564059458246</c:v>
                </c:pt>
                <c:pt idx="644">
                  <c:v>105.77564059458246</c:v>
                </c:pt>
                <c:pt idx="645">
                  <c:v>105.77564059458246</c:v>
                </c:pt>
                <c:pt idx="646">
                  <c:v>105.77564059458246</c:v>
                </c:pt>
                <c:pt idx="647">
                  <c:v>105.77564059458246</c:v>
                </c:pt>
                <c:pt idx="648">
                  <c:v>105.77564059458246</c:v>
                </c:pt>
                <c:pt idx="649">
                  <c:v>105.77564059458246</c:v>
                </c:pt>
                <c:pt idx="650">
                  <c:v>105.77564059458246</c:v>
                </c:pt>
                <c:pt idx="651">
                  <c:v>105.77564059458246</c:v>
                </c:pt>
                <c:pt idx="652">
                  <c:v>105.77564059458246</c:v>
                </c:pt>
                <c:pt idx="653">
                  <c:v>105.77564059458246</c:v>
                </c:pt>
                <c:pt idx="654">
                  <c:v>105.77564059458246</c:v>
                </c:pt>
                <c:pt idx="655">
                  <c:v>105.77564059458246</c:v>
                </c:pt>
                <c:pt idx="656">
                  <c:v>105.77564059458246</c:v>
                </c:pt>
                <c:pt idx="657">
                  <c:v>105.77564059458246</c:v>
                </c:pt>
                <c:pt idx="658">
                  <c:v>105.77564059458246</c:v>
                </c:pt>
                <c:pt idx="659">
                  <c:v>90.183736069493563</c:v>
                </c:pt>
                <c:pt idx="660">
                  <c:v>95.043589213493576</c:v>
                </c:pt>
                <c:pt idx="661">
                  <c:v>83.781432525495433</c:v>
                </c:pt>
                <c:pt idx="662">
                  <c:v>81.579333937491697</c:v>
                </c:pt>
                <c:pt idx="663">
                  <c:v>105.31441543349543</c:v>
                </c:pt>
                <c:pt idx="664">
                  <c:v>86.276048425495418</c:v>
                </c:pt>
                <c:pt idx="665">
                  <c:v>105.77564059458246</c:v>
                </c:pt>
                <c:pt idx="666">
                  <c:v>105.77564059458246</c:v>
                </c:pt>
                <c:pt idx="667">
                  <c:v>105.77564059458246</c:v>
                </c:pt>
                <c:pt idx="668">
                  <c:v>105.77564059458246</c:v>
                </c:pt>
                <c:pt idx="669">
                  <c:v>80.37812548214626</c:v>
                </c:pt>
                <c:pt idx="670">
                  <c:v>57.869754374148123</c:v>
                </c:pt>
                <c:pt idx="671">
                  <c:v>43.901266766148126</c:v>
                </c:pt>
                <c:pt idx="672">
                  <c:v>53.306943536146257</c:v>
                </c:pt>
                <c:pt idx="673">
                  <c:v>93.469764938338031</c:v>
                </c:pt>
                <c:pt idx="674">
                  <c:v>117.73333309338341</c:v>
                </c:pt>
                <c:pt idx="675">
                  <c:v>83.401819142339903</c:v>
                </c:pt>
                <c:pt idx="676">
                  <c:v>78.439711654339888</c:v>
                </c:pt>
                <c:pt idx="677">
                  <c:v>89.721362702336165</c:v>
                </c:pt>
                <c:pt idx="678">
                  <c:v>117.73333309338341</c:v>
                </c:pt>
                <c:pt idx="679">
                  <c:v>117.73333309338341</c:v>
                </c:pt>
                <c:pt idx="680">
                  <c:v>117.73333309338341</c:v>
                </c:pt>
                <c:pt idx="681">
                  <c:v>117.73333309338341</c:v>
                </c:pt>
                <c:pt idx="682">
                  <c:v>88.626292729827199</c:v>
                </c:pt>
                <c:pt idx="683">
                  <c:v>99.166459573825321</c:v>
                </c:pt>
                <c:pt idx="684">
                  <c:v>71.0015864418272</c:v>
                </c:pt>
                <c:pt idx="685">
                  <c:v>99.190810133825352</c:v>
                </c:pt>
                <c:pt idx="686">
                  <c:v>73.976678177829058</c:v>
                </c:pt>
                <c:pt idx="687">
                  <c:v>117.73333309338341</c:v>
                </c:pt>
                <c:pt idx="688">
                  <c:v>117.73333309338341</c:v>
                </c:pt>
                <c:pt idx="689">
                  <c:v>117.73333309338341</c:v>
                </c:pt>
                <c:pt idx="690">
                  <c:v>117.73333309338341</c:v>
                </c:pt>
                <c:pt idx="691">
                  <c:v>117.73333309338341</c:v>
                </c:pt>
                <c:pt idx="692">
                  <c:v>117.73333309338341</c:v>
                </c:pt>
                <c:pt idx="693">
                  <c:v>117.73333309338341</c:v>
                </c:pt>
                <c:pt idx="694">
                  <c:v>117.73333309338341</c:v>
                </c:pt>
                <c:pt idx="695">
                  <c:v>117.73333309338341</c:v>
                </c:pt>
                <c:pt idx="696">
                  <c:v>117.73333309338341</c:v>
                </c:pt>
                <c:pt idx="697">
                  <c:v>117.73333309338341</c:v>
                </c:pt>
                <c:pt idx="698">
                  <c:v>117.73333309338341</c:v>
                </c:pt>
                <c:pt idx="699">
                  <c:v>117.73333309338341</c:v>
                </c:pt>
                <c:pt idx="700">
                  <c:v>117.73333309338341</c:v>
                </c:pt>
                <c:pt idx="701">
                  <c:v>117.73333309338341</c:v>
                </c:pt>
                <c:pt idx="702">
                  <c:v>113.63725392513585</c:v>
                </c:pt>
                <c:pt idx="703">
                  <c:v>86.201154877137725</c:v>
                </c:pt>
                <c:pt idx="704">
                  <c:v>68.517948005135864</c:v>
                </c:pt>
                <c:pt idx="705">
                  <c:v>54.32054651313959</c:v>
                </c:pt>
                <c:pt idx="706">
                  <c:v>105.79176961713773</c:v>
                </c:pt>
                <c:pt idx="707">
                  <c:v>101.08770687713587</c:v>
                </c:pt>
                <c:pt idx="708">
                  <c:v>122.22068068134585</c:v>
                </c:pt>
                <c:pt idx="709">
                  <c:v>119.06189043334957</c:v>
                </c:pt>
                <c:pt idx="710">
                  <c:v>120.35209517734398</c:v>
                </c:pt>
                <c:pt idx="711">
                  <c:v>79.280241521347719</c:v>
                </c:pt>
                <c:pt idx="712">
                  <c:v>89.377392257349584</c:v>
                </c:pt>
                <c:pt idx="713">
                  <c:v>101.40798592534586</c:v>
                </c:pt>
                <c:pt idx="714">
                  <c:v>123.24675909882176</c:v>
                </c:pt>
                <c:pt idx="715">
                  <c:v>123.24675909882176</c:v>
                </c:pt>
                <c:pt idx="716">
                  <c:v>123.24675909882176</c:v>
                </c:pt>
                <c:pt idx="717">
                  <c:v>123.24675909882176</c:v>
                </c:pt>
                <c:pt idx="718">
                  <c:v>117.48944197267397</c:v>
                </c:pt>
                <c:pt idx="719">
                  <c:v>109.62150693667769</c:v>
                </c:pt>
                <c:pt idx="720">
                  <c:v>102.85124453667584</c:v>
                </c:pt>
                <c:pt idx="721">
                  <c:v>123.24675909882176</c:v>
                </c:pt>
                <c:pt idx="722">
                  <c:v>123.24675909882176</c:v>
                </c:pt>
                <c:pt idx="723">
                  <c:v>123.09941888562219</c:v>
                </c:pt>
                <c:pt idx="724">
                  <c:v>108.94874475362033</c:v>
                </c:pt>
                <c:pt idx="725">
                  <c:v>102.35199537762031</c:v>
                </c:pt>
                <c:pt idx="726">
                  <c:v>101.27404481762032</c:v>
                </c:pt>
                <c:pt idx="727">
                  <c:v>123.24675909882176</c:v>
                </c:pt>
                <c:pt idx="728">
                  <c:v>123.24675909882176</c:v>
                </c:pt>
                <c:pt idx="729">
                  <c:v>123.24675909882176</c:v>
                </c:pt>
                <c:pt idx="730">
                  <c:v>123.24675909882176</c:v>
                </c:pt>
                <c:pt idx="731">
                  <c:v>124.20934941128793</c:v>
                </c:pt>
                <c:pt idx="732">
                  <c:v>124.20934941128793</c:v>
                </c:pt>
                <c:pt idx="733">
                  <c:v>124.20934941128793</c:v>
                </c:pt>
                <c:pt idx="734">
                  <c:v>124.20934941128793</c:v>
                </c:pt>
                <c:pt idx="735">
                  <c:v>124.20934941128793</c:v>
                </c:pt>
                <c:pt idx="736">
                  <c:v>124.20934941128793</c:v>
                </c:pt>
                <c:pt idx="737">
                  <c:v>124.20934941128793</c:v>
                </c:pt>
                <c:pt idx="738">
                  <c:v>124.20934941128793</c:v>
                </c:pt>
                <c:pt idx="739">
                  <c:v>124.20934941128793</c:v>
                </c:pt>
                <c:pt idx="740">
                  <c:v>124.20934941128793</c:v>
                </c:pt>
                <c:pt idx="741">
                  <c:v>124.20934941128793</c:v>
                </c:pt>
                <c:pt idx="742">
                  <c:v>124.20934941128793</c:v>
                </c:pt>
                <c:pt idx="743">
                  <c:v>124.20934941128793</c:v>
                </c:pt>
                <c:pt idx="744">
                  <c:v>124.20934941128793</c:v>
                </c:pt>
                <c:pt idx="745">
                  <c:v>124.20934941128793</c:v>
                </c:pt>
                <c:pt idx="746">
                  <c:v>124.20934941128793</c:v>
                </c:pt>
                <c:pt idx="747">
                  <c:v>124.20934941128793</c:v>
                </c:pt>
                <c:pt idx="748">
                  <c:v>124.20934941128793</c:v>
                </c:pt>
                <c:pt idx="749">
                  <c:v>124.20934941128793</c:v>
                </c:pt>
                <c:pt idx="750">
                  <c:v>124.20934941128793</c:v>
                </c:pt>
                <c:pt idx="751">
                  <c:v>124.20934941128793</c:v>
                </c:pt>
                <c:pt idx="752">
                  <c:v>124.20934941128793</c:v>
                </c:pt>
                <c:pt idx="753">
                  <c:v>124.20934941128793</c:v>
                </c:pt>
                <c:pt idx="754">
                  <c:v>124.20934941128793</c:v>
                </c:pt>
                <c:pt idx="755">
                  <c:v>124.20934941128793</c:v>
                </c:pt>
                <c:pt idx="756">
                  <c:v>124.20934941128793</c:v>
                </c:pt>
                <c:pt idx="757">
                  <c:v>124.20934941128793</c:v>
                </c:pt>
                <c:pt idx="758">
                  <c:v>124.20934941128793</c:v>
                </c:pt>
                <c:pt idx="759">
                  <c:v>124.20934941128793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99DD-4A21-81C4-CF0DABA6DFBB}"/>
            </c:ext>
          </c:extLst>
        </c:ser>
        <c:ser>
          <c:idx val="6"/>
          <c:order val="3"/>
          <c:dLbls>
            <c:dLbl>
              <c:idx val="14"/>
              <c:layout>
                <c:manualLayout>
                  <c:x val="0"/>
                  <c:y val="-0.107095046854083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B29-4527-AF86-64394777337B}"/>
                </c:ext>
              </c:extLst>
            </c:dLbl>
            <c:dLbl>
              <c:idx val="42"/>
              <c:layout>
                <c:manualLayout>
                  <c:x val="0"/>
                  <c:y val="-0.1049868766404200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91E-4D15-8881-B185C684FF0F}"/>
                </c:ext>
              </c:extLst>
            </c:dLbl>
            <c:dLbl>
              <c:idx val="45"/>
              <c:layout>
                <c:manualLayout>
                  <c:x val="-1.5853490785204869E-17"/>
                  <c:y val="-0.1051750688710368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B29-4527-AF86-64394777337B}"/>
                </c:ext>
              </c:extLst>
            </c:dLbl>
            <c:dLbl>
              <c:idx val="73"/>
              <c:layout>
                <c:manualLayout>
                  <c:x val="-3.1706981570409738E-17"/>
                  <c:y val="-0.1104338223145886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B29-4527-AF86-64394777337B}"/>
                </c:ext>
              </c:extLst>
            </c:dLbl>
            <c:dLbl>
              <c:idx val="75"/>
              <c:layout>
                <c:manualLayout>
                  <c:x val="0"/>
                  <c:y val="-8.92388451443570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BA3-417D-939D-67D8CE6BEA92}"/>
                </c:ext>
              </c:extLst>
            </c:dLbl>
            <c:dLbl>
              <c:idx val="103"/>
              <c:layout>
                <c:manualLayout>
                  <c:x val="0"/>
                  <c:y val="-8.92388451443570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91E-4D15-8881-B185C684FF0F}"/>
                </c:ext>
              </c:extLst>
            </c:dLbl>
            <c:dLbl>
              <c:idx val="104"/>
              <c:layout>
                <c:manualLayout>
                  <c:x val="0"/>
                  <c:y val="-9.46575619839331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B29-4527-AF86-64394777337B}"/>
                </c:ext>
              </c:extLst>
            </c:dLbl>
            <c:dLbl>
              <c:idx val="106"/>
              <c:layout>
                <c:manualLayout>
                  <c:x val="0"/>
                  <c:y val="-6.29921259842519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BA3-417D-939D-67D8CE6BEA92}"/>
                </c:ext>
              </c:extLst>
            </c:dLbl>
            <c:dLbl>
              <c:idx val="134"/>
              <c:layout>
                <c:manualLayout>
                  <c:x val="-3.1706981570409738E-17"/>
                  <c:y val="-8.939880854038131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 anchorCtr="0">
                  <a:spAutoFit/>
                </a:bodyPr>
                <a:lstStyle/>
                <a:p>
                  <a:pPr algn="ctr">
                    <a:defRPr lang="en-US" sz="700" b="0" i="0" u="none" strike="noStrike" kern="1200" baseline="0">
                      <a:solidFill>
                        <a:srgbClr val="00456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B29-4527-AF86-64394777337B}"/>
                </c:ext>
              </c:extLst>
            </c:dLbl>
            <c:dLbl>
              <c:idx val="136"/>
              <c:layout>
                <c:manualLayout>
                  <c:x val="0"/>
                  <c:y val="-5.24934383202099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BA3-417D-939D-67D8CE6BEA92}"/>
                </c:ext>
              </c:extLst>
            </c:dLbl>
            <c:dLbl>
              <c:idx val="164"/>
              <c:layout>
                <c:manualLayout>
                  <c:x val="0"/>
                  <c:y val="-4.72440944881889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91E-4D15-8881-B185C684FF0F}"/>
                </c:ext>
              </c:extLst>
            </c:dLbl>
            <c:dLbl>
              <c:idx val="165"/>
              <c:layout>
                <c:manualLayout>
                  <c:x val="-6.3413963140819477E-17"/>
                  <c:y val="-5.25875344355183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B29-4527-AF86-64394777337B}"/>
                </c:ext>
              </c:extLst>
            </c:dLbl>
            <c:dLbl>
              <c:idx val="167"/>
              <c:layout>
                <c:manualLayout>
                  <c:x val="-3.3212176716573894E-17"/>
                  <c:y val="-3.67454068241469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BA3-417D-939D-67D8CE6BEA92}"/>
                </c:ext>
              </c:extLst>
            </c:dLbl>
            <c:dLbl>
              <c:idx val="195"/>
              <c:layout>
                <c:manualLayout>
                  <c:x val="0"/>
                  <c:y val="-5.78462878790702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B29-4527-AF86-64394777337B}"/>
                </c:ext>
              </c:extLst>
            </c:dLbl>
            <c:dLbl>
              <c:idx val="198"/>
              <c:layout>
                <c:manualLayout>
                  <c:x val="-3.6231884057971345E-3"/>
                  <c:y val="-3.67454068241469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BA3-417D-939D-67D8CE6BEA92}"/>
                </c:ext>
              </c:extLst>
            </c:dLbl>
            <c:dLbl>
              <c:idx val="226"/>
              <c:layout>
                <c:manualLayout>
                  <c:x val="0"/>
                  <c:y val="-4.20700275484146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B29-4527-AF86-64394777337B}"/>
                </c:ext>
              </c:extLst>
            </c:dLbl>
            <c:dLbl>
              <c:idx val="228"/>
              <c:layout>
                <c:manualLayout>
                  <c:x val="-5.434782608695652E-3"/>
                  <c:y val="-5.24934383202099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BA3-417D-939D-67D8CE6BEA92}"/>
                </c:ext>
              </c:extLst>
            </c:dLbl>
            <c:dLbl>
              <c:idx val="256"/>
              <c:layout>
                <c:manualLayout>
                  <c:x val="0"/>
                  <c:y val="-4.72440944881890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91E-4D15-8881-B185C684FF0F}"/>
                </c:ext>
              </c:extLst>
            </c:dLbl>
            <c:dLbl>
              <c:idx val="257"/>
              <c:layout>
                <c:manualLayout>
                  <c:x val="0"/>
                  <c:y val="-5.25875344355183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B29-4527-AF86-64394777337B}"/>
                </c:ext>
              </c:extLst>
            </c:dLbl>
            <c:dLbl>
              <c:idx val="259"/>
              <c:layout>
                <c:manualLayout>
                  <c:x val="-3.6231884057971015E-3"/>
                  <c:y val="-7.87401574803150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BA3-417D-939D-67D8CE6BEA92}"/>
                </c:ext>
              </c:extLst>
            </c:dLbl>
            <c:dLbl>
              <c:idx val="287"/>
              <c:layout>
                <c:manualLayout>
                  <c:x val="-6.6424353433147788E-17"/>
                  <c:y val="-7.88529977059954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B29-4527-AF86-64394777337B}"/>
                </c:ext>
              </c:extLst>
            </c:dLbl>
            <c:dLbl>
              <c:idx val="318"/>
              <c:layout>
                <c:manualLayout>
                  <c:x val="-6.3413963140819477E-17"/>
                  <c:y val="-8.93988085403813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B29-4527-AF86-64394777337B}"/>
                </c:ext>
              </c:extLst>
            </c:dLbl>
            <c:dLbl>
              <c:idx val="348"/>
              <c:layout>
                <c:manualLayout>
                  <c:x val="1.7292879150975693E-3"/>
                  <c:y val="-2.81439229545125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1B29-4527-AF86-64394777337B}"/>
                </c:ext>
              </c:extLst>
            </c:dLbl>
            <c:dLbl>
              <c:idx val="351"/>
              <c:layout>
                <c:manualLayout>
                  <c:x val="-6.6424353433147788E-17"/>
                  <c:y val="-0.1049868766404199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BA3-417D-939D-67D8CE6BEA92}"/>
                </c:ext>
              </c:extLst>
            </c:dLbl>
            <c:dLbl>
              <c:idx val="379"/>
              <c:layout>
                <c:manualLayout>
                  <c:x val="3.4587116299178555E-3"/>
                  <c:y val="-0.1017402945113787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1B29-4527-AF86-64394777337B}"/>
                </c:ext>
              </c:extLst>
            </c:dLbl>
            <c:dLbl>
              <c:idx val="407"/>
              <c:layout>
                <c:manualLayout>
                  <c:x val="3.6231884057971015E-3"/>
                  <c:y val="-0.1049868766404199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91E-4D15-8881-B185C684FF0F}"/>
                </c:ext>
              </c:extLst>
            </c:dLbl>
            <c:dLbl>
              <c:idx val="410"/>
              <c:layout>
                <c:manualLayout>
                  <c:x val="-6.3413963140819477E-17"/>
                  <c:y val="-0.1051750688710367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B29-4527-AF86-64394777337B}"/>
                </c:ext>
              </c:extLst>
            </c:dLbl>
            <c:dLbl>
              <c:idx val="438"/>
              <c:layout>
                <c:manualLayout>
                  <c:x val="1.7294917010272637E-3"/>
                  <c:y val="-0.1051750688710367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B29-4527-AF86-64394777337B}"/>
                </c:ext>
              </c:extLst>
            </c:dLbl>
            <c:dLbl>
              <c:idx val="440"/>
              <c:layout>
                <c:manualLayout>
                  <c:x val="-6.6424353433147788E-17"/>
                  <c:y val="-8.39895013123360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BA3-417D-939D-67D8CE6BEA92}"/>
                </c:ext>
              </c:extLst>
            </c:dLbl>
            <c:dLbl>
              <c:idx val="468"/>
              <c:layout>
                <c:manualLayout>
                  <c:x val="-1.3284870686629558E-16"/>
                  <c:y val="-9.44881889763780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91E-4D15-8881-B185C684FF0F}"/>
                </c:ext>
              </c:extLst>
            </c:dLbl>
            <c:dLbl>
              <c:idx val="469"/>
              <c:layout>
                <c:manualLayout>
                  <c:x val="1.7294917010272637E-3"/>
                  <c:y val="-9.46575619839329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B29-4527-AF86-64394777337B}"/>
                </c:ext>
              </c:extLst>
            </c:dLbl>
            <c:dLbl>
              <c:idx val="471"/>
              <c:layout>
                <c:manualLayout>
                  <c:x val="0"/>
                  <c:y val="-5.7742782152230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BA3-417D-939D-67D8CE6BEA92}"/>
                </c:ext>
              </c:extLst>
            </c:dLbl>
            <c:dLbl>
              <c:idx val="499"/>
              <c:layout>
                <c:manualLayout>
                  <c:x val="1.7294917010272637E-3"/>
                  <c:y val="-7.88813016532774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B29-4527-AF86-64394777337B}"/>
                </c:ext>
              </c:extLst>
            </c:dLbl>
            <c:dLbl>
              <c:idx val="501"/>
              <c:layout>
                <c:manualLayout>
                  <c:x val="1.8115942028985507E-3"/>
                  <c:y val="-4.72440944881889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BA3-417D-939D-67D8CE6BEA92}"/>
                </c:ext>
              </c:extLst>
            </c:dLbl>
            <c:dLbl>
              <c:idx val="529"/>
              <c:layout>
                <c:manualLayout>
                  <c:x val="0"/>
                  <c:y val="-5.7742782152230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91E-4D15-8881-B185C684FF0F}"/>
                </c:ext>
              </c:extLst>
            </c:dLbl>
            <c:dLbl>
              <c:idx val="530"/>
              <c:layout>
                <c:manualLayout>
                  <c:x val="0"/>
                  <c:y val="-5.2587534435518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B29-4527-AF86-64394777337B}"/>
                </c:ext>
              </c:extLst>
            </c:dLbl>
            <c:dLbl>
              <c:idx val="532"/>
              <c:layout>
                <c:manualLayout>
                  <c:x val="-1.3284870686629558E-16"/>
                  <c:y val="-4.72440944881889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BA3-417D-939D-67D8CE6BEA92}"/>
                </c:ext>
              </c:extLst>
            </c:dLbl>
            <c:dLbl>
              <c:idx val="560"/>
              <c:layout>
                <c:manualLayout>
                  <c:x val="0"/>
                  <c:y val="-4.73287809919665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B29-4527-AF86-64394777337B}"/>
                </c:ext>
              </c:extLst>
            </c:dLbl>
            <c:dLbl>
              <c:idx val="563"/>
              <c:layout>
                <c:manualLayout>
                  <c:x val="0"/>
                  <c:y val="-4.72440944881889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BA3-417D-939D-67D8CE6BEA92}"/>
                </c:ext>
              </c:extLst>
            </c:dLbl>
            <c:dLbl>
              <c:idx val="591"/>
              <c:layout>
                <c:manualLayout>
                  <c:x val="0"/>
                  <c:y val="-4.73287809919665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B29-4527-AF86-64394777337B}"/>
                </c:ext>
              </c:extLst>
            </c:dLbl>
            <c:dLbl>
              <c:idx val="593"/>
              <c:layout>
                <c:manualLayout>
                  <c:x val="-3.6231884057971015E-3"/>
                  <c:y val="-4.72440944881890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BA3-417D-939D-67D8CE6BEA92}"/>
                </c:ext>
              </c:extLst>
            </c:dLbl>
            <c:dLbl>
              <c:idx val="622"/>
              <c:layout>
                <c:manualLayout>
                  <c:x val="0"/>
                  <c:y val="-5.25875344355183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B29-4527-AF86-64394777337B}"/>
                </c:ext>
              </c:extLst>
            </c:dLbl>
            <c:dLbl>
              <c:idx val="652"/>
              <c:layout>
                <c:manualLayout>
                  <c:x val="0"/>
                  <c:y val="-1.06210345754024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1B29-4527-AF86-64394777337B}"/>
                </c:ext>
              </c:extLst>
            </c:dLbl>
            <c:dLbl>
              <c:idx val="682"/>
              <c:layout>
                <c:manualLayout>
                  <c:x val="-1.8115942028985507E-3"/>
                  <c:y val="-1.04986876640420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91E-4D15-8881-B185C684FF0F}"/>
                </c:ext>
              </c:extLst>
            </c:dLbl>
            <c:dLbl>
              <c:idx val="683"/>
              <c:layout>
                <c:manualLayout>
                  <c:x val="-1.7294917010273903E-3"/>
                  <c:y val="-7.88813016532775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1B29-4527-AF86-64394777337B}"/>
                </c:ext>
              </c:extLst>
            </c:dLbl>
            <c:dLbl>
              <c:idx val="713"/>
              <c:layout>
                <c:manualLayout>
                  <c:x val="-1.3284870686629558E-16"/>
                  <c:y val="-1.59174985016637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1B29-4527-AF86-64394777337B}"/>
                </c:ext>
              </c:extLst>
            </c:dLbl>
            <c:dLbl>
              <c:idx val="744"/>
              <c:layout>
                <c:manualLayout>
                  <c:x val="-1.8937578454865727E-3"/>
                  <c:y val="-3.692438051542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1B29-4527-AF86-64394777337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>
                    <a:solidFill>
                      <a:srgbClr val="004563"/>
                    </a:solidFill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Dat_02!$H$3:$I$762</c:f>
              <c:multiLvlStrCache>
                <c:ptCount val="746"/>
                <c:lvl>
                  <c:pt idx="14">
                    <c:v>M</c:v>
                  </c:pt>
                  <c:pt idx="45">
                    <c:v>A</c:v>
                  </c:pt>
                  <c:pt idx="75">
                    <c:v>M</c:v>
                  </c:pt>
                  <c:pt idx="106">
                    <c:v>J</c:v>
                  </c:pt>
                  <c:pt idx="136">
                    <c:v>J</c:v>
                  </c:pt>
                  <c:pt idx="167">
                    <c:v>A</c:v>
                  </c:pt>
                  <c:pt idx="198">
                    <c:v>S</c:v>
                  </c:pt>
                  <c:pt idx="228">
                    <c:v>O</c:v>
                  </c:pt>
                  <c:pt idx="259">
                    <c:v>N</c:v>
                  </c:pt>
                  <c:pt idx="289">
                    <c:v>D</c:v>
                  </c:pt>
                  <c:pt idx="320">
                    <c:v>E</c:v>
                  </c:pt>
                  <c:pt idx="351">
                    <c:v>F</c:v>
                  </c:pt>
                  <c:pt idx="379">
                    <c:v>M</c:v>
                  </c:pt>
                  <c:pt idx="410">
                    <c:v>A</c:v>
                  </c:pt>
                  <c:pt idx="440">
                    <c:v>M</c:v>
                  </c:pt>
                  <c:pt idx="471">
                    <c:v>J</c:v>
                  </c:pt>
                  <c:pt idx="501">
                    <c:v>J</c:v>
                  </c:pt>
                  <c:pt idx="532">
                    <c:v>A</c:v>
                  </c:pt>
                  <c:pt idx="563">
                    <c:v>S</c:v>
                  </c:pt>
                  <c:pt idx="593">
                    <c:v>O</c:v>
                  </c:pt>
                  <c:pt idx="624">
                    <c:v>N</c:v>
                  </c:pt>
                  <c:pt idx="654">
                    <c:v>D</c:v>
                  </c:pt>
                  <c:pt idx="685">
                    <c:v>E</c:v>
                  </c:pt>
                  <c:pt idx="716">
                    <c:v>F</c:v>
                  </c:pt>
                  <c:pt idx="745">
                    <c:v>M</c:v>
                  </c:pt>
                </c:lvl>
                <c:lvl>
                  <c:pt idx="0">
                    <c:v>2022 </c:v>
                  </c:pt>
                  <c:pt idx="306">
                    <c:v>2023 </c:v>
                  </c:pt>
                  <c:pt idx="671">
                    <c:v>2024 </c:v>
                  </c:pt>
                </c:lvl>
              </c:multiLvlStrCache>
            </c:multiLvlStrRef>
          </c:cat>
          <c:val>
            <c:numRef>
              <c:f>Dat_02!$G$3:$G$762</c:f>
              <c:numCache>
                <c:formatCode>0</c:formatCode>
                <c:ptCount val="760"/>
                <c:pt idx="14">
                  <c:v>128.70213492494773</c:v>
                </c:pt>
                <c:pt idx="45">
                  <c:v>125.24455872987446</c:v>
                </c:pt>
                <c:pt idx="75">
                  <c:v>99.174715760964361</c:v>
                </c:pt>
                <c:pt idx="106">
                  <c:v>63.624179558812038</c:v>
                </c:pt>
                <c:pt idx="136">
                  <c:v>27.442156278712137</c:v>
                </c:pt>
                <c:pt idx="167">
                  <c:v>16.581237981614105</c:v>
                </c:pt>
                <c:pt idx="198">
                  <c:v>21.033168040284398</c:v>
                </c:pt>
                <c:pt idx="228">
                  <c:v>41.704179443866899</c:v>
                </c:pt>
                <c:pt idx="259">
                  <c:v>83.437278222405467</c:v>
                </c:pt>
                <c:pt idx="289">
                  <c:v>108.10243370537623</c:v>
                </c:pt>
                <c:pt idx="320">
                  <c:v>119.44455644829111</c:v>
                </c:pt>
                <c:pt idx="351">
                  <c:v>127.90897946252304</c:v>
                </c:pt>
                <c:pt idx="379">
                  <c:v>128.18908398701601</c:v>
                </c:pt>
                <c:pt idx="410">
                  <c:v>125.90182729691037</c:v>
                </c:pt>
                <c:pt idx="440">
                  <c:v>98.741424078570617</c:v>
                </c:pt>
                <c:pt idx="471">
                  <c:v>62.091495991055417</c:v>
                </c:pt>
                <c:pt idx="501">
                  <c:v>26.601704529721381</c:v>
                </c:pt>
                <c:pt idx="532">
                  <c:v>15.940810769841702</c:v>
                </c:pt>
                <c:pt idx="563">
                  <c:v>20.220393285105605</c:v>
                </c:pt>
                <c:pt idx="593">
                  <c:v>40.400211353346023</c:v>
                </c:pt>
                <c:pt idx="624">
                  <c:v>80.938788836501317</c:v>
                </c:pt>
                <c:pt idx="654">
                  <c:v>105.77564059458246</c:v>
                </c:pt>
                <c:pt idx="685">
                  <c:v>117.73333309338341</c:v>
                </c:pt>
                <c:pt idx="716">
                  <c:v>123.24675909882176</c:v>
                </c:pt>
                <c:pt idx="745">
                  <c:v>124.20934941128793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99DD-4A21-81C4-CF0DABA6DF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7457336"/>
        <c:axId val="707457728"/>
      </c:areaChart>
      <c:catAx>
        <c:axId val="707457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>
            <a:solidFill>
              <a:srgbClr val="006699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7074577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707457728"/>
        <c:scaling>
          <c:orientation val="minMax"/>
          <c:max val="600"/>
        </c:scaling>
        <c:delete val="0"/>
        <c:axPos val="l"/>
        <c:majorGridlines>
          <c:spPr>
            <a:ln w="3175">
              <a:solidFill>
                <a:srgbClr val="006699"/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4563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r>
                  <a:rPr lang="es-ES" b="0" i="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3.6580732700135683E-2"/>
              <c:y val="6.9175605017876701E-3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 w="9525">
            <a:solidFill>
              <a:srgbClr val="006699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707457336"/>
        <c:crosses val="autoZero"/>
        <c:crossBetween val="midCat"/>
        <c:majorUnit val="100"/>
      </c:valAx>
      <c:spPr>
        <a:solidFill>
          <a:srgbClr val="F5F5F5"/>
        </a:solidFill>
        <a:ln>
          <a:noFill/>
        </a:ln>
      </c:spPr>
    </c:plotArea>
    <c:legend>
      <c:legendPos val="t"/>
      <c:layout>
        <c:manualLayout>
          <c:xMode val="edge"/>
          <c:yMode val="edge"/>
          <c:x val="0.31693273076279305"/>
          <c:y val="1.5748031496062992E-2"/>
          <c:w val="0.33357008799951565"/>
          <c:h val="8.5205117076900816E-2"/>
        </c:manualLayout>
      </c:layout>
      <c:overlay val="0"/>
    </c:legend>
    <c:plotVisOnly val="1"/>
    <c:dispBlanksAs val="gap"/>
    <c:showDLblsOverMax val="0"/>
  </c:chart>
  <c:spPr>
    <a:solidFill>
      <a:srgbClr val="F5F5F5"/>
    </a:solidFill>
    <a:ln w="3175">
      <a:noFill/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 verticalDpi="1200"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319246025102119E-2"/>
          <c:y val="9.9541875447387268E-2"/>
          <c:w val="0.88296348670701863"/>
          <c:h val="0.65684680256901473"/>
        </c:manualLayout>
      </c:layout>
      <c:areaChart>
        <c:grouping val="standard"/>
        <c:varyColors val="0"/>
        <c:ser>
          <c:idx val="3"/>
          <c:order val="0"/>
          <c:tx>
            <c:strRef>
              <c:f>'Data 3'!$F$4</c:f>
              <c:strCache>
                <c:ptCount val="1"/>
                <c:pt idx="0">
                  <c:v>Máximo</c:v>
                </c:pt>
              </c:strCache>
            </c:strRef>
          </c:tx>
          <c:spPr>
            <a:solidFill>
              <a:srgbClr val="CCCCFF"/>
            </a:solidFill>
            <a:ln w="25400">
              <a:noFill/>
            </a:ln>
          </c:spPr>
          <c:cat>
            <c:strRef>
              <c:f>'Data 3'!$C$46:$C$58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'Data 3'!$F$47:$F$59</c:f>
              <c:numCache>
                <c:formatCode>#,##0\ _)</c:formatCode>
                <c:ptCount val="13"/>
                <c:pt idx="0">
                  <c:v>12562.378863849992</c:v>
                </c:pt>
                <c:pt idx="1">
                  <c:v>11229.408822250003</c:v>
                </c:pt>
                <c:pt idx="2">
                  <c:v>10432.212868399996</c:v>
                </c:pt>
                <c:pt idx="3">
                  <c:v>10126.464060649998</c:v>
                </c:pt>
                <c:pt idx="4">
                  <c:v>11273.481864499998</c:v>
                </c:pt>
                <c:pt idx="5">
                  <c:v>13151.183606699993</c:v>
                </c:pt>
                <c:pt idx="6">
                  <c:v>13045.226951500001</c:v>
                </c:pt>
                <c:pt idx="7">
                  <c:v>13556.135233550001</c:v>
                </c:pt>
                <c:pt idx="8">
                  <c:v>13961.2765736</c:v>
                </c:pt>
                <c:pt idx="9">
                  <c:v>14096.665781349997</c:v>
                </c:pt>
                <c:pt idx="10">
                  <c:v>14273.023168700001</c:v>
                </c:pt>
                <c:pt idx="11">
                  <c:v>14033.682326700004</c:v>
                </c:pt>
                <c:pt idx="12">
                  <c:v>12637.876730299991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32-4E51-A4A1-E66A27061152}"/>
            </c:ext>
          </c:extLst>
        </c:ser>
        <c:ser>
          <c:idx val="4"/>
          <c:order val="1"/>
          <c:tx>
            <c:strRef>
              <c:f>'Data 3'!$G$4</c:f>
              <c:strCache>
                <c:ptCount val="1"/>
                <c:pt idx="0">
                  <c:v>Mínimo</c:v>
                </c:pt>
              </c:strCache>
            </c:strRef>
          </c:tx>
          <c:spPr>
            <a:solidFill>
              <a:srgbClr val="F5F5F5"/>
            </a:solidFill>
            <a:ln w="25400">
              <a:noFill/>
            </a:ln>
          </c:spPr>
          <c:cat>
            <c:strRef>
              <c:f>'Data 3'!$C$46:$C$58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'Data 3'!$G$47:$G$59</c:f>
              <c:numCache>
                <c:formatCode>#,##0\ _)</c:formatCode>
                <c:ptCount val="13"/>
                <c:pt idx="0">
                  <c:v>5915.1664204949993</c:v>
                </c:pt>
                <c:pt idx="1">
                  <c:v>5168.0545450397494</c:v>
                </c:pt>
                <c:pt idx="2">
                  <c:v>4785.5655401029526</c:v>
                </c:pt>
                <c:pt idx="3">
                  <c:v>4514.7712603624032</c:v>
                </c:pt>
                <c:pt idx="4">
                  <c:v>4824.0998959000008</c:v>
                </c:pt>
                <c:pt idx="5">
                  <c:v>5306.2445997000004</c:v>
                </c:pt>
                <c:pt idx="6">
                  <c:v>5495.1702926999978</c:v>
                </c:pt>
                <c:pt idx="7">
                  <c:v>5633.2263627000011</c:v>
                </c:pt>
                <c:pt idx="8">
                  <c:v>6078.193415849998</c:v>
                </c:pt>
                <c:pt idx="9">
                  <c:v>7320.4817357141919</c:v>
                </c:pt>
                <c:pt idx="10">
                  <c:v>7374.8342840723762</c:v>
                </c:pt>
                <c:pt idx="11">
                  <c:v>6824.7202014883251</c:v>
                </c:pt>
                <c:pt idx="12">
                  <c:v>5968.7575210041769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32-4E51-A4A1-E66A270611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7458512"/>
        <c:axId val="707458904"/>
      </c:areaChart>
      <c:lineChart>
        <c:grouping val="standard"/>
        <c:varyColors val="0"/>
        <c:ser>
          <c:idx val="0"/>
          <c:order val="2"/>
          <c:tx>
            <c:strRef>
              <c:f>'Data 3'!$H$4</c:f>
              <c:strCache>
                <c:ptCount val="1"/>
                <c:pt idx="0">
                  <c:v>Media estadística (GWh)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Ref>
              <c:f>'Data 3'!$C$47:$C$59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'Data 3'!$H$47:$H$59</c:f>
              <c:numCache>
                <c:formatCode>#,##0\ _)</c:formatCode>
                <c:ptCount val="13"/>
                <c:pt idx="0">
                  <c:v>9688.0502232640847</c:v>
                </c:pt>
                <c:pt idx="1">
                  <c:v>8576.9264407265182</c:v>
                </c:pt>
                <c:pt idx="2">
                  <c:v>7781.2152055584493</c:v>
                </c:pt>
                <c:pt idx="3">
                  <c:v>7613.3641368904337</c:v>
                </c:pt>
                <c:pt idx="4">
                  <c:v>7991.0891993394935</c:v>
                </c:pt>
                <c:pt idx="5">
                  <c:v>8518.007405024804</c:v>
                </c:pt>
                <c:pt idx="6">
                  <c:v>9256.8070597800142</c:v>
                </c:pt>
                <c:pt idx="7">
                  <c:v>9899.4168212792774</c:v>
                </c:pt>
                <c:pt idx="8">
                  <c:v>10511.775118190948</c:v>
                </c:pt>
                <c:pt idx="9">
                  <c:v>11066.351444386546</c:v>
                </c:pt>
                <c:pt idx="10">
                  <c:v>11196.411789447282</c:v>
                </c:pt>
                <c:pt idx="11">
                  <c:v>10706.264048059809</c:v>
                </c:pt>
                <c:pt idx="12">
                  <c:v>9551.05530403394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632-4E51-A4A1-E66A27061152}"/>
            </c:ext>
          </c:extLst>
        </c:ser>
        <c:ser>
          <c:idx val="1"/>
          <c:order val="3"/>
          <c:tx>
            <c:strRef>
              <c:f>'Data 3'!$E$3:$E$4</c:f>
              <c:strCache>
                <c:ptCount val="2"/>
                <c:pt idx="0">
                  <c:v>Capacidad </c:v>
                </c:pt>
                <c:pt idx="1">
                  <c:v>máxima (GWh)</c:v>
                </c:pt>
              </c:strCache>
            </c:strRef>
          </c:tx>
          <c:spPr>
            <a:ln w="25400">
              <a:solidFill>
                <a:srgbClr val="92D050"/>
              </a:solidFill>
              <a:prstDash val="solid"/>
            </a:ln>
          </c:spPr>
          <c:marker>
            <c:symbol val="none"/>
          </c:marker>
          <c:cat>
            <c:strRef>
              <c:f>'Data 3'!$C$47:$C$59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'Data 3'!$E$47:$E$59</c:f>
              <c:numCache>
                <c:formatCode>#,##0\ _)</c:formatCode>
                <c:ptCount val="13"/>
                <c:pt idx="0">
                  <c:v>18538.071</c:v>
                </c:pt>
                <c:pt idx="1">
                  <c:v>18538.071</c:v>
                </c:pt>
                <c:pt idx="2">
                  <c:v>18538.071</c:v>
                </c:pt>
                <c:pt idx="3">
                  <c:v>18538.071</c:v>
                </c:pt>
                <c:pt idx="4">
                  <c:v>18538.071</c:v>
                </c:pt>
                <c:pt idx="5">
                  <c:v>18538.071</c:v>
                </c:pt>
                <c:pt idx="6">
                  <c:v>18538.071</c:v>
                </c:pt>
                <c:pt idx="7">
                  <c:v>18538.071</c:v>
                </c:pt>
                <c:pt idx="8">
                  <c:v>18538.071</c:v>
                </c:pt>
                <c:pt idx="9">
                  <c:v>18538.071</c:v>
                </c:pt>
                <c:pt idx="10">
                  <c:v>18538.071</c:v>
                </c:pt>
                <c:pt idx="11">
                  <c:v>18538.071</c:v>
                </c:pt>
                <c:pt idx="12">
                  <c:v>18538.071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632-4E51-A4A1-E66A27061152}"/>
            </c:ext>
          </c:extLst>
        </c:ser>
        <c:ser>
          <c:idx val="2"/>
          <c:order val="4"/>
          <c:tx>
            <c:strRef>
              <c:f>'Data 3'!$D$4</c:f>
              <c:strCache>
                <c:ptCount val="1"/>
                <c:pt idx="0">
                  <c:v>Reservas (GWh)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'Data 3'!$C$47:$C$59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'Data 3'!$D$47:$D$59</c:f>
              <c:numCache>
                <c:formatCode>#,##0</c:formatCode>
                <c:ptCount val="13"/>
                <c:pt idx="0">
                  <c:v>8175.9128053970835</c:v>
                </c:pt>
                <c:pt idx="1">
                  <c:v>7267.4230046471803</c:v>
                </c:pt>
                <c:pt idx="2">
                  <c:v>7008.4596426560602</c:v>
                </c:pt>
                <c:pt idx="3">
                  <c:v>7614.13469651794</c:v>
                </c:pt>
                <c:pt idx="4">
                  <c:v>9142.8206733039697</c:v>
                </c:pt>
                <c:pt idx="5">
                  <c:v>9446.2258304710394</c:v>
                </c:pt>
                <c:pt idx="6">
                  <c:v>10688.2040657137</c:v>
                </c:pt>
                <c:pt idx="7">
                  <c:v>11221.4886575035</c:v>
                </c:pt>
                <c:pt idx="8">
                  <c:v>13037.077126418901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632-4E51-A4A1-E66A270611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7458512"/>
        <c:axId val="707458904"/>
      </c:lineChart>
      <c:catAx>
        <c:axId val="707458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4F81BD"/>
            </a:solidFill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70745890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707458904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4563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r>
                  <a:rPr lang="es-ES" b="0" i="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1.9133446015583127E-2"/>
              <c:y val="2.098749735402305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chemeClr val="accent1"/>
            </a:solidFill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7074585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6.4706340278893715E-2"/>
          <c:y val="2.3175760273782032E-2"/>
          <c:w val="0.85638161721932471"/>
          <c:h val="6.2259966001965407E-2"/>
        </c:manualLayout>
      </c:layout>
      <c:overlay val="0"/>
      <c:spPr>
        <a:solidFill>
          <a:srgbClr val="F5F5F5"/>
        </a:solidFill>
        <a:ln w="25400">
          <a:noFill/>
        </a:ln>
      </c:spPr>
      <c:txPr>
        <a:bodyPr/>
        <a:lstStyle/>
        <a:p>
          <a:pPr>
            <a:defRPr sz="700" b="0" i="0" u="none" strike="noStrike" baseline="0">
              <a:solidFill>
                <a:srgbClr val="004563"/>
              </a:solidFill>
              <a:latin typeface="Arial" panose="020B0604020202020204" pitchFamily="34" charset="0"/>
              <a:ea typeface="Geneva"/>
              <a:cs typeface="Arial" panose="020B0604020202020204" pitchFamily="34" charset="0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319245808559654E-2"/>
          <c:y val="0.14509060663849843"/>
          <c:w val="0.88296348670701863"/>
          <c:h val="0.65684680256901473"/>
        </c:manualLayout>
      </c:layout>
      <c:areaChart>
        <c:grouping val="standard"/>
        <c:varyColors val="0"/>
        <c:ser>
          <c:idx val="3"/>
          <c:order val="0"/>
          <c:tx>
            <c:strRef>
              <c:f>'Data 3'!$F$4</c:f>
              <c:strCache>
                <c:ptCount val="1"/>
                <c:pt idx="0">
                  <c:v>Máximo</c:v>
                </c:pt>
              </c:strCache>
            </c:strRef>
          </c:tx>
          <c:spPr>
            <a:solidFill>
              <a:srgbClr val="CCCCFF"/>
            </a:solidFill>
            <a:ln w="25400">
              <a:noFill/>
            </a:ln>
          </c:spPr>
          <c:cat>
            <c:multiLvlStrRef>
              <c:f>'Data 3'!$B$5:$C$64</c:f>
              <c:multiLvlStrCache>
                <c:ptCount val="60"/>
                <c:lvl>
                  <c:pt idx="0">
                    <c:v>E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E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E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  <c:pt idx="31">
                    <c:v>A</c:v>
                  </c:pt>
                  <c:pt idx="32">
                    <c:v>S</c:v>
                  </c:pt>
                  <c:pt idx="33">
                    <c:v>O</c:v>
                  </c:pt>
                  <c:pt idx="34">
                    <c:v>N</c:v>
                  </c:pt>
                  <c:pt idx="35">
                    <c:v>D</c:v>
                  </c:pt>
                  <c:pt idx="36">
                    <c:v>E</c:v>
                  </c:pt>
                  <c:pt idx="37">
                    <c:v>F</c:v>
                  </c:pt>
                  <c:pt idx="38">
                    <c:v>M</c:v>
                  </c:pt>
                  <c:pt idx="39">
                    <c:v>A</c:v>
                  </c:pt>
                  <c:pt idx="40">
                    <c:v>M</c:v>
                  </c:pt>
                  <c:pt idx="41">
                    <c:v>J</c:v>
                  </c:pt>
                  <c:pt idx="42">
                    <c:v>J</c:v>
                  </c:pt>
                  <c:pt idx="43">
                    <c:v>A</c:v>
                  </c:pt>
                  <c:pt idx="44">
                    <c:v>S</c:v>
                  </c:pt>
                  <c:pt idx="45">
                    <c:v>O</c:v>
                  </c:pt>
                  <c:pt idx="46">
                    <c:v>N</c:v>
                  </c:pt>
                  <c:pt idx="47">
                    <c:v>D</c:v>
                  </c:pt>
                  <c:pt idx="48">
                    <c:v>E</c:v>
                  </c:pt>
                  <c:pt idx="49">
                    <c:v>F</c:v>
                  </c:pt>
                  <c:pt idx="50">
                    <c:v>M</c:v>
                  </c:pt>
                  <c:pt idx="51">
                    <c:v>A</c:v>
                  </c:pt>
                  <c:pt idx="52">
                    <c:v>M</c:v>
                  </c:pt>
                  <c:pt idx="53">
                    <c:v>J</c:v>
                  </c:pt>
                  <c:pt idx="54">
                    <c:v>J</c:v>
                  </c:pt>
                  <c:pt idx="55">
                    <c:v>A</c:v>
                  </c:pt>
                  <c:pt idx="56">
                    <c:v>S</c:v>
                  </c:pt>
                  <c:pt idx="57">
                    <c:v>O</c:v>
                  </c:pt>
                  <c:pt idx="58">
                    <c:v>N</c:v>
                  </c:pt>
                  <c:pt idx="59">
                    <c:v>D</c:v>
                  </c:pt>
                </c:lvl>
                <c:lvl>
                  <c:pt idx="0">
                    <c:v>2020</c:v>
                  </c:pt>
                  <c:pt idx="12">
                    <c:v>2021</c:v>
                  </c:pt>
                  <c:pt idx="24">
                    <c:v>2022</c:v>
                  </c:pt>
                  <c:pt idx="36">
                    <c:v>2023</c:v>
                  </c:pt>
                  <c:pt idx="48">
                    <c:v>2024</c:v>
                  </c:pt>
                </c:lvl>
              </c:multiLvlStrCache>
            </c:multiLvlStrRef>
          </c:cat>
          <c:val>
            <c:numRef>
              <c:f>'Data 3'!$F$5:$F$64</c:f>
              <c:numCache>
                <c:formatCode>#,##0\ _)</c:formatCode>
                <c:ptCount val="60"/>
                <c:pt idx="0">
                  <c:v>13025.278086900002</c:v>
                </c:pt>
                <c:pt idx="1">
                  <c:v>13282.205454749997</c:v>
                </c:pt>
                <c:pt idx="2">
                  <c:v>13779.121679499998</c:v>
                </c:pt>
                <c:pt idx="3">
                  <c:v>13901.975652950001</c:v>
                </c:pt>
                <c:pt idx="4">
                  <c:v>14115.337503700002</c:v>
                </c:pt>
                <c:pt idx="5">
                  <c:v>13804.115890500001</c:v>
                </c:pt>
                <c:pt idx="6">
                  <c:v>12335.885264499995</c:v>
                </c:pt>
                <c:pt idx="7">
                  <c:v>11008.379514400005</c:v>
                </c:pt>
                <c:pt idx="8">
                  <c:v>10216.987657999998</c:v>
                </c:pt>
                <c:pt idx="9">
                  <c:v>9860.0850484999992</c:v>
                </c:pt>
                <c:pt idx="10">
                  <c:v>11197.565775799998</c:v>
                </c:pt>
                <c:pt idx="11">
                  <c:v>13334.108503349993</c:v>
                </c:pt>
                <c:pt idx="12">
                  <c:v>13030.265303050002</c:v>
                </c:pt>
                <c:pt idx="13">
                  <c:v>13350.687899449997</c:v>
                </c:pt>
                <c:pt idx="14">
                  <c:v>13867.618216399997</c:v>
                </c:pt>
                <c:pt idx="15">
                  <c:v>13950.648185050002</c:v>
                </c:pt>
                <c:pt idx="16">
                  <c:v>14154.758919950002</c:v>
                </c:pt>
                <c:pt idx="17">
                  <c:v>13861.50749955</c:v>
                </c:pt>
                <c:pt idx="18">
                  <c:v>12411.383130949995</c:v>
                </c:pt>
                <c:pt idx="19">
                  <c:v>11082.055950350004</c:v>
                </c:pt>
                <c:pt idx="20">
                  <c:v>10288.729394799997</c:v>
                </c:pt>
                <c:pt idx="21">
                  <c:v>9948.8780525499988</c:v>
                </c:pt>
                <c:pt idx="22">
                  <c:v>11222.871138699997</c:v>
                </c:pt>
                <c:pt idx="23">
                  <c:v>13273.133537799993</c:v>
                </c:pt>
                <c:pt idx="24">
                  <c:v>13035.252519200001</c:v>
                </c:pt>
                <c:pt idx="25">
                  <c:v>13419.170344149999</c:v>
                </c:pt>
                <c:pt idx="26">
                  <c:v>13898.837668799999</c:v>
                </c:pt>
                <c:pt idx="27">
                  <c:v>13999.32071715</c:v>
                </c:pt>
                <c:pt idx="28">
                  <c:v>14194.180336200001</c:v>
                </c:pt>
                <c:pt idx="29">
                  <c:v>13918.899108600002</c:v>
                </c:pt>
                <c:pt idx="30">
                  <c:v>12486.880997399992</c:v>
                </c:pt>
                <c:pt idx="31">
                  <c:v>11155.732386300004</c:v>
                </c:pt>
                <c:pt idx="32">
                  <c:v>10360.471131599998</c:v>
                </c:pt>
                <c:pt idx="33">
                  <c:v>10037.671056599998</c:v>
                </c:pt>
                <c:pt idx="34">
                  <c:v>11248.176501599997</c:v>
                </c:pt>
                <c:pt idx="35">
                  <c:v>13212.158572249993</c:v>
                </c:pt>
                <c:pt idx="36">
                  <c:v>13040.239735350002</c:v>
                </c:pt>
                <c:pt idx="37">
                  <c:v>13487.652788849999</c:v>
                </c:pt>
                <c:pt idx="38">
                  <c:v>13930.057121199998</c:v>
                </c:pt>
                <c:pt idx="39">
                  <c:v>14047.993249249999</c:v>
                </c:pt>
                <c:pt idx="40">
                  <c:v>14233.601752450002</c:v>
                </c:pt>
                <c:pt idx="41">
                  <c:v>13976.290717650001</c:v>
                </c:pt>
                <c:pt idx="42">
                  <c:v>12562.378863849992</c:v>
                </c:pt>
                <c:pt idx="43">
                  <c:v>11229.408822250003</c:v>
                </c:pt>
                <c:pt idx="44">
                  <c:v>10432.212868399996</c:v>
                </c:pt>
                <c:pt idx="45">
                  <c:v>10126.464060649998</c:v>
                </c:pt>
                <c:pt idx="46">
                  <c:v>11273.481864499998</c:v>
                </c:pt>
                <c:pt idx="47">
                  <c:v>13151.183606699993</c:v>
                </c:pt>
                <c:pt idx="48">
                  <c:v>13045.226951500001</c:v>
                </c:pt>
                <c:pt idx="49">
                  <c:v>13556.135233550001</c:v>
                </c:pt>
                <c:pt idx="50">
                  <c:v>13961.2765736</c:v>
                </c:pt>
                <c:pt idx="51">
                  <c:v>14096.665781349997</c:v>
                </c:pt>
                <c:pt idx="52">
                  <c:v>14273.023168700001</c:v>
                </c:pt>
                <c:pt idx="53">
                  <c:v>14033.682326700004</c:v>
                </c:pt>
                <c:pt idx="54">
                  <c:v>12637.876730299991</c:v>
                </c:pt>
                <c:pt idx="55">
                  <c:v>11303.085258200004</c:v>
                </c:pt>
                <c:pt idx="56">
                  <c:v>10503.954605199997</c:v>
                </c:pt>
                <c:pt idx="57">
                  <c:v>10198.405590699997</c:v>
                </c:pt>
                <c:pt idx="58">
                  <c:v>11298.787227399998</c:v>
                </c:pt>
                <c:pt idx="59">
                  <c:v>13090.208641149995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70-4AAB-9D0C-45639A8561D2}"/>
            </c:ext>
          </c:extLst>
        </c:ser>
        <c:ser>
          <c:idx val="4"/>
          <c:order val="1"/>
          <c:tx>
            <c:strRef>
              <c:f>'Data 3'!$G$4</c:f>
              <c:strCache>
                <c:ptCount val="1"/>
                <c:pt idx="0">
                  <c:v>Mínimo</c:v>
                </c:pt>
              </c:strCache>
            </c:strRef>
          </c:tx>
          <c:spPr>
            <a:solidFill>
              <a:srgbClr val="F5F5F5"/>
            </a:solidFill>
            <a:ln w="25400">
              <a:noFill/>
            </a:ln>
          </c:spPr>
          <c:cat>
            <c:multiLvlStrRef>
              <c:f>'Data 3'!$B$5:$C$64</c:f>
              <c:multiLvlStrCache>
                <c:ptCount val="60"/>
                <c:lvl>
                  <c:pt idx="0">
                    <c:v>E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E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E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  <c:pt idx="31">
                    <c:v>A</c:v>
                  </c:pt>
                  <c:pt idx="32">
                    <c:v>S</c:v>
                  </c:pt>
                  <c:pt idx="33">
                    <c:v>O</c:v>
                  </c:pt>
                  <c:pt idx="34">
                    <c:v>N</c:v>
                  </c:pt>
                  <c:pt idx="35">
                    <c:v>D</c:v>
                  </c:pt>
                  <c:pt idx="36">
                    <c:v>E</c:v>
                  </c:pt>
                  <c:pt idx="37">
                    <c:v>F</c:v>
                  </c:pt>
                  <c:pt idx="38">
                    <c:v>M</c:v>
                  </c:pt>
                  <c:pt idx="39">
                    <c:v>A</c:v>
                  </c:pt>
                  <c:pt idx="40">
                    <c:v>M</c:v>
                  </c:pt>
                  <c:pt idx="41">
                    <c:v>J</c:v>
                  </c:pt>
                  <c:pt idx="42">
                    <c:v>J</c:v>
                  </c:pt>
                  <c:pt idx="43">
                    <c:v>A</c:v>
                  </c:pt>
                  <c:pt idx="44">
                    <c:v>S</c:v>
                  </c:pt>
                  <c:pt idx="45">
                    <c:v>O</c:v>
                  </c:pt>
                  <c:pt idx="46">
                    <c:v>N</c:v>
                  </c:pt>
                  <c:pt idx="47">
                    <c:v>D</c:v>
                  </c:pt>
                  <c:pt idx="48">
                    <c:v>E</c:v>
                  </c:pt>
                  <c:pt idx="49">
                    <c:v>F</c:v>
                  </c:pt>
                  <c:pt idx="50">
                    <c:v>M</c:v>
                  </c:pt>
                  <c:pt idx="51">
                    <c:v>A</c:v>
                  </c:pt>
                  <c:pt idx="52">
                    <c:v>M</c:v>
                  </c:pt>
                  <c:pt idx="53">
                    <c:v>J</c:v>
                  </c:pt>
                  <c:pt idx="54">
                    <c:v>J</c:v>
                  </c:pt>
                  <c:pt idx="55">
                    <c:v>A</c:v>
                  </c:pt>
                  <c:pt idx="56">
                    <c:v>S</c:v>
                  </c:pt>
                  <c:pt idx="57">
                    <c:v>O</c:v>
                  </c:pt>
                  <c:pt idx="58">
                    <c:v>N</c:v>
                  </c:pt>
                  <c:pt idx="59">
                    <c:v>D</c:v>
                  </c:pt>
                </c:lvl>
                <c:lvl>
                  <c:pt idx="0">
                    <c:v>2020</c:v>
                  </c:pt>
                  <c:pt idx="12">
                    <c:v>2021</c:v>
                  </c:pt>
                  <c:pt idx="24">
                    <c:v>2022</c:v>
                  </c:pt>
                  <c:pt idx="36">
                    <c:v>2023</c:v>
                  </c:pt>
                  <c:pt idx="48">
                    <c:v>2024</c:v>
                  </c:pt>
                </c:lvl>
              </c:multiLvlStrCache>
            </c:multiLvlStrRef>
          </c:cat>
          <c:val>
            <c:numRef>
              <c:f>'Data 3'!$G$5:$G$64</c:f>
              <c:numCache>
                <c:formatCode>#,##0\ _)</c:formatCode>
                <c:ptCount val="60"/>
                <c:pt idx="0">
                  <c:v>5458.8831046999985</c:v>
                </c:pt>
                <c:pt idx="1">
                  <c:v>5560.4723572999983</c:v>
                </c:pt>
                <c:pt idx="2">
                  <c:v>5822.9730064499981</c:v>
                </c:pt>
                <c:pt idx="3">
                  <c:v>7108.0951499999992</c:v>
                </c:pt>
                <c:pt idx="4">
                  <c:v>7120.6441199999972</c:v>
                </c:pt>
                <c:pt idx="5">
                  <c:v>6599.0676786489421</c:v>
                </c:pt>
                <c:pt idx="6">
                  <c:v>5738.8141714184449</c:v>
                </c:pt>
                <c:pt idx="7">
                  <c:v>5016.2080297901548</c:v>
                </c:pt>
                <c:pt idx="8">
                  <c:v>4709.6077613773832</c:v>
                </c:pt>
                <c:pt idx="9">
                  <c:v>4443.1848832624037</c:v>
                </c:pt>
                <c:pt idx="10">
                  <c:v>4806.2059127499997</c:v>
                </c:pt>
                <c:pt idx="11">
                  <c:v>5321.2928717999985</c:v>
                </c:pt>
                <c:pt idx="12">
                  <c:v>5467.9549016999981</c:v>
                </c:pt>
                <c:pt idx="13">
                  <c:v>5578.6608586499988</c:v>
                </c:pt>
                <c:pt idx="14">
                  <c:v>5886.7781087999983</c:v>
                </c:pt>
                <c:pt idx="15">
                  <c:v>7160.980094999999</c:v>
                </c:pt>
                <c:pt idx="16">
                  <c:v>7197.9099209999968</c:v>
                </c:pt>
                <c:pt idx="17">
                  <c:v>6659.6807604989417</c:v>
                </c:pt>
                <c:pt idx="18">
                  <c:v>5800.1947457021333</c:v>
                </c:pt>
                <c:pt idx="19">
                  <c:v>5069.3133357481856</c:v>
                </c:pt>
                <c:pt idx="20">
                  <c:v>4739.6054379773832</c:v>
                </c:pt>
                <c:pt idx="21">
                  <c:v>4467.0470089624023</c:v>
                </c:pt>
                <c:pt idx="22">
                  <c:v>4812.1705738000001</c:v>
                </c:pt>
                <c:pt idx="23">
                  <c:v>5316.2767810999994</c:v>
                </c:pt>
                <c:pt idx="24">
                  <c:v>5477.0266986999977</c:v>
                </c:pt>
                <c:pt idx="25">
                  <c:v>5596.8493599999993</c:v>
                </c:pt>
                <c:pt idx="26">
                  <c:v>5950.5832111499976</c:v>
                </c:pt>
                <c:pt idx="27">
                  <c:v>7213.8650399999988</c:v>
                </c:pt>
                <c:pt idx="28">
                  <c:v>7275.1757219999972</c:v>
                </c:pt>
                <c:pt idx="29">
                  <c:v>6720.2938423489422</c:v>
                </c:pt>
                <c:pt idx="30">
                  <c:v>5861.5753199858218</c:v>
                </c:pt>
                <c:pt idx="31">
                  <c:v>5122.4186417062165</c:v>
                </c:pt>
                <c:pt idx="32">
                  <c:v>4769.6031145773832</c:v>
                </c:pt>
                <c:pt idx="33">
                  <c:v>4490.9091346624027</c:v>
                </c:pt>
                <c:pt idx="34">
                  <c:v>4818.1352348499995</c:v>
                </c:pt>
                <c:pt idx="35">
                  <c:v>5311.2606904000004</c:v>
                </c:pt>
                <c:pt idx="36">
                  <c:v>5486.0984956999982</c:v>
                </c:pt>
                <c:pt idx="37">
                  <c:v>5615.0378613499997</c:v>
                </c:pt>
                <c:pt idx="38">
                  <c:v>6014.3883134999978</c:v>
                </c:pt>
                <c:pt idx="39">
                  <c:v>7267.1733878570958</c:v>
                </c:pt>
                <c:pt idx="40">
                  <c:v>7325.0050030361872</c:v>
                </c:pt>
                <c:pt idx="41">
                  <c:v>6772.5070219186337</c:v>
                </c:pt>
                <c:pt idx="42">
                  <c:v>5915.1664204949993</c:v>
                </c:pt>
                <c:pt idx="43">
                  <c:v>5168.0545450397494</c:v>
                </c:pt>
                <c:pt idx="44">
                  <c:v>4785.5655401029526</c:v>
                </c:pt>
                <c:pt idx="45">
                  <c:v>4514.7712603624032</c:v>
                </c:pt>
                <c:pt idx="46">
                  <c:v>4824.0998959000008</c:v>
                </c:pt>
                <c:pt idx="47">
                  <c:v>5306.2445997000004</c:v>
                </c:pt>
                <c:pt idx="48">
                  <c:v>5495.1702926999978</c:v>
                </c:pt>
                <c:pt idx="49">
                  <c:v>5633.2263627000011</c:v>
                </c:pt>
                <c:pt idx="50">
                  <c:v>6078.193415849998</c:v>
                </c:pt>
                <c:pt idx="51">
                  <c:v>7320.4817357141919</c:v>
                </c:pt>
                <c:pt idx="52">
                  <c:v>7374.8342840723762</c:v>
                </c:pt>
                <c:pt idx="53">
                  <c:v>6824.7202014883251</c:v>
                </c:pt>
                <c:pt idx="54">
                  <c:v>5968.7575210041769</c:v>
                </c:pt>
                <c:pt idx="55">
                  <c:v>5213.6904483732833</c:v>
                </c:pt>
                <c:pt idx="56">
                  <c:v>4801.527965628522</c:v>
                </c:pt>
                <c:pt idx="57">
                  <c:v>4538.6333860624027</c:v>
                </c:pt>
                <c:pt idx="58">
                  <c:v>4803.1739069499999</c:v>
                </c:pt>
                <c:pt idx="59">
                  <c:v>5281.5086990000018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70-4AAB-9D0C-45639A8561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7459688"/>
        <c:axId val="707460080"/>
      </c:areaChart>
      <c:lineChart>
        <c:grouping val="standard"/>
        <c:varyColors val="0"/>
        <c:ser>
          <c:idx val="0"/>
          <c:order val="2"/>
          <c:tx>
            <c:strRef>
              <c:f>'Data 3'!$H$4</c:f>
              <c:strCache>
                <c:ptCount val="1"/>
                <c:pt idx="0">
                  <c:v>Media estadística (GWh)</c:v>
                </c:pt>
              </c:strCache>
            </c:strRef>
          </c:tx>
          <c:spPr>
            <a:ln w="25400">
              <a:solidFill>
                <a:srgbClr val="FFFF00"/>
              </a:solidFill>
            </a:ln>
          </c:spPr>
          <c:marker>
            <c:symbol val="none"/>
          </c:marker>
          <c:cat>
            <c:multiLvlStrRef>
              <c:f>'Data 3'!$B$5:$C$64</c:f>
              <c:multiLvlStrCache>
                <c:ptCount val="60"/>
                <c:lvl>
                  <c:pt idx="0">
                    <c:v>E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E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E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  <c:pt idx="31">
                    <c:v>A</c:v>
                  </c:pt>
                  <c:pt idx="32">
                    <c:v>S</c:v>
                  </c:pt>
                  <c:pt idx="33">
                    <c:v>O</c:v>
                  </c:pt>
                  <c:pt idx="34">
                    <c:v>N</c:v>
                  </c:pt>
                  <c:pt idx="35">
                    <c:v>D</c:v>
                  </c:pt>
                  <c:pt idx="36">
                    <c:v>E</c:v>
                  </c:pt>
                  <c:pt idx="37">
                    <c:v>F</c:v>
                  </c:pt>
                  <c:pt idx="38">
                    <c:v>M</c:v>
                  </c:pt>
                  <c:pt idx="39">
                    <c:v>A</c:v>
                  </c:pt>
                  <c:pt idx="40">
                    <c:v>M</c:v>
                  </c:pt>
                  <c:pt idx="41">
                    <c:v>J</c:v>
                  </c:pt>
                  <c:pt idx="42">
                    <c:v>J</c:v>
                  </c:pt>
                  <c:pt idx="43">
                    <c:v>A</c:v>
                  </c:pt>
                  <c:pt idx="44">
                    <c:v>S</c:v>
                  </c:pt>
                  <c:pt idx="45">
                    <c:v>O</c:v>
                  </c:pt>
                  <c:pt idx="46">
                    <c:v>N</c:v>
                  </c:pt>
                  <c:pt idx="47">
                    <c:v>D</c:v>
                  </c:pt>
                  <c:pt idx="48">
                    <c:v>E</c:v>
                  </c:pt>
                  <c:pt idx="49">
                    <c:v>F</c:v>
                  </c:pt>
                  <c:pt idx="50">
                    <c:v>M</c:v>
                  </c:pt>
                  <c:pt idx="51">
                    <c:v>A</c:v>
                  </c:pt>
                  <c:pt idx="52">
                    <c:v>M</c:v>
                  </c:pt>
                  <c:pt idx="53">
                    <c:v>J</c:v>
                  </c:pt>
                  <c:pt idx="54">
                    <c:v>J</c:v>
                  </c:pt>
                  <c:pt idx="55">
                    <c:v>A</c:v>
                  </c:pt>
                  <c:pt idx="56">
                    <c:v>S</c:v>
                  </c:pt>
                  <c:pt idx="57">
                    <c:v>O</c:v>
                  </c:pt>
                  <c:pt idx="58">
                    <c:v>N</c:v>
                  </c:pt>
                  <c:pt idx="59">
                    <c:v>D</c:v>
                  </c:pt>
                </c:lvl>
                <c:lvl>
                  <c:pt idx="0">
                    <c:v>2020</c:v>
                  </c:pt>
                  <c:pt idx="12">
                    <c:v>2021</c:v>
                  </c:pt>
                  <c:pt idx="24">
                    <c:v>2022</c:v>
                  </c:pt>
                  <c:pt idx="36">
                    <c:v>2023</c:v>
                  </c:pt>
                  <c:pt idx="48">
                    <c:v>2024</c:v>
                  </c:pt>
                </c:lvl>
              </c:multiLvlStrCache>
            </c:multiLvlStrRef>
          </c:cat>
          <c:val>
            <c:numRef>
              <c:f>'Data 3'!$H$5:$H$64</c:f>
              <c:numCache>
                <c:formatCode>#,##0\ _)</c:formatCode>
                <c:ptCount val="60"/>
                <c:pt idx="0">
                  <c:v>9322.7080025003343</c:v>
                </c:pt>
                <c:pt idx="1">
                  <c:v>9851.4627672801198</c:v>
                </c:pt>
                <c:pt idx="2">
                  <c:v>10516.451776491249</c:v>
                </c:pt>
                <c:pt idx="3">
                  <c:v>11159.497806794267</c:v>
                </c:pt>
                <c:pt idx="4">
                  <c:v>11373.399940146151</c:v>
                </c:pt>
                <c:pt idx="5">
                  <c:v>10842.247789768779</c:v>
                </c:pt>
                <c:pt idx="6">
                  <c:v>9747.2628189624047</c:v>
                </c:pt>
                <c:pt idx="7">
                  <c:v>8682.152701913692</c:v>
                </c:pt>
                <c:pt idx="8">
                  <c:v>7899.635656205076</c:v>
                </c:pt>
                <c:pt idx="9">
                  <c:v>7706.6327509883004</c:v>
                </c:pt>
                <c:pt idx="10">
                  <c:v>8149.1649360341953</c:v>
                </c:pt>
                <c:pt idx="11">
                  <c:v>8688.9230952214075</c:v>
                </c:pt>
                <c:pt idx="12">
                  <c:v>9460.7335985820428</c:v>
                </c:pt>
                <c:pt idx="13">
                  <c:v>10003.035437810451</c:v>
                </c:pt>
                <c:pt idx="14">
                  <c:v>10720.346582784256</c:v>
                </c:pt>
                <c:pt idx="15">
                  <c:v>11307.143756783118</c:v>
                </c:pt>
                <c:pt idx="16">
                  <c:v>11468.407586706651</c:v>
                </c:pt>
                <c:pt idx="17">
                  <c:v>10927.520460105234</c:v>
                </c:pt>
                <c:pt idx="18">
                  <c:v>9824.1360547772583</c:v>
                </c:pt>
                <c:pt idx="19">
                  <c:v>8745.5835792961407</c:v>
                </c:pt>
                <c:pt idx="20">
                  <c:v>7973.9046291740378</c:v>
                </c:pt>
                <c:pt idx="21">
                  <c:v>7820.7365874517254</c:v>
                </c:pt>
                <c:pt idx="22">
                  <c:v>8187.5351249509931</c:v>
                </c:pt>
                <c:pt idx="23">
                  <c:v>8633.7092310648623</c:v>
                </c:pt>
                <c:pt idx="24">
                  <c:v>9325.0652119229526</c:v>
                </c:pt>
                <c:pt idx="25">
                  <c:v>10034.297981343811</c:v>
                </c:pt>
                <c:pt idx="26">
                  <c:v>10651.382707382183</c:v>
                </c:pt>
                <c:pt idx="27">
                  <c:v>11224.845272938524</c:v>
                </c:pt>
                <c:pt idx="28">
                  <c:v>11376.573024106245</c:v>
                </c:pt>
                <c:pt idx="29">
                  <c:v>10871.053378959414</c:v>
                </c:pt>
                <c:pt idx="30">
                  <c:v>9714.3243532549059</c:v>
                </c:pt>
                <c:pt idx="31">
                  <c:v>8618.9540563929877</c:v>
                </c:pt>
                <c:pt idx="32">
                  <c:v>7853.1852055328782</c:v>
                </c:pt>
                <c:pt idx="33">
                  <c:v>7700.931035509464</c:v>
                </c:pt>
                <c:pt idx="34">
                  <c:v>8119.3286799822454</c:v>
                </c:pt>
                <c:pt idx="35">
                  <c:v>8643.2465402423641</c:v>
                </c:pt>
                <c:pt idx="36">
                  <c:v>9345.1985046020109</c:v>
                </c:pt>
                <c:pt idx="37">
                  <c:v>10020.752600659313</c:v>
                </c:pt>
                <c:pt idx="38">
                  <c:v>10628.434723363</c:v>
                </c:pt>
                <c:pt idx="39">
                  <c:v>11226.165030795621</c:v>
                </c:pt>
                <c:pt idx="40">
                  <c:v>11367.959959142432</c:v>
                </c:pt>
                <c:pt idx="41">
                  <c:v>10854.516130029104</c:v>
                </c:pt>
                <c:pt idx="42">
                  <c:v>9688.0502232640847</c:v>
                </c:pt>
                <c:pt idx="43">
                  <c:v>8576.9264407265182</c:v>
                </c:pt>
                <c:pt idx="44">
                  <c:v>7781.2152055584493</c:v>
                </c:pt>
                <c:pt idx="45">
                  <c:v>7613.3641368904337</c:v>
                </c:pt>
                <c:pt idx="46">
                  <c:v>7991.0891993394935</c:v>
                </c:pt>
                <c:pt idx="47">
                  <c:v>8518.007405024804</c:v>
                </c:pt>
                <c:pt idx="48">
                  <c:v>9256.8070597800142</c:v>
                </c:pt>
                <c:pt idx="49">
                  <c:v>9899.4168212792774</c:v>
                </c:pt>
                <c:pt idx="50">
                  <c:v>10511.775118190948</c:v>
                </c:pt>
                <c:pt idx="51">
                  <c:v>11066.351444386546</c:v>
                </c:pt>
                <c:pt idx="52">
                  <c:v>11196.411789447282</c:v>
                </c:pt>
                <c:pt idx="53">
                  <c:v>10706.264048059809</c:v>
                </c:pt>
                <c:pt idx="54">
                  <c:v>9551.05530403394</c:v>
                </c:pt>
                <c:pt idx="55">
                  <c:v>8444.0754629588773</c:v>
                </c:pt>
                <c:pt idx="56">
                  <c:v>7672.7940631912497</c:v>
                </c:pt>
                <c:pt idx="57">
                  <c:v>7534.5096632163304</c:v>
                </c:pt>
                <c:pt idx="58">
                  <c:v>7935.87371500469</c:v>
                </c:pt>
                <c:pt idx="59">
                  <c:v>8466.130292548356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770-4AAB-9D0C-45639A8561D2}"/>
            </c:ext>
          </c:extLst>
        </c:ser>
        <c:ser>
          <c:idx val="1"/>
          <c:order val="3"/>
          <c:tx>
            <c:strRef>
              <c:f>'Data 3'!$E$3:$E$4</c:f>
              <c:strCache>
                <c:ptCount val="2"/>
                <c:pt idx="0">
                  <c:v>Capacidad </c:v>
                </c:pt>
                <c:pt idx="1">
                  <c:v>máxima (GWh)</c:v>
                </c:pt>
              </c:strCache>
            </c:strRef>
          </c:tx>
          <c:spPr>
            <a:ln w="25400">
              <a:solidFill>
                <a:srgbClr val="92D050"/>
              </a:solidFill>
            </a:ln>
          </c:spPr>
          <c:marker>
            <c:symbol val="none"/>
          </c:marker>
          <c:cat>
            <c:multiLvlStrRef>
              <c:f>'Data 3'!$B$5:$C$64</c:f>
              <c:multiLvlStrCache>
                <c:ptCount val="60"/>
                <c:lvl>
                  <c:pt idx="0">
                    <c:v>E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E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E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  <c:pt idx="31">
                    <c:v>A</c:v>
                  </c:pt>
                  <c:pt idx="32">
                    <c:v>S</c:v>
                  </c:pt>
                  <c:pt idx="33">
                    <c:v>O</c:v>
                  </c:pt>
                  <c:pt idx="34">
                    <c:v>N</c:v>
                  </c:pt>
                  <c:pt idx="35">
                    <c:v>D</c:v>
                  </c:pt>
                  <c:pt idx="36">
                    <c:v>E</c:v>
                  </c:pt>
                  <c:pt idx="37">
                    <c:v>F</c:v>
                  </c:pt>
                  <c:pt idx="38">
                    <c:v>M</c:v>
                  </c:pt>
                  <c:pt idx="39">
                    <c:v>A</c:v>
                  </c:pt>
                  <c:pt idx="40">
                    <c:v>M</c:v>
                  </c:pt>
                  <c:pt idx="41">
                    <c:v>J</c:v>
                  </c:pt>
                  <c:pt idx="42">
                    <c:v>J</c:v>
                  </c:pt>
                  <c:pt idx="43">
                    <c:v>A</c:v>
                  </c:pt>
                  <c:pt idx="44">
                    <c:v>S</c:v>
                  </c:pt>
                  <c:pt idx="45">
                    <c:v>O</c:v>
                  </c:pt>
                  <c:pt idx="46">
                    <c:v>N</c:v>
                  </c:pt>
                  <c:pt idx="47">
                    <c:v>D</c:v>
                  </c:pt>
                  <c:pt idx="48">
                    <c:v>E</c:v>
                  </c:pt>
                  <c:pt idx="49">
                    <c:v>F</c:v>
                  </c:pt>
                  <c:pt idx="50">
                    <c:v>M</c:v>
                  </c:pt>
                  <c:pt idx="51">
                    <c:v>A</c:v>
                  </c:pt>
                  <c:pt idx="52">
                    <c:v>M</c:v>
                  </c:pt>
                  <c:pt idx="53">
                    <c:v>J</c:v>
                  </c:pt>
                  <c:pt idx="54">
                    <c:v>J</c:v>
                  </c:pt>
                  <c:pt idx="55">
                    <c:v>A</c:v>
                  </c:pt>
                  <c:pt idx="56">
                    <c:v>S</c:v>
                  </c:pt>
                  <c:pt idx="57">
                    <c:v>O</c:v>
                  </c:pt>
                  <c:pt idx="58">
                    <c:v>N</c:v>
                  </c:pt>
                  <c:pt idx="59">
                    <c:v>D</c:v>
                  </c:pt>
                </c:lvl>
                <c:lvl>
                  <c:pt idx="0">
                    <c:v>2020</c:v>
                  </c:pt>
                  <c:pt idx="12">
                    <c:v>2021</c:v>
                  </c:pt>
                  <c:pt idx="24">
                    <c:v>2022</c:v>
                  </c:pt>
                  <c:pt idx="36">
                    <c:v>2023</c:v>
                  </c:pt>
                  <c:pt idx="48">
                    <c:v>2024</c:v>
                  </c:pt>
                </c:lvl>
              </c:multiLvlStrCache>
            </c:multiLvlStrRef>
          </c:cat>
          <c:val>
            <c:numRef>
              <c:f>'Data 3'!$E$5:$E$64</c:f>
              <c:numCache>
                <c:formatCode>#,##0\ _)</c:formatCode>
                <c:ptCount val="60"/>
                <c:pt idx="0">
                  <c:v>18538.071</c:v>
                </c:pt>
                <c:pt idx="1">
                  <c:v>18538.071</c:v>
                </c:pt>
                <c:pt idx="2">
                  <c:v>18538.071</c:v>
                </c:pt>
                <c:pt idx="3">
                  <c:v>18538.071</c:v>
                </c:pt>
                <c:pt idx="4">
                  <c:v>18538.071</c:v>
                </c:pt>
                <c:pt idx="5">
                  <c:v>18538.071</c:v>
                </c:pt>
                <c:pt idx="6">
                  <c:v>18538.071</c:v>
                </c:pt>
                <c:pt idx="7">
                  <c:v>18538.071</c:v>
                </c:pt>
                <c:pt idx="8">
                  <c:v>18538.071</c:v>
                </c:pt>
                <c:pt idx="9">
                  <c:v>18538.071</c:v>
                </c:pt>
                <c:pt idx="10">
                  <c:v>18538.071</c:v>
                </c:pt>
                <c:pt idx="11">
                  <c:v>18538.071</c:v>
                </c:pt>
                <c:pt idx="12">
                  <c:v>18538.071</c:v>
                </c:pt>
                <c:pt idx="13">
                  <c:v>18538.071</c:v>
                </c:pt>
                <c:pt idx="14">
                  <c:v>18538.071</c:v>
                </c:pt>
                <c:pt idx="15">
                  <c:v>18538.071</c:v>
                </c:pt>
                <c:pt idx="16">
                  <c:v>18538.071</c:v>
                </c:pt>
                <c:pt idx="17">
                  <c:v>18538.071</c:v>
                </c:pt>
                <c:pt idx="18">
                  <c:v>18538.071</c:v>
                </c:pt>
                <c:pt idx="19">
                  <c:v>18538.071</c:v>
                </c:pt>
                <c:pt idx="20">
                  <c:v>18538.071</c:v>
                </c:pt>
                <c:pt idx="21">
                  <c:v>18538.071</c:v>
                </c:pt>
                <c:pt idx="22">
                  <c:v>18538.071</c:v>
                </c:pt>
                <c:pt idx="23">
                  <c:v>18538.071</c:v>
                </c:pt>
                <c:pt idx="24">
                  <c:v>18538.071</c:v>
                </c:pt>
                <c:pt idx="25">
                  <c:v>18538.071</c:v>
                </c:pt>
                <c:pt idx="26">
                  <c:v>18538.071</c:v>
                </c:pt>
                <c:pt idx="27">
                  <c:v>18538.071</c:v>
                </c:pt>
                <c:pt idx="28">
                  <c:v>18538.071</c:v>
                </c:pt>
                <c:pt idx="29">
                  <c:v>18538.071</c:v>
                </c:pt>
                <c:pt idx="30">
                  <c:v>18538.071</c:v>
                </c:pt>
                <c:pt idx="31">
                  <c:v>18538.071</c:v>
                </c:pt>
                <c:pt idx="32">
                  <c:v>18538.071</c:v>
                </c:pt>
                <c:pt idx="33">
                  <c:v>18538.071</c:v>
                </c:pt>
                <c:pt idx="34">
                  <c:v>18538.071</c:v>
                </c:pt>
                <c:pt idx="35">
                  <c:v>18538.071</c:v>
                </c:pt>
                <c:pt idx="36">
                  <c:v>18538.071</c:v>
                </c:pt>
                <c:pt idx="37">
                  <c:v>18538.071</c:v>
                </c:pt>
                <c:pt idx="38">
                  <c:v>18538.071</c:v>
                </c:pt>
                <c:pt idx="39">
                  <c:v>18538.071</c:v>
                </c:pt>
                <c:pt idx="40">
                  <c:v>18538.071</c:v>
                </c:pt>
                <c:pt idx="41">
                  <c:v>18538.071</c:v>
                </c:pt>
                <c:pt idx="42">
                  <c:v>18538.071</c:v>
                </c:pt>
                <c:pt idx="43">
                  <c:v>18538.071</c:v>
                </c:pt>
                <c:pt idx="44">
                  <c:v>18538.071</c:v>
                </c:pt>
                <c:pt idx="45">
                  <c:v>18538.071</c:v>
                </c:pt>
                <c:pt idx="46">
                  <c:v>18538.071</c:v>
                </c:pt>
                <c:pt idx="47">
                  <c:v>18538.071</c:v>
                </c:pt>
                <c:pt idx="48">
                  <c:v>18538.071</c:v>
                </c:pt>
                <c:pt idx="49">
                  <c:v>18538.071</c:v>
                </c:pt>
                <c:pt idx="50">
                  <c:v>18538.071</c:v>
                </c:pt>
                <c:pt idx="51">
                  <c:v>18538.071</c:v>
                </c:pt>
                <c:pt idx="52">
                  <c:v>18538.071</c:v>
                </c:pt>
                <c:pt idx="53">
                  <c:v>18538.071</c:v>
                </c:pt>
                <c:pt idx="54">
                  <c:v>18538.071</c:v>
                </c:pt>
                <c:pt idx="55">
                  <c:v>18538.071</c:v>
                </c:pt>
                <c:pt idx="56">
                  <c:v>18538.071</c:v>
                </c:pt>
                <c:pt idx="57">
                  <c:v>18538.071</c:v>
                </c:pt>
                <c:pt idx="58">
                  <c:v>18538.071</c:v>
                </c:pt>
                <c:pt idx="59">
                  <c:v>18538.071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770-4AAB-9D0C-45639A8561D2}"/>
            </c:ext>
          </c:extLst>
        </c:ser>
        <c:ser>
          <c:idx val="2"/>
          <c:order val="4"/>
          <c:tx>
            <c:strRef>
              <c:f>'Data 3'!$D$4</c:f>
              <c:strCache>
                <c:ptCount val="1"/>
                <c:pt idx="0">
                  <c:v>Reservas (GWh)</c:v>
                </c:pt>
              </c:strCache>
            </c:strRef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multiLvlStrRef>
              <c:f>'Data 3'!$B$5:$C$64</c:f>
              <c:multiLvlStrCache>
                <c:ptCount val="60"/>
                <c:lvl>
                  <c:pt idx="0">
                    <c:v>E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E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E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  <c:pt idx="31">
                    <c:v>A</c:v>
                  </c:pt>
                  <c:pt idx="32">
                    <c:v>S</c:v>
                  </c:pt>
                  <c:pt idx="33">
                    <c:v>O</c:v>
                  </c:pt>
                  <c:pt idx="34">
                    <c:v>N</c:v>
                  </c:pt>
                  <c:pt idx="35">
                    <c:v>D</c:v>
                  </c:pt>
                  <c:pt idx="36">
                    <c:v>E</c:v>
                  </c:pt>
                  <c:pt idx="37">
                    <c:v>F</c:v>
                  </c:pt>
                  <c:pt idx="38">
                    <c:v>M</c:v>
                  </c:pt>
                  <c:pt idx="39">
                    <c:v>A</c:v>
                  </c:pt>
                  <c:pt idx="40">
                    <c:v>M</c:v>
                  </c:pt>
                  <c:pt idx="41">
                    <c:v>J</c:v>
                  </c:pt>
                  <c:pt idx="42">
                    <c:v>J</c:v>
                  </c:pt>
                  <c:pt idx="43">
                    <c:v>A</c:v>
                  </c:pt>
                  <c:pt idx="44">
                    <c:v>S</c:v>
                  </c:pt>
                  <c:pt idx="45">
                    <c:v>O</c:v>
                  </c:pt>
                  <c:pt idx="46">
                    <c:v>N</c:v>
                  </c:pt>
                  <c:pt idx="47">
                    <c:v>D</c:v>
                  </c:pt>
                  <c:pt idx="48">
                    <c:v>E</c:v>
                  </c:pt>
                  <c:pt idx="49">
                    <c:v>F</c:v>
                  </c:pt>
                  <c:pt idx="50">
                    <c:v>M</c:v>
                  </c:pt>
                  <c:pt idx="51">
                    <c:v>A</c:v>
                  </c:pt>
                  <c:pt idx="52">
                    <c:v>M</c:v>
                  </c:pt>
                  <c:pt idx="53">
                    <c:v>J</c:v>
                  </c:pt>
                  <c:pt idx="54">
                    <c:v>J</c:v>
                  </c:pt>
                  <c:pt idx="55">
                    <c:v>A</c:v>
                  </c:pt>
                  <c:pt idx="56">
                    <c:v>S</c:v>
                  </c:pt>
                  <c:pt idx="57">
                    <c:v>O</c:v>
                  </c:pt>
                  <c:pt idx="58">
                    <c:v>N</c:v>
                  </c:pt>
                  <c:pt idx="59">
                    <c:v>D</c:v>
                  </c:pt>
                </c:lvl>
                <c:lvl>
                  <c:pt idx="0">
                    <c:v>2020</c:v>
                  </c:pt>
                  <c:pt idx="12">
                    <c:v>2021</c:v>
                  </c:pt>
                  <c:pt idx="24">
                    <c:v>2022</c:v>
                  </c:pt>
                  <c:pt idx="36">
                    <c:v>2023</c:v>
                  </c:pt>
                  <c:pt idx="48">
                    <c:v>2024</c:v>
                  </c:pt>
                </c:lvl>
              </c:multiLvlStrCache>
            </c:multiLvlStrRef>
          </c:cat>
          <c:val>
            <c:numRef>
              <c:f>'Data 3'!$D$5:$D$64</c:f>
              <c:numCache>
                <c:formatCode>#,##0</c:formatCode>
                <c:ptCount val="60"/>
                <c:pt idx="0">
                  <c:v>10203.8438416341</c:v>
                </c:pt>
                <c:pt idx="1">
                  <c:v>10293.721620606701</c:v>
                </c:pt>
                <c:pt idx="2">
                  <c:v>10922.4629058602</c:v>
                </c:pt>
                <c:pt idx="3">
                  <c:v>12482.965359777099</c:v>
                </c:pt>
                <c:pt idx="4">
                  <c:v>12968.344471210001</c:v>
                </c:pt>
                <c:pt idx="5">
                  <c:v>12284.2351167291</c:v>
                </c:pt>
                <c:pt idx="6">
                  <c:v>11078.2673362971</c:v>
                </c:pt>
                <c:pt idx="7">
                  <c:v>9493.5710276489899</c:v>
                </c:pt>
                <c:pt idx="8">
                  <c:v>8414.2036093792703</c:v>
                </c:pt>
                <c:pt idx="9">
                  <c:v>8468.7189392685304</c:v>
                </c:pt>
                <c:pt idx="10">
                  <c:v>8407.9337983359892</c:v>
                </c:pt>
                <c:pt idx="11">
                  <c:v>9418.9304168690905</c:v>
                </c:pt>
                <c:pt idx="12">
                  <c:v>9758.5157368181899</c:v>
                </c:pt>
                <c:pt idx="13">
                  <c:v>12661.5058106672</c:v>
                </c:pt>
                <c:pt idx="14">
                  <c:v>12144.926731958538</c:v>
                </c:pt>
                <c:pt idx="15">
                  <c:v>11299.1892331082</c:v>
                </c:pt>
                <c:pt idx="16">
                  <c:v>11113.845787991901</c:v>
                </c:pt>
                <c:pt idx="17">
                  <c:v>10415.710777083699</c:v>
                </c:pt>
                <c:pt idx="18">
                  <c:v>8744.6750995529528</c:v>
                </c:pt>
                <c:pt idx="19">
                  <c:v>7124.7383119369397</c:v>
                </c:pt>
                <c:pt idx="20">
                  <c:v>6314.3165171768396</c:v>
                </c:pt>
                <c:pt idx="21">
                  <c:v>5952.5394311548098</c:v>
                </c:pt>
                <c:pt idx="22">
                  <c:v>5955.5060306251098</c:v>
                </c:pt>
                <c:pt idx="23">
                  <c:v>6678.5636735501203</c:v>
                </c:pt>
                <c:pt idx="24">
                  <c:v>7030.3147235812303</c:v>
                </c:pt>
                <c:pt idx="25">
                  <c:v>6849.7365063100897</c:v>
                </c:pt>
                <c:pt idx="26">
                  <c:v>7242.5224796164302</c:v>
                </c:pt>
                <c:pt idx="27">
                  <c:v>7896.3920571419603</c:v>
                </c:pt>
                <c:pt idx="28">
                  <c:v>7862.6649207238397</c:v>
                </c:pt>
                <c:pt idx="29">
                  <c:v>7336.6756913938698</c:v>
                </c:pt>
                <c:pt idx="30">
                  <c:v>6503.7333101836002</c:v>
                </c:pt>
                <c:pt idx="31">
                  <c:v>5663.3995666707096</c:v>
                </c:pt>
                <c:pt idx="32">
                  <c:v>4854.8048105114403</c:v>
                </c:pt>
                <c:pt idx="33">
                  <c:v>4989.2516276194901</c:v>
                </c:pt>
                <c:pt idx="34">
                  <c:v>5789.2389871449896</c:v>
                </c:pt>
                <c:pt idx="35">
                  <c:v>8226.3793556488708</c:v>
                </c:pt>
                <c:pt idx="36">
                  <c:v>10223.608293560101</c:v>
                </c:pt>
                <c:pt idx="37">
                  <c:v>9799.5666123993706</c:v>
                </c:pt>
                <c:pt idx="38">
                  <c:v>10212.192476558999</c:v>
                </c:pt>
                <c:pt idx="39">
                  <c:v>9885.1331418185291</c:v>
                </c:pt>
                <c:pt idx="40">
                  <c:v>9365.4005860970192</c:v>
                </c:pt>
                <c:pt idx="41">
                  <c:v>9135.7508606141801</c:v>
                </c:pt>
                <c:pt idx="42">
                  <c:v>8175.9128053970835</c:v>
                </c:pt>
                <c:pt idx="43">
                  <c:v>7267.4230046471803</c:v>
                </c:pt>
                <c:pt idx="44">
                  <c:v>7008.4596426560602</c:v>
                </c:pt>
                <c:pt idx="45">
                  <c:v>7614.13469651794</c:v>
                </c:pt>
                <c:pt idx="46">
                  <c:v>9142.8206733039697</c:v>
                </c:pt>
                <c:pt idx="47">
                  <c:v>9446.2258304710394</c:v>
                </c:pt>
                <c:pt idx="48">
                  <c:v>10688.2040657137</c:v>
                </c:pt>
                <c:pt idx="49">
                  <c:v>11221.4886575035</c:v>
                </c:pt>
                <c:pt idx="50">
                  <c:v>13037.077126418901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770-4AAB-9D0C-45639A8561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7459688"/>
        <c:axId val="707460080"/>
      </c:lineChart>
      <c:lineChart>
        <c:grouping val="standard"/>
        <c:varyColors val="0"/>
        <c:ser>
          <c:idx val="5"/>
          <c:order val="5"/>
          <c:tx>
            <c:strRef>
              <c:f>'Data 3'!$I$4</c:f>
              <c:strCache>
                <c:ptCount val="1"/>
                <c:pt idx="0">
                  <c:v>% Llenado</c:v>
                </c:pt>
              </c:strCache>
            </c:strRef>
          </c:tx>
          <c:spPr>
            <a:ln>
              <a:solidFill>
                <a:schemeClr val="accent2"/>
              </a:solidFill>
              <a:prstDash val="sysDot"/>
            </a:ln>
          </c:spPr>
          <c:marker>
            <c:symbol val="none"/>
          </c:marker>
          <c:cat>
            <c:multiLvlStrRef>
              <c:f>'Data 3'!$B$5:$C$64</c:f>
              <c:multiLvlStrCache>
                <c:ptCount val="60"/>
                <c:lvl>
                  <c:pt idx="0">
                    <c:v>E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E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E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  <c:pt idx="31">
                    <c:v>A</c:v>
                  </c:pt>
                  <c:pt idx="32">
                    <c:v>S</c:v>
                  </c:pt>
                  <c:pt idx="33">
                    <c:v>O</c:v>
                  </c:pt>
                  <c:pt idx="34">
                    <c:v>N</c:v>
                  </c:pt>
                  <c:pt idx="35">
                    <c:v>D</c:v>
                  </c:pt>
                  <c:pt idx="36">
                    <c:v>E</c:v>
                  </c:pt>
                  <c:pt idx="37">
                    <c:v>F</c:v>
                  </c:pt>
                  <c:pt idx="38">
                    <c:v>M</c:v>
                  </c:pt>
                  <c:pt idx="39">
                    <c:v>A</c:v>
                  </c:pt>
                  <c:pt idx="40">
                    <c:v>M</c:v>
                  </c:pt>
                  <c:pt idx="41">
                    <c:v>J</c:v>
                  </c:pt>
                  <c:pt idx="42">
                    <c:v>J</c:v>
                  </c:pt>
                  <c:pt idx="43">
                    <c:v>A</c:v>
                  </c:pt>
                  <c:pt idx="44">
                    <c:v>S</c:v>
                  </c:pt>
                  <c:pt idx="45">
                    <c:v>O</c:v>
                  </c:pt>
                  <c:pt idx="46">
                    <c:v>N</c:v>
                  </c:pt>
                  <c:pt idx="47">
                    <c:v>D</c:v>
                  </c:pt>
                  <c:pt idx="48">
                    <c:v>E</c:v>
                  </c:pt>
                  <c:pt idx="49">
                    <c:v>F</c:v>
                  </c:pt>
                  <c:pt idx="50">
                    <c:v>M</c:v>
                  </c:pt>
                  <c:pt idx="51">
                    <c:v>A</c:v>
                  </c:pt>
                  <c:pt idx="52">
                    <c:v>M</c:v>
                  </c:pt>
                  <c:pt idx="53">
                    <c:v>J</c:v>
                  </c:pt>
                  <c:pt idx="54">
                    <c:v>J</c:v>
                  </c:pt>
                  <c:pt idx="55">
                    <c:v>A</c:v>
                  </c:pt>
                  <c:pt idx="56">
                    <c:v>S</c:v>
                  </c:pt>
                  <c:pt idx="57">
                    <c:v>O</c:v>
                  </c:pt>
                  <c:pt idx="58">
                    <c:v>N</c:v>
                  </c:pt>
                  <c:pt idx="59">
                    <c:v>D</c:v>
                  </c:pt>
                </c:lvl>
                <c:lvl>
                  <c:pt idx="0">
                    <c:v>2020</c:v>
                  </c:pt>
                  <c:pt idx="12">
                    <c:v>2021</c:v>
                  </c:pt>
                  <c:pt idx="24">
                    <c:v>2022</c:v>
                  </c:pt>
                  <c:pt idx="36">
                    <c:v>2023</c:v>
                  </c:pt>
                  <c:pt idx="48">
                    <c:v>2024</c:v>
                  </c:pt>
                </c:lvl>
              </c:multiLvlStrCache>
            </c:multiLvlStrRef>
          </c:cat>
          <c:val>
            <c:numRef>
              <c:f>'Data 3'!$I$5:$I$64</c:f>
              <c:numCache>
                <c:formatCode>0.0</c:formatCode>
                <c:ptCount val="60"/>
                <c:pt idx="0">
                  <c:v>55.042640853161586</c:v>
                </c:pt>
                <c:pt idx="1">
                  <c:v>55.52746896161257</c:v>
                </c:pt>
                <c:pt idx="2">
                  <c:v>58.919090912210883</c:v>
                </c:pt>
                <c:pt idx="3">
                  <c:v>67.336916337072509</c:v>
                </c:pt>
                <c:pt idx="4">
                  <c:v>69.955199066882429</c:v>
                </c:pt>
                <c:pt idx="5">
                  <c:v>66.26490489074672</c:v>
                </c:pt>
                <c:pt idx="6">
                  <c:v>59.75954745397781</c:v>
                </c:pt>
                <c:pt idx="7">
                  <c:v>51.211213009427951</c:v>
                </c:pt>
                <c:pt idx="8">
                  <c:v>45.388776477225008</c:v>
                </c:pt>
                <c:pt idx="9">
                  <c:v>45.6828487671049</c:v>
                </c:pt>
                <c:pt idx="10">
                  <c:v>45.354955207238064</c:v>
                </c:pt>
                <c:pt idx="11">
                  <c:v>50.808578826076833</c:v>
                </c:pt>
                <c:pt idx="12">
                  <c:v>52.640405448971414</c:v>
                </c:pt>
                <c:pt idx="13">
                  <c:v>68.300017896507143</c:v>
                </c:pt>
                <c:pt idx="14">
                  <c:v>65.513433042513086</c:v>
                </c:pt>
                <c:pt idx="15">
                  <c:v>60.951267438279856</c:v>
                </c:pt>
                <c:pt idx="16">
                  <c:v>59.951468456410062</c:v>
                </c:pt>
                <c:pt idx="17">
                  <c:v>56.185515618554369</c:v>
                </c:pt>
                <c:pt idx="18">
                  <c:v>47.171440327059663</c:v>
                </c:pt>
                <c:pt idx="19">
                  <c:v>38.433008007882478</c:v>
                </c:pt>
                <c:pt idx="20">
                  <c:v>34.061346065493218</c:v>
                </c:pt>
                <c:pt idx="21">
                  <c:v>32.109810298788958</c:v>
                </c:pt>
                <c:pt idx="22">
                  <c:v>32.125813039690641</c:v>
                </c:pt>
                <c:pt idx="23">
                  <c:v>36.026206143832987</c:v>
                </c:pt>
                <c:pt idx="24">
                  <c:v>37.923658419375087</c:v>
                </c:pt>
                <c:pt idx="25">
                  <c:v>36.949564527561094</c:v>
                </c:pt>
                <c:pt idx="26">
                  <c:v>39.068371674789844</c:v>
                </c:pt>
                <c:pt idx="27">
                  <c:v>42.595543285717049</c:v>
                </c:pt>
                <c:pt idx="28">
                  <c:v>42.413608841631039</c:v>
                </c:pt>
                <c:pt idx="29">
                  <c:v>39.576262769701714</c:v>
                </c:pt>
                <c:pt idx="30">
                  <c:v>35.083117926258886</c:v>
                </c:pt>
                <c:pt idx="31">
                  <c:v>30.550101823812785</c:v>
                </c:pt>
                <c:pt idx="32">
                  <c:v>26.188295483987741</c:v>
                </c:pt>
                <c:pt idx="33">
                  <c:v>26.913542555854331</c:v>
                </c:pt>
                <c:pt idx="34">
                  <c:v>31.228917977199405</c:v>
                </c:pt>
                <c:pt idx="35">
                  <c:v>44.375595258259992</c:v>
                </c:pt>
                <c:pt idx="36">
                  <c:v>55.149256325321552</c:v>
                </c:pt>
                <c:pt idx="37">
                  <c:v>52.861846372253993</c:v>
                </c:pt>
                <c:pt idx="38">
                  <c:v>55.087675932188404</c:v>
                </c:pt>
                <c:pt idx="39">
                  <c:v>53.323418287795576</c:v>
                </c:pt>
                <c:pt idx="40">
                  <c:v>50.51982261852929</c:v>
                </c:pt>
                <c:pt idx="41">
                  <c:v>49.281022068661727</c:v>
                </c:pt>
                <c:pt idx="42">
                  <c:v>44.103363318638081</c:v>
                </c:pt>
                <c:pt idx="43">
                  <c:v>39.202692689261895</c:v>
                </c:pt>
                <c:pt idx="44">
                  <c:v>37.805765457776381</c:v>
                </c:pt>
                <c:pt idx="45">
                  <c:v>41.07296113235266</c:v>
                </c:pt>
                <c:pt idx="46">
                  <c:v>49.319158791138349</c:v>
                </c:pt>
                <c:pt idx="47">
                  <c:v>50.955818598769199</c:v>
                </c:pt>
                <c:pt idx="48">
                  <c:v>57.655427394326523</c:v>
                </c:pt>
                <c:pt idx="49">
                  <c:v>60.532126872874201</c:v>
                </c:pt>
                <c:pt idx="50">
                  <c:v>70.325963938852652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770-4AAB-9D0C-45639A8561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7460864"/>
        <c:axId val="707460472"/>
      </c:lineChart>
      <c:catAx>
        <c:axId val="707459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4F81BD"/>
            </a:solidFill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707460080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707460080"/>
        <c:scaling>
          <c:orientation val="minMax"/>
          <c:max val="19000"/>
          <c:min val="300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4563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r>
                  <a:rPr lang="es-ES" b="0" i="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2.2761583373506884E-2"/>
              <c:y val="4.9973117481983499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chemeClr val="accent1"/>
            </a:solidFill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707459688"/>
        <c:crosses val="autoZero"/>
        <c:crossBetween val="between"/>
        <c:majorUnit val="2000"/>
      </c:valAx>
      <c:valAx>
        <c:axId val="707460472"/>
        <c:scaling>
          <c:orientation val="minMax"/>
          <c:min val="10"/>
        </c:scaling>
        <c:delete val="0"/>
        <c:axPos val="r"/>
        <c:numFmt formatCode="0.0" sourceLinked="1"/>
        <c:majorTickMark val="out"/>
        <c:minorTickMark val="none"/>
        <c:tickLblPos val="nextTo"/>
        <c:spPr>
          <a:ln w="3175">
            <a:solidFill>
              <a:schemeClr val="accent1"/>
            </a:solidFill>
            <a:prstDash val="sysDot"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ES"/>
          </a:p>
        </c:txPr>
        <c:crossAx val="707460864"/>
        <c:crosses val="max"/>
        <c:crossBetween val="between"/>
      </c:valAx>
      <c:catAx>
        <c:axId val="7074608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07460472"/>
        <c:crosses val="autoZero"/>
        <c:auto val="0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8.64750477618869E-2"/>
          <c:y val="2.3175697551620467E-2"/>
          <c:w val="0.87877672433802922"/>
          <c:h val="0.10752485532510238"/>
        </c:manualLayout>
      </c:layout>
      <c:overlay val="0"/>
      <c:spPr>
        <a:solidFill>
          <a:srgbClr val="F5F5F5"/>
        </a:solidFill>
        <a:ln w="25400">
          <a:noFill/>
        </a:ln>
      </c:spPr>
      <c:txPr>
        <a:bodyPr/>
        <a:lstStyle/>
        <a:p>
          <a:pPr>
            <a:defRPr sz="700" b="0" i="0" u="none" strike="noStrike" baseline="0">
              <a:solidFill>
                <a:srgbClr val="004563"/>
              </a:solidFill>
              <a:latin typeface="Arial" panose="020B0604020202020204" pitchFamily="34" charset="0"/>
              <a:ea typeface="Geneva"/>
              <a:cs typeface="Arial" panose="020B0604020202020204" pitchFamily="34" charset="0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362499199795147"/>
          <c:y val="0.11633742473367299"/>
          <c:w val="0.49665424748735676"/>
          <c:h val="0.74863324069785397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007CF9"/>
              </a:solidFill>
            </c:spPr>
            <c:extLst>
              <c:ext xmlns:c16="http://schemas.microsoft.com/office/drawing/2014/chart" uri="{C3380CC4-5D6E-409C-BE32-E72D297353CC}">
                <c16:uniqueId val="{00000001-0A0C-4662-A9BD-07E9D4C56B89}"/>
              </c:ext>
            </c:extLst>
          </c:dPt>
          <c:dPt>
            <c:idx val="1"/>
            <c:bubble3D val="0"/>
            <c:spPr>
              <a:solidFill>
                <a:srgbClr val="464394"/>
              </a:solidFill>
            </c:spPr>
            <c:extLst>
              <c:ext xmlns:c16="http://schemas.microsoft.com/office/drawing/2014/chart" uri="{C3380CC4-5D6E-409C-BE32-E72D297353CC}">
                <c16:uniqueId val="{00000003-0A0C-4662-A9BD-07E9D4C56B89}"/>
              </c:ext>
            </c:extLst>
          </c:dPt>
          <c:dPt>
            <c:idx val="2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5-0A0C-4662-A9BD-07E9D4C56B89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0A0C-4662-A9BD-07E9D4C56B89}"/>
              </c:ext>
            </c:extLst>
          </c:dPt>
          <c:dPt>
            <c:idx val="4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09-0A0C-4662-A9BD-07E9D4C56B89}"/>
              </c:ext>
            </c:extLst>
          </c:dPt>
          <c:dPt>
            <c:idx val="5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B-0A0C-4662-A9BD-07E9D4C56B89}"/>
              </c:ext>
            </c:extLst>
          </c:dPt>
          <c:dPt>
            <c:idx val="6"/>
            <c:bubble3D val="0"/>
            <c:spPr>
              <a:solidFill>
                <a:srgbClr val="A0A0A0"/>
              </a:solidFill>
            </c:spPr>
            <c:extLst>
              <c:ext xmlns:c16="http://schemas.microsoft.com/office/drawing/2014/chart" uri="{C3380CC4-5D6E-409C-BE32-E72D297353CC}">
                <c16:uniqueId val="{0000000D-0A0C-4662-A9BD-07E9D4C56B89}"/>
              </c:ext>
            </c:extLst>
          </c:dPt>
          <c:dPt>
            <c:idx val="7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0F-0A0C-4662-A9BD-07E9D4C56B89}"/>
              </c:ext>
            </c:extLst>
          </c:dPt>
          <c:dPt>
            <c:idx val="8"/>
            <c:bubble3D val="0"/>
            <c:spPr>
              <a:solidFill>
                <a:srgbClr val="0090D1"/>
              </a:solidFill>
            </c:spPr>
            <c:extLst>
              <c:ext xmlns:c16="http://schemas.microsoft.com/office/drawing/2014/chart" uri="{C3380CC4-5D6E-409C-BE32-E72D297353CC}">
                <c16:uniqueId val="{00000011-0A0C-4662-A9BD-07E9D4C56B89}"/>
              </c:ext>
            </c:extLst>
          </c:dPt>
          <c:dPt>
            <c:idx val="9"/>
            <c:bubble3D val="0"/>
            <c:spPr>
              <a:solidFill>
                <a:srgbClr val="ED7D31"/>
              </a:solidFill>
            </c:spPr>
            <c:extLst>
              <c:ext xmlns:c16="http://schemas.microsoft.com/office/drawing/2014/chart" uri="{C3380CC4-5D6E-409C-BE32-E72D297353CC}">
                <c16:uniqueId val="{00000013-0A0C-4662-A9BD-07E9D4C56B89}"/>
              </c:ext>
            </c:extLst>
          </c:dPt>
          <c:dPt>
            <c:idx val="1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5-0A0C-4662-A9BD-07E9D4C56B89}"/>
              </c:ext>
            </c:extLst>
          </c:dPt>
          <c:dPt>
            <c:idx val="11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7-0A0C-4662-A9BD-07E9D4C56B89}"/>
              </c:ext>
            </c:extLst>
          </c:dPt>
          <c:dLbls>
            <c:dLbl>
              <c:idx val="0"/>
              <c:layout>
                <c:manualLayout>
                  <c:x val="0.11707317073170732"/>
                  <c:y val="-0.1348039215686274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A0C-4662-A9BD-07E9D4C56B89}"/>
                </c:ext>
              </c:extLst>
            </c:dLbl>
            <c:dLbl>
              <c:idx val="1"/>
              <c:layout>
                <c:manualLayout>
                  <c:x val="0.13008130081300814"/>
                  <c:y val="-0.1158822834645669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A0C-4662-A9BD-07E9D4C56B89}"/>
                </c:ext>
              </c:extLst>
            </c:dLbl>
            <c:dLbl>
              <c:idx val="2"/>
              <c:layout>
                <c:manualLayout>
                  <c:x val="0.13983739837398373"/>
                  <c:y val="-7.039212598425191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A0C-4662-A9BD-07E9D4C56B89}"/>
                </c:ext>
              </c:extLst>
            </c:dLbl>
            <c:dLbl>
              <c:idx val="3"/>
              <c:layout>
                <c:manualLayout>
                  <c:x val="0.16260162601626016"/>
                  <c:y val="-2.228897637795280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A0C-4662-A9BD-07E9D4C56B89}"/>
                </c:ext>
              </c:extLst>
            </c:dLbl>
            <c:dLbl>
              <c:idx val="4"/>
              <c:layout>
                <c:manualLayout>
                  <c:x val="0.1886178861788618"/>
                  <c:y val="4.198188976377952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A0C-4662-A9BD-07E9D4C56B89}"/>
                </c:ext>
              </c:extLst>
            </c:dLbl>
            <c:dLbl>
              <c:idx val="5"/>
              <c:layout>
                <c:manualLayout>
                  <c:x val="0.18048793291082518"/>
                  <c:y val="0.1278714566929133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 anchorCtr="0">
                  <a:noAutofit/>
                </a:bodyPr>
                <a:lstStyle/>
                <a:p>
                  <a:pPr algn="ctr">
                    <a:defRPr lang="es-ES" sz="800" b="0" i="0" u="none" strike="noStrike" kern="1200" baseline="0">
                      <a:solidFill>
                        <a:srgbClr val="004563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796760770757306"/>
                      <c:h val="0.1702208661417322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0A0C-4662-A9BD-07E9D4C56B89}"/>
                </c:ext>
              </c:extLst>
            </c:dLbl>
            <c:dLbl>
              <c:idx val="6"/>
              <c:layout>
                <c:manualLayout>
                  <c:x val="0.14671301453172012"/>
                  <c:y val="0.26010413385826753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 anchorCtr="0">
                  <a:noAutofit/>
                </a:bodyPr>
                <a:lstStyle/>
                <a:p>
                  <a:pPr algn="ctr">
                    <a:defRPr lang="es-ES" sz="800" b="0" i="0" u="none" strike="noStrike" kern="1200" baseline="0">
                      <a:solidFill>
                        <a:srgbClr val="004563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687804878048783"/>
                      <c:h val="0.1352207812258761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0A0C-4662-A9BD-07E9D4C56B89}"/>
                </c:ext>
              </c:extLst>
            </c:dLbl>
            <c:dLbl>
              <c:idx val="7"/>
              <c:layout>
                <c:manualLayout>
                  <c:x val="-0.15609756097560981"/>
                  <c:y val="0.1395098425196850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A0C-4662-A9BD-07E9D4C56B89}"/>
                </c:ext>
              </c:extLst>
            </c:dLbl>
            <c:dLbl>
              <c:idx val="8"/>
              <c:layout>
                <c:manualLayout>
                  <c:x val="-0.1821138211382114"/>
                  <c:y val="5.0980314960629002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A0C-4662-A9BD-07E9D4C56B89}"/>
                </c:ext>
              </c:extLst>
            </c:dLbl>
            <c:dLbl>
              <c:idx val="9"/>
              <c:layout>
                <c:manualLayout>
                  <c:x val="-0.24715447154471545"/>
                  <c:y val="3.725472440944881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A0C-4662-A9BD-07E9D4C56B89}"/>
                </c:ext>
              </c:extLst>
            </c:dLbl>
            <c:dLbl>
              <c:idx val="10"/>
              <c:layout>
                <c:manualLayout>
                  <c:x val="-0.24390243902439024"/>
                  <c:y val="-5.215669291338585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0A0C-4662-A9BD-07E9D4C56B89}"/>
                </c:ext>
              </c:extLst>
            </c:dLbl>
            <c:dLbl>
              <c:idx val="11"/>
              <c:layout>
                <c:manualLayout>
                  <c:x val="-0.12032520325203253"/>
                  <c:y val="-0.1323527559055118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630894308943089"/>
                      <c:h val="0.1529251968503937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7-0A0C-4662-A9BD-07E9D4C56B89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Dat_01!$A$50:$A$61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Dat_01!$C$50:$C$61</c:f>
              <c:numCache>
                <c:formatCode>#,##0.0</c:formatCode>
                <c:ptCount val="12"/>
                <c:pt idx="0">
                  <c:v>2.7088484831994988</c:v>
                </c:pt>
                <c:pt idx="1">
                  <c:v>16.306016510364689</c:v>
                </c:pt>
                <c:pt idx="2">
                  <c:v>0.98500175477349727</c:v>
                </c:pt>
                <c:pt idx="3">
                  <c:v>7.7910111938181537</c:v>
                </c:pt>
                <c:pt idx="4">
                  <c:v>5.4776626848200412</c:v>
                </c:pt>
                <c:pt idx="5">
                  <c:v>0.28160655565665382</c:v>
                </c:pt>
                <c:pt idx="6">
                  <c:v>0.19003717587869198</c:v>
                </c:pt>
                <c:pt idx="7">
                  <c:v>28.363491331445022</c:v>
                </c:pt>
                <c:pt idx="8">
                  <c:v>21.714756665226592</c:v>
                </c:pt>
                <c:pt idx="9">
                  <c:v>14.017004029818938</c:v>
                </c:pt>
                <c:pt idx="10">
                  <c:v>0.71286816112591744</c:v>
                </c:pt>
                <c:pt idx="11">
                  <c:v>1.4516954538722977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0A0C-4662-A9BD-07E9D4C56B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4895178776271617E-2"/>
          <c:y val="1.9491768074445252E-2"/>
          <c:w val="0.83037196338937813"/>
          <c:h val="0.8964232879980912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D9D9D9"/>
              </a:solidFill>
            </c:spPr>
            <c:extLst>
              <c:ext xmlns:c16="http://schemas.microsoft.com/office/drawing/2014/chart" uri="{C3380CC4-5D6E-409C-BE32-E72D297353CC}">
                <c16:uniqueId val="{00000001-6387-4D9F-8E7A-0EF64246FEC3}"/>
              </c:ext>
            </c:extLst>
          </c:dPt>
          <c:dPt>
            <c:idx val="1"/>
            <c:bubble3D val="0"/>
            <c:spPr>
              <a:solidFill>
                <a:srgbClr val="CCFF99"/>
              </a:solidFill>
            </c:spPr>
            <c:extLst>
              <c:ext xmlns:c16="http://schemas.microsoft.com/office/drawing/2014/chart" uri="{C3380CC4-5D6E-409C-BE32-E72D297353CC}">
                <c16:uniqueId val="{00000003-6387-4D9F-8E7A-0EF64246FEC3}"/>
              </c:ext>
            </c:extLst>
          </c:dPt>
          <c:dLbls>
            <c:dLbl>
              <c:idx val="0"/>
              <c:layout>
                <c:manualLayout>
                  <c:x val="-0.25731017848706406"/>
                  <c:y val="0.2107544645154649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4329862500193403"/>
                      <c:h val="0.4634096874254354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6387-4D9F-8E7A-0EF64246FEC3}"/>
                </c:ext>
              </c:extLst>
            </c:dLbl>
            <c:dLbl>
              <c:idx val="1"/>
              <c:layout>
                <c:manualLayout>
                  <c:x val="0.17218600376295415"/>
                  <c:y val="-0.2781706036745406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8540393469145978"/>
                      <c:h val="0.4634096874254354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6387-4D9F-8E7A-0EF64246FEC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Dat_01!$E$33:$E$34</c:f>
              <c:strCache>
                <c:ptCount val="2"/>
                <c:pt idx="0">
                  <c:v>No renovables</c:v>
                </c:pt>
                <c:pt idx="1">
                  <c:v>Renovables</c:v>
                </c:pt>
              </c:strCache>
            </c:strRef>
          </c:cat>
          <c:val>
            <c:numRef>
              <c:f>Dat_01!$F$33:$F$34</c:f>
              <c:numCache>
                <c:formatCode>#,##0.0</c:formatCode>
                <c:ptCount val="2"/>
                <c:pt idx="0">
                  <c:v>35.968520058589306</c:v>
                </c:pt>
                <c:pt idx="1">
                  <c:v>64.031479941410694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387-4D9F-8E7A-0EF64246FEC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75"/>
      </c:doughnutChart>
      <c:spPr>
        <a:noFill/>
      </c:spPr>
    </c:plotArea>
    <c:plotVisOnly val="1"/>
    <c:dispBlanksAs val="zero"/>
    <c:showDLblsOverMax val="0"/>
  </c:chart>
  <c:spPr>
    <a:noFill/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4895178776271617E-2"/>
          <c:y val="1.9491768074445252E-2"/>
          <c:w val="0.83037196338937813"/>
          <c:h val="0.8964232879980912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D9D9D9"/>
              </a:solidFill>
            </c:spPr>
            <c:extLst>
              <c:ext xmlns:c16="http://schemas.microsoft.com/office/drawing/2014/chart" uri="{C3380CC4-5D6E-409C-BE32-E72D297353CC}">
                <c16:uniqueId val="{00000001-C188-488E-9864-3653891E4BD7}"/>
              </c:ext>
            </c:extLst>
          </c:dPt>
          <c:dPt>
            <c:idx val="1"/>
            <c:bubble3D val="0"/>
            <c:spPr>
              <a:solidFill>
                <a:srgbClr val="CCFF99"/>
              </a:solidFill>
            </c:spPr>
            <c:extLst>
              <c:ext xmlns:c16="http://schemas.microsoft.com/office/drawing/2014/chart" uri="{C3380CC4-5D6E-409C-BE32-E72D297353CC}">
                <c16:uniqueId val="{00000003-C188-488E-9864-3653891E4BD7}"/>
              </c:ext>
            </c:extLst>
          </c:dPt>
          <c:dLbls>
            <c:dLbl>
              <c:idx val="0"/>
              <c:layout>
                <c:manualLayout>
                  <c:x val="-0.24561426128310659"/>
                  <c:y val="-3.006535947712418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4671487472014983"/>
                      <c:h val="0.282157377386650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C188-488E-9864-3653891E4BD7}"/>
                </c:ext>
              </c:extLst>
            </c:dLbl>
            <c:dLbl>
              <c:idx val="1"/>
              <c:layout>
                <c:manualLayout>
                  <c:x val="0.23391880454833039"/>
                  <c:y val="-1.280997375328090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3157934482603011"/>
                      <c:h val="0.3083011682363234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C188-488E-9864-3653891E4BD7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Dat_01!$E$50:$E$51</c:f>
              <c:strCache>
                <c:ptCount val="2"/>
                <c:pt idx="0">
                  <c:v>No renovables</c:v>
                </c:pt>
                <c:pt idx="1">
                  <c:v>Renovables</c:v>
                </c:pt>
              </c:strCache>
            </c:strRef>
          </c:cat>
          <c:val>
            <c:numRef>
              <c:f>Dat_01!$F$50:$F$51</c:f>
              <c:numCache>
                <c:formatCode>#,##0.0</c:formatCode>
                <c:ptCount val="2"/>
                <c:pt idx="0">
                  <c:v>33.550147182632529</c:v>
                </c:pt>
                <c:pt idx="1">
                  <c:v>66.449852817367457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188-488E-9864-3653891E4BD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75"/>
      </c:doughnutChart>
      <c:spPr>
        <a:noFill/>
      </c:spPr>
    </c:plotArea>
    <c:plotVisOnly val="1"/>
    <c:dispBlanksAs val="zero"/>
    <c:showDLblsOverMax val="0"/>
  </c:chart>
  <c:spPr>
    <a:noFill/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Dat_01!$B$91</c:f>
          <c:strCache>
            <c:ptCount val="1"/>
            <c:pt idx="0">
              <c:v>Mes 01/03/2024</c:v>
            </c:pt>
          </c:strCache>
        </c:strRef>
      </c:tx>
      <c:layout>
        <c:manualLayout>
          <c:xMode val="edge"/>
          <c:yMode val="edge"/>
          <c:x val="1.1382113821138212E-2"/>
          <c:y val="2.0915032679738561E-2"/>
        </c:manualLayout>
      </c:layout>
      <c:overlay val="0"/>
      <c:spPr>
        <a:ln>
          <a:noFill/>
        </a:ln>
      </c:spPr>
      <c:txPr>
        <a:bodyPr/>
        <a:lstStyle/>
        <a:p>
          <a:pPr algn="l">
            <a:defRPr sz="10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29915344728250431"/>
          <c:y val="0.10657897174617879"/>
          <c:w val="0.4868981499263812"/>
          <c:h val="0.78285584890124038"/>
        </c:manualLayout>
      </c:layout>
      <c:doughnutChart>
        <c:varyColors val="1"/>
        <c:ser>
          <c:idx val="1"/>
          <c:order val="0"/>
          <c:tx>
            <c:strRef>
              <c:f>Dat_01!$A$109:$A$110</c:f>
              <c:strCache>
                <c:ptCount val="2"/>
                <c:pt idx="0">
                  <c:v>No renovables</c:v>
                </c:pt>
                <c:pt idx="1">
                  <c:v>Renovables</c:v>
                </c:pt>
              </c:strCache>
            </c:strRef>
          </c:tx>
          <c:dPt>
            <c:idx val="0"/>
            <c:bubble3D val="0"/>
            <c:spPr>
              <a:solidFill>
                <a:srgbClr val="D9D9D9"/>
              </a:solidFill>
            </c:spPr>
            <c:extLst>
              <c:ext xmlns:c16="http://schemas.microsoft.com/office/drawing/2014/chart" uri="{C3380CC4-5D6E-409C-BE32-E72D297353CC}">
                <c16:uniqueId val="{00000001-853B-4C00-AB97-18BDB11FFA56}"/>
              </c:ext>
            </c:extLst>
          </c:dPt>
          <c:dPt>
            <c:idx val="1"/>
            <c:bubble3D val="0"/>
            <c:spPr>
              <a:solidFill>
                <a:srgbClr val="CCFF99"/>
              </a:solidFill>
            </c:spPr>
            <c:extLst>
              <c:ext xmlns:c16="http://schemas.microsoft.com/office/drawing/2014/chart" uri="{C3380CC4-5D6E-409C-BE32-E72D297353CC}">
                <c16:uniqueId val="{00000003-853B-4C00-AB97-18BDB11FFA56}"/>
              </c:ext>
            </c:extLst>
          </c:dPt>
          <c:dPt>
            <c:idx val="9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05-853B-4C00-AB97-18BDB11FFA56}"/>
              </c:ext>
            </c:extLst>
          </c:dPt>
          <c:dLbls>
            <c:dLbl>
              <c:idx val="0"/>
              <c:layout>
                <c:manualLayout>
                  <c:x val="-0.10401741245758914"/>
                  <c:y val="0.11116894010086284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No renovable
</a:t>
                    </a:r>
                    <a:fld id="{1CCB5A12-B7B6-4DFD-A440-67BF75A8083D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853B-4C00-AB97-18BDB11FFA56}"/>
                </c:ext>
              </c:extLst>
            </c:dLbl>
            <c:dLbl>
              <c:idx val="1"/>
              <c:layout>
                <c:manualLayout>
                  <c:x val="9.7553087037714356E-2"/>
                  <c:y val="-0.10623189748340281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Renovable
</a:t>
                    </a:r>
                    <a:fld id="{01AB357C-58D0-428C-BD67-95DD2DC39A48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853B-4C00-AB97-18BDB11FFA56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54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Dat_01!$A$94:$A$105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Dat_01!$B$109:$B$110</c:f>
              <c:numCache>
                <c:formatCode>#,##0.0</c:formatCode>
                <c:ptCount val="2"/>
                <c:pt idx="0">
                  <c:v>29.31891862977184</c:v>
                </c:pt>
                <c:pt idx="1">
                  <c:v>70.681081370228171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53B-4C00-AB97-18BDB11FFA56}"/>
            </c:ext>
          </c:extLst>
        </c:ser>
        <c:ser>
          <c:idx val="0"/>
          <c:order val="1"/>
          <c:tx>
            <c:v>Generación</c:v>
          </c:tx>
          <c:dPt>
            <c:idx val="0"/>
            <c:bubble3D val="0"/>
            <c:spPr>
              <a:solidFill>
                <a:srgbClr val="007CF9"/>
              </a:solidFill>
            </c:spPr>
            <c:extLst>
              <c:ext xmlns:c16="http://schemas.microsoft.com/office/drawing/2014/chart" uri="{C3380CC4-5D6E-409C-BE32-E72D297353CC}">
                <c16:uniqueId val="{00000008-853B-4C00-AB97-18BDB11FFA56}"/>
              </c:ext>
            </c:extLst>
          </c:dPt>
          <c:dPt>
            <c:idx val="1"/>
            <c:bubble3D val="0"/>
            <c:spPr>
              <a:solidFill>
                <a:srgbClr val="464394"/>
              </a:solidFill>
            </c:spPr>
            <c:extLst>
              <c:ext xmlns:c16="http://schemas.microsoft.com/office/drawing/2014/chart" uri="{C3380CC4-5D6E-409C-BE32-E72D297353CC}">
                <c16:uniqueId val="{0000000A-853B-4C00-AB97-18BDB11FFA56}"/>
              </c:ext>
            </c:extLst>
          </c:dPt>
          <c:dPt>
            <c:idx val="2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C-853B-4C00-AB97-18BDB11FFA56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E-853B-4C00-AB97-18BDB11FFA56}"/>
              </c:ext>
            </c:extLst>
          </c:dPt>
          <c:dPt>
            <c:idx val="4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10-853B-4C00-AB97-18BDB11FFA56}"/>
              </c:ext>
            </c:extLst>
          </c:dPt>
          <c:dPt>
            <c:idx val="5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12-853B-4C00-AB97-18BDB11FFA56}"/>
              </c:ext>
            </c:extLst>
          </c:dPt>
          <c:dPt>
            <c:idx val="6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14-853B-4C00-AB97-18BDB11FFA56}"/>
              </c:ext>
            </c:extLst>
          </c:dPt>
          <c:dPt>
            <c:idx val="7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16-853B-4C00-AB97-18BDB11FFA56}"/>
              </c:ext>
            </c:extLst>
          </c:dPt>
          <c:dPt>
            <c:idx val="8"/>
            <c:bubble3D val="0"/>
            <c:spPr>
              <a:solidFill>
                <a:srgbClr val="0090D1"/>
              </a:solidFill>
            </c:spPr>
            <c:extLst>
              <c:ext xmlns:c16="http://schemas.microsoft.com/office/drawing/2014/chart" uri="{C3380CC4-5D6E-409C-BE32-E72D297353CC}">
                <c16:uniqueId val="{00000018-853B-4C00-AB97-18BDB11FFA56}"/>
              </c:ext>
            </c:extLst>
          </c:dPt>
          <c:dPt>
            <c:idx val="9"/>
            <c:bubble3D val="0"/>
            <c:spPr>
              <a:solidFill>
                <a:srgbClr val="E48500"/>
              </a:solidFill>
            </c:spPr>
            <c:extLst>
              <c:ext xmlns:c16="http://schemas.microsoft.com/office/drawing/2014/chart" uri="{C3380CC4-5D6E-409C-BE32-E72D297353CC}">
                <c16:uniqueId val="{0000001A-853B-4C00-AB97-18BDB11FFA56}"/>
              </c:ext>
            </c:extLst>
          </c:dPt>
          <c:dPt>
            <c:idx val="1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C-853B-4C00-AB97-18BDB11FFA56}"/>
              </c:ext>
            </c:extLst>
          </c:dPt>
          <c:dPt>
            <c:idx val="11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E-853B-4C00-AB97-18BDB11FFA56}"/>
              </c:ext>
            </c:extLst>
          </c:dPt>
          <c:dLbls>
            <c:dLbl>
              <c:idx val="0"/>
              <c:layout>
                <c:manualLayout>
                  <c:x val="0.13407925228858583"/>
                  <c:y val="-9.544171684421799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9108558991101722"/>
                      <c:h val="0.123320467294529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8-853B-4C00-AB97-18BDB11FFA56}"/>
                </c:ext>
              </c:extLst>
            </c:dLbl>
            <c:dLbl>
              <c:idx val="1"/>
              <c:layout>
                <c:manualLayout>
                  <c:x val="0.14308943089430895"/>
                  <c:y val="-3.69911996294580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53B-4C00-AB97-18BDB11FFA56}"/>
                </c:ext>
              </c:extLst>
            </c:dLbl>
            <c:dLbl>
              <c:idx val="2"/>
              <c:layout>
                <c:manualLayout>
                  <c:x val="0.11057704372319314"/>
                  <c:y val="-5.829623494133805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53B-4C00-AB97-18BDB11FFA56}"/>
                </c:ext>
              </c:extLst>
            </c:dLbl>
            <c:dLbl>
              <c:idx val="3"/>
              <c:layout>
                <c:manualLayout>
                  <c:x val="0.1331559594170533"/>
                  <c:y val="3.6868920796664642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84552845528455"/>
                      <c:h val="0.123320467294529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E-853B-4C00-AB97-18BDB11FFA56}"/>
                </c:ext>
              </c:extLst>
            </c:dLbl>
            <c:dLbl>
              <c:idx val="4"/>
              <c:layout>
                <c:manualLayout>
                  <c:x val="0.15018988763323901"/>
                  <c:y val="3.048818897637795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781221723812636"/>
                      <c:h val="0.1693594771241830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0-853B-4C00-AB97-18BDB11FFA56}"/>
                </c:ext>
              </c:extLst>
            </c:dLbl>
            <c:dLbl>
              <c:idx val="5"/>
              <c:layout>
                <c:manualLayout>
                  <c:x val="0.12517670010075146"/>
                  <c:y val="0.1218522978745303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02744033523927"/>
                      <c:h val="0.1703792908239411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2-853B-4C00-AB97-18BDB11FFA56}"/>
                </c:ext>
              </c:extLst>
            </c:dLbl>
            <c:dLbl>
              <c:idx val="6"/>
              <c:layout>
                <c:manualLayout>
                  <c:x val="6.3494270533256514E-2"/>
                  <c:y val="0.293542468309969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956097560975611"/>
                      <c:h val="0.1860655653337450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4-853B-4C00-AB97-18BDB11FFA56}"/>
                </c:ext>
              </c:extLst>
            </c:dLbl>
            <c:dLbl>
              <c:idx val="7"/>
              <c:layout>
                <c:manualLayout>
                  <c:x val="-0.25685500288073748"/>
                  <c:y val="7.437222810530841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853B-4C00-AB97-18BDB11FFA56}"/>
                </c:ext>
              </c:extLst>
            </c:dLbl>
            <c:dLbl>
              <c:idx val="8"/>
              <c:layout>
                <c:manualLayout>
                  <c:x val="-0.15473004289098008"/>
                  <c:y val="-2.093250993426087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46"/>
                      <c:h val="0.1767776298268974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8-853B-4C00-AB97-18BDB11FFA56}"/>
                </c:ext>
              </c:extLst>
            </c:dLbl>
            <c:dLbl>
              <c:idx val="9"/>
              <c:layout>
                <c:manualLayout>
                  <c:x val="-0.20421483899878368"/>
                  <c:y val="-1.531396458265620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3866666666666667"/>
                      <c:h val="0.1448202396804260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A-853B-4C00-AB97-18BDB11FFA56}"/>
                </c:ext>
              </c:extLst>
            </c:dLbl>
            <c:dLbl>
              <c:idx val="10"/>
              <c:layout>
                <c:manualLayout>
                  <c:x val="-0.20537897310513448"/>
                  <c:y val="-1.568627450980394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853B-4C00-AB97-18BDB11FFA56}"/>
                </c:ext>
              </c:extLst>
            </c:dLbl>
            <c:dLbl>
              <c:idx val="11"/>
              <c:layout>
                <c:manualLayout>
                  <c:x val="-6.8245063499091957E-2"/>
                  <c:y val="-8.888888888888889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853B-4C00-AB97-18BDB11FFA56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Dat_01!$A$94:$A$105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Dat_01!$B$94:$B$105</c:f>
              <c:numCache>
                <c:formatCode>_-* #,##0.0\ _€_-;\-* #,##0.0\ _€_-;_-* "-"??\ _€_-;_-@_-</c:formatCode>
                <c:ptCount val="12"/>
                <c:pt idx="0">
                  <c:v>2.1904195172888707</c:v>
                </c:pt>
                <c:pt idx="1">
                  <c:v>18.048263322967987</c:v>
                </c:pt>
                <c:pt idx="2">
                  <c:v>0.97489937499147161</c:v>
                </c:pt>
                <c:pt idx="3">
                  <c:v>3.7618039970479313</c:v>
                </c:pt>
                <c:pt idx="4">
                  <c:v>4.1045684575346773</c:v>
                </c:pt>
                <c:pt idx="5">
                  <c:v>0.23896395994089853</c:v>
                </c:pt>
                <c:pt idx="6">
                  <c:v>0.15134292021047366</c:v>
                </c:pt>
                <c:pt idx="7">
                  <c:v>37.911733009489694</c:v>
                </c:pt>
                <c:pt idx="8">
                  <c:v>14.61392439251698</c:v>
                </c:pt>
                <c:pt idx="9">
                  <c:v>15.238715037493533</c:v>
                </c:pt>
                <c:pt idx="10">
                  <c:v>1.7543558259153615</c:v>
                </c:pt>
                <c:pt idx="11">
                  <c:v>1.0110101846021229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853B-4C00-AB97-18BDB11FFA5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345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Dat_01!$H$91</c:f>
          <c:strCache>
            <c:ptCount val="1"/>
            <c:pt idx="0">
              <c:v>Histórico 27/01/2023</c:v>
            </c:pt>
          </c:strCache>
        </c:strRef>
      </c:tx>
      <c:layout>
        <c:manualLayout>
          <c:xMode val="edge"/>
          <c:yMode val="edge"/>
          <c:x val="1.4634146341463415E-2"/>
          <c:y val="2.6143790849673203E-2"/>
        </c:manualLayout>
      </c:layout>
      <c:overlay val="0"/>
      <c:spPr>
        <a:ln>
          <a:noFill/>
        </a:ln>
      </c:spPr>
      <c:txPr>
        <a:bodyPr/>
        <a:lstStyle/>
        <a:p>
          <a:pPr algn="l" rtl="0">
            <a:defRPr lang="en-US" sz="1000" b="1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34142987004673198"/>
          <c:y val="0.10657897174617879"/>
          <c:w val="0.4868981499263812"/>
          <c:h val="0.78285584890124038"/>
        </c:manualLayout>
      </c:layout>
      <c:doughnutChart>
        <c:varyColors val="1"/>
        <c:ser>
          <c:idx val="1"/>
          <c:order val="0"/>
          <c:tx>
            <c:strRef>
              <c:f>Dat_01!$G$109:$G$110</c:f>
              <c:strCache>
                <c:ptCount val="2"/>
                <c:pt idx="0">
                  <c:v>No renovables</c:v>
                </c:pt>
                <c:pt idx="1">
                  <c:v>Renovables</c:v>
                </c:pt>
              </c:strCache>
            </c:strRef>
          </c:tx>
          <c:dPt>
            <c:idx val="0"/>
            <c:bubble3D val="0"/>
            <c:spPr>
              <a:solidFill>
                <a:srgbClr val="D9D9D9"/>
              </a:solidFill>
            </c:spPr>
            <c:extLst>
              <c:ext xmlns:c16="http://schemas.microsoft.com/office/drawing/2014/chart" uri="{C3380CC4-5D6E-409C-BE32-E72D297353CC}">
                <c16:uniqueId val="{00000001-6B07-4655-B23D-BA600798B352}"/>
              </c:ext>
            </c:extLst>
          </c:dPt>
          <c:dPt>
            <c:idx val="1"/>
            <c:bubble3D val="0"/>
            <c:spPr>
              <a:solidFill>
                <a:srgbClr val="CCFF99"/>
              </a:solidFill>
            </c:spPr>
            <c:extLst>
              <c:ext xmlns:c16="http://schemas.microsoft.com/office/drawing/2014/chart" uri="{C3380CC4-5D6E-409C-BE32-E72D297353CC}">
                <c16:uniqueId val="{00000003-6B07-4655-B23D-BA600798B352}"/>
              </c:ext>
            </c:extLst>
          </c:dPt>
          <c:dPt>
            <c:idx val="9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05-6B07-4655-B23D-BA600798B352}"/>
              </c:ext>
            </c:extLst>
          </c:dPt>
          <c:dLbls>
            <c:dLbl>
              <c:idx val="0"/>
              <c:layout>
                <c:manualLayout>
                  <c:x val="-0.12032520325203253"/>
                  <c:y val="6.274509803921568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No renovable</a:t>
                    </a:r>
                    <a:r>
                      <a:rPr lang="en-US" baseline="0"/>
                      <a:t>
</a:t>
                    </a:r>
                    <a:fld id="{C02E5402-0102-4D7F-B1D3-D71267A79D24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6B07-4655-B23D-BA600798B352}"/>
                </c:ext>
              </c:extLst>
            </c:dLbl>
            <c:dLbl>
              <c:idx val="1"/>
              <c:layout>
                <c:manualLayout>
                  <c:x val="0.11056910569105691"/>
                  <c:y val="-5.2994905048633627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Renovable
</a:t>
                    </a:r>
                    <a:fld id="{20B3DCA0-CD90-466D-B645-158DB033AAC1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6B07-4655-B23D-BA600798B352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54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Dat_01!$G$94:$G$105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Dat_01!$H$109:$H$110</c:f>
              <c:numCache>
                <c:formatCode>#,##0.0</c:formatCode>
                <c:ptCount val="2"/>
                <c:pt idx="0">
                  <c:v>33.753482493800369</c:v>
                </c:pt>
                <c:pt idx="1">
                  <c:v>66.246517506199623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B07-4655-B23D-BA600798B352}"/>
            </c:ext>
          </c:extLst>
        </c:ser>
        <c:ser>
          <c:idx val="0"/>
          <c:order val="1"/>
          <c:dPt>
            <c:idx val="0"/>
            <c:bubble3D val="0"/>
            <c:spPr>
              <a:solidFill>
                <a:srgbClr val="007CF9"/>
              </a:solidFill>
            </c:spPr>
            <c:extLst>
              <c:ext xmlns:c16="http://schemas.microsoft.com/office/drawing/2014/chart" uri="{C3380CC4-5D6E-409C-BE32-E72D297353CC}">
                <c16:uniqueId val="{00000008-6B07-4655-B23D-BA600798B352}"/>
              </c:ext>
            </c:extLst>
          </c:dPt>
          <c:dPt>
            <c:idx val="1"/>
            <c:bubble3D val="0"/>
            <c:spPr>
              <a:solidFill>
                <a:srgbClr val="464394"/>
              </a:solidFill>
            </c:spPr>
            <c:extLst>
              <c:ext xmlns:c16="http://schemas.microsoft.com/office/drawing/2014/chart" uri="{C3380CC4-5D6E-409C-BE32-E72D297353CC}">
                <c16:uniqueId val="{0000000A-6B07-4655-B23D-BA600798B352}"/>
              </c:ext>
            </c:extLst>
          </c:dPt>
          <c:dPt>
            <c:idx val="2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C-6B07-4655-B23D-BA600798B352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E-6B07-4655-B23D-BA600798B352}"/>
              </c:ext>
            </c:extLst>
          </c:dPt>
          <c:dPt>
            <c:idx val="4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10-6B07-4655-B23D-BA600798B352}"/>
              </c:ext>
            </c:extLst>
          </c:dPt>
          <c:dPt>
            <c:idx val="5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12-6B07-4655-B23D-BA600798B352}"/>
              </c:ext>
            </c:extLst>
          </c:dPt>
          <c:dPt>
            <c:idx val="7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14-6B07-4655-B23D-BA600798B352}"/>
              </c:ext>
            </c:extLst>
          </c:dPt>
          <c:dPt>
            <c:idx val="8"/>
            <c:bubble3D val="0"/>
            <c:spPr>
              <a:solidFill>
                <a:srgbClr val="0090D1"/>
              </a:solidFill>
            </c:spPr>
            <c:extLst>
              <c:ext xmlns:c16="http://schemas.microsoft.com/office/drawing/2014/chart" uri="{C3380CC4-5D6E-409C-BE32-E72D297353CC}">
                <c16:uniqueId val="{00000016-6B07-4655-B23D-BA600798B352}"/>
              </c:ext>
            </c:extLst>
          </c:dPt>
          <c:dPt>
            <c:idx val="9"/>
            <c:bubble3D val="0"/>
            <c:spPr>
              <a:solidFill>
                <a:srgbClr val="E48500"/>
              </a:solidFill>
            </c:spPr>
            <c:extLst>
              <c:ext xmlns:c16="http://schemas.microsoft.com/office/drawing/2014/chart" uri="{C3380CC4-5D6E-409C-BE32-E72D297353CC}">
                <c16:uniqueId val="{00000018-6B07-4655-B23D-BA600798B352}"/>
              </c:ext>
            </c:extLst>
          </c:dPt>
          <c:dPt>
            <c:idx val="1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A-6B07-4655-B23D-BA600798B352}"/>
              </c:ext>
            </c:extLst>
          </c:dPt>
          <c:dPt>
            <c:idx val="11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C-6B07-4655-B23D-BA600798B352}"/>
              </c:ext>
            </c:extLst>
          </c:dPt>
          <c:dLbls>
            <c:dLbl>
              <c:idx val="0"/>
              <c:layout>
                <c:manualLayout>
                  <c:x val="0.24390243902439013"/>
                  <c:y val="-2.6300241881529515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B07-4655-B23D-BA600798B352}"/>
                </c:ext>
              </c:extLst>
            </c:dLbl>
            <c:dLbl>
              <c:idx val="1"/>
              <c:layout>
                <c:manualLayout>
                  <c:x val="0.15978669739453311"/>
                  <c:y val="4.183006535947712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B07-4655-B23D-BA600798B352}"/>
                </c:ext>
              </c:extLst>
            </c:dLbl>
            <c:dLbl>
              <c:idx val="2"/>
              <c:layout>
                <c:manualLayout>
                  <c:x val="0.12682926829268282"/>
                  <c:y val="-1.56862745098039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B07-4655-B23D-BA600798B352}"/>
                </c:ext>
              </c:extLst>
            </c:dLbl>
            <c:dLbl>
              <c:idx val="3"/>
              <c:layout>
                <c:manualLayout>
                  <c:x val="0.11448025094424173"/>
                  <c:y val="2.533662703926714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606504065040651"/>
                      <c:h val="0.176218619731357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E-6B07-4655-B23D-BA600798B352}"/>
                </c:ext>
              </c:extLst>
            </c:dLbl>
            <c:dLbl>
              <c:idx val="4"/>
              <c:layout>
                <c:manualLayout>
                  <c:x val="0.12762358363741116"/>
                  <c:y val="6.27450980392156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B07-4655-B23D-BA600798B352}"/>
                </c:ext>
              </c:extLst>
            </c:dLbl>
            <c:dLbl>
              <c:idx val="5"/>
              <c:layout>
                <c:manualLayout>
                  <c:x val="0.12614762179117855"/>
                  <c:y val="0.1530280479645926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6B07-4655-B23D-BA600798B352}"/>
                </c:ext>
              </c:extLst>
            </c:dLbl>
            <c:dLbl>
              <c:idx val="6"/>
              <c:layout>
                <c:manualLayout>
                  <c:x val="-1.6260162601626018E-2"/>
                  <c:y val="0.3192477999073645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6B07-4655-B23D-BA600798B352}"/>
                </c:ext>
              </c:extLst>
            </c:dLbl>
            <c:dLbl>
              <c:idx val="7"/>
              <c:layout>
                <c:manualLayout>
                  <c:x val="-0.14959349593495941"/>
                  <c:y val="1.568627450980382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6B07-4655-B23D-BA600798B352}"/>
                </c:ext>
              </c:extLst>
            </c:dLbl>
            <c:dLbl>
              <c:idx val="8"/>
              <c:layout>
                <c:manualLayout>
                  <c:x val="-0.16585365853658537"/>
                  <c:y val="5.751633986928104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6B07-4655-B23D-BA600798B352}"/>
                </c:ext>
              </c:extLst>
            </c:dLbl>
            <c:dLbl>
              <c:idx val="9"/>
              <c:layout>
                <c:manualLayout>
                  <c:x val="-0.26016247359323991"/>
                  <c:y val="4.444444444444444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845541258562188"/>
                      <c:h val="0.118091709124594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8-6B07-4655-B23D-BA600798B352}"/>
                </c:ext>
              </c:extLst>
            </c:dLbl>
            <c:dLbl>
              <c:idx val="10"/>
              <c:layout>
                <c:manualLayout>
                  <c:x val="-0.12682926829268298"/>
                  <c:y val="-8.366013071895424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6B07-4655-B23D-BA600798B352}"/>
                </c:ext>
              </c:extLst>
            </c:dLbl>
            <c:dLbl>
              <c:idx val="11"/>
              <c:layout>
                <c:manualLayout>
                  <c:x val="0.11544715447154472"/>
                  <c:y val="-9.150326797385620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061788617886178"/>
                      <c:h val="0.112862950954660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C-6B07-4655-B23D-BA600798B352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Dat_01!$G$94:$G$105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Dat_01!$H$94:$H$105</c:f>
              <c:numCache>
                <c:formatCode>_-* #,##0.0\ _€_-;\-* #,##0.0\ _€_-;_-* "-"??\ _€_-;_-@_-</c:formatCode>
                <c:ptCount val="12"/>
                <c:pt idx="0">
                  <c:v>1.8895784697506535</c:v>
                </c:pt>
                <c:pt idx="1">
                  <c:v>19.653475778110803</c:v>
                </c:pt>
                <c:pt idx="2">
                  <c:v>1.0481536119262065</c:v>
                </c:pt>
                <c:pt idx="3">
                  <c:v>6.6888920147353659</c:v>
                </c:pt>
                <c:pt idx="4">
                  <c:v>4.1938566809700903</c:v>
                </c:pt>
                <c:pt idx="5">
                  <c:v>0.27952593830725336</c:v>
                </c:pt>
                <c:pt idx="6">
                  <c:v>0.13468075393886975</c:v>
                </c:pt>
                <c:pt idx="7">
                  <c:v>39.118598399516294</c:v>
                </c:pt>
                <c:pt idx="8">
                  <c:v>16.2756399020383</c:v>
                </c:pt>
                <c:pt idx="9">
                  <c:v>8.7561215987314611</c:v>
                </c:pt>
                <c:pt idx="10">
                  <c:v>0.79306969914284942</c:v>
                </c:pt>
                <c:pt idx="11">
                  <c:v>1.1684071528318438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6B07-4655-B23D-BA600798B35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9852622507025586"/>
          <c:w val="0.89139096346862223"/>
          <c:h val="0.67007523509679123"/>
        </c:manualLayout>
      </c:layout>
      <c:lineChart>
        <c:grouping val="standard"/>
        <c:varyColors val="0"/>
        <c:ser>
          <c:idx val="2"/>
          <c:order val="0"/>
          <c:tx>
            <c:strRef>
              <c:f>Dat_01!$A$161</c:f>
              <c:strCache>
                <c:ptCount val="1"/>
                <c:pt idx="0">
                  <c:v>Renovables: hidráulica, eólica, solar fotovoltaica, solar térmica, otras renovables y residuos renovables.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D6D-4727-A56F-BCC12B52A0DC}"/>
                </c:ext>
              </c:extLst>
            </c:dLbl>
            <c:dLbl>
              <c:idx val="1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8B3-4EB1-8C39-AB9CD5214540}"/>
                </c:ext>
              </c:extLst>
            </c:dLbl>
            <c:dLbl>
              <c:idx val="2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8B3-4EB1-8C39-AB9CD5214540}"/>
                </c:ext>
              </c:extLst>
            </c:dLbl>
            <c:dLbl>
              <c:idx val="7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0EA-452F-B976-74C274673467}"/>
                </c:ext>
              </c:extLst>
            </c:dLbl>
            <c:dLbl>
              <c:idx val="8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8B3-4EB1-8C39-AB9CD5214540}"/>
                </c:ext>
              </c:extLst>
            </c:dLbl>
            <c:dLbl>
              <c:idx val="9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8B3-4EB1-8C39-AB9CD5214540}"/>
                </c:ext>
              </c:extLst>
            </c:dLbl>
            <c:dLbl>
              <c:idx val="10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8B3-4EB1-8C39-AB9CD5214540}"/>
                </c:ext>
              </c:extLst>
            </c:dLbl>
            <c:dLbl>
              <c:idx val="11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8B3-4EB1-8C39-AB9CD5214540}"/>
                </c:ext>
              </c:extLst>
            </c:dLbl>
            <c:dLbl>
              <c:idx val="12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8B3-4EB1-8C39-AB9CD521454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1" i="0" u="none" strike="noStrike" kern="1200" baseline="0">
                    <a:solidFill>
                      <a:srgbClr val="92D05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Dat_01!$B$140:$N$140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Dat_01!$B$158:$N$158</c:f>
              <c:numCache>
                <c:formatCode>0.0</c:formatCode>
                <c:ptCount val="13"/>
                <c:pt idx="0">
                  <c:v>54.170965469182775</c:v>
                </c:pt>
                <c:pt idx="1">
                  <c:v>53.698209617269846</c:v>
                </c:pt>
                <c:pt idx="2">
                  <c:v>55.711960661786243</c:v>
                </c:pt>
                <c:pt idx="3">
                  <c:v>47.909239064028135</c:v>
                </c:pt>
                <c:pt idx="4">
                  <c:v>47.518582448458851</c:v>
                </c:pt>
                <c:pt idx="5">
                  <c:v>47.624079438470943</c:v>
                </c:pt>
                <c:pt idx="6">
                  <c:v>43.322135016002271</c:v>
                </c:pt>
                <c:pt idx="7">
                  <c:v>52.195167400852178</c:v>
                </c:pt>
                <c:pt idx="8">
                  <c:v>61.86490746364624</c:v>
                </c:pt>
                <c:pt idx="9">
                  <c:v>55.584611305703199</c:v>
                </c:pt>
                <c:pt idx="10">
                  <c:v>53.141945983790961</c:v>
                </c:pt>
                <c:pt idx="11">
                  <c:v>60.812439634963688</c:v>
                </c:pt>
                <c:pt idx="12">
                  <c:v>66.449852817367471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81A-4337-AD86-D2D3C7BBF9BF}"/>
            </c:ext>
          </c:extLst>
        </c:ser>
        <c:ser>
          <c:idx val="0"/>
          <c:order val="1"/>
          <c:tx>
            <c:strRef>
              <c:f>Dat_01!$A$162</c:f>
              <c:strCache>
                <c:ptCount val="1"/>
                <c:pt idx="0">
                  <c:v>No renovables: turbinación bombeo, nuclear, carbón, fuel/gas, ciclo combinado, cogeneración y residuos no renovables.</c:v>
                </c:pt>
              </c:strCache>
            </c:strRef>
          </c:tx>
          <c:spPr>
            <a:ln w="28575" cap="rnd">
              <a:solidFill>
                <a:srgbClr val="7F7F7F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640-4C14-B897-F7A6B72494EF}"/>
                </c:ext>
              </c:extLst>
            </c:dLbl>
            <c:dLbl>
              <c:idx val="1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8B3-4EB1-8C39-AB9CD5214540}"/>
                </c:ext>
              </c:extLst>
            </c:dLbl>
            <c:dLbl>
              <c:idx val="2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8B3-4EB1-8C39-AB9CD5214540}"/>
                </c:ext>
              </c:extLst>
            </c:dLbl>
            <c:dLbl>
              <c:idx val="7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D6D-4727-A56F-BCC12B52A0DC}"/>
                </c:ext>
              </c:extLst>
            </c:dLbl>
            <c:dLbl>
              <c:idx val="8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8B3-4EB1-8C39-AB9CD5214540}"/>
                </c:ext>
              </c:extLst>
            </c:dLbl>
            <c:dLbl>
              <c:idx val="9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8B3-4EB1-8C39-AB9CD5214540}"/>
                </c:ext>
              </c:extLst>
            </c:dLbl>
            <c:dLbl>
              <c:idx val="10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8B3-4EB1-8C39-AB9CD5214540}"/>
                </c:ext>
              </c:extLst>
            </c:dLbl>
            <c:dLbl>
              <c:idx val="11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8B3-4EB1-8C39-AB9CD5214540}"/>
                </c:ext>
              </c:extLst>
            </c:dLbl>
            <c:dLbl>
              <c:idx val="12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8B3-4EB1-8C39-AB9CD521454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1" i="0" u="none" strike="noStrike" kern="1200" baseline="0">
                    <a:solidFill>
                      <a:srgbClr val="7F7F7F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Dat_01!$B$140:$N$140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Dat_01!$B$159:$N$159</c:f>
              <c:numCache>
                <c:formatCode>0.0</c:formatCode>
                <c:ptCount val="13"/>
                <c:pt idx="0">
                  <c:v>45.829034530817218</c:v>
                </c:pt>
                <c:pt idx="1">
                  <c:v>46.301790382730168</c:v>
                </c:pt>
                <c:pt idx="2">
                  <c:v>44.288039338213736</c:v>
                </c:pt>
                <c:pt idx="3">
                  <c:v>52.090760935971879</c:v>
                </c:pt>
                <c:pt idx="4">
                  <c:v>52.481417551541149</c:v>
                </c:pt>
                <c:pt idx="5">
                  <c:v>52.375920561529057</c:v>
                </c:pt>
                <c:pt idx="6">
                  <c:v>56.677864983997729</c:v>
                </c:pt>
                <c:pt idx="7">
                  <c:v>47.804832599147822</c:v>
                </c:pt>
                <c:pt idx="8">
                  <c:v>38.13509253635376</c:v>
                </c:pt>
                <c:pt idx="9">
                  <c:v>44.415388694296801</c:v>
                </c:pt>
                <c:pt idx="10">
                  <c:v>46.858054016209039</c:v>
                </c:pt>
                <c:pt idx="11">
                  <c:v>39.187560365036312</c:v>
                </c:pt>
                <c:pt idx="12">
                  <c:v>33.550147182632529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381A-4337-AD86-D2D3C7BBF9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90936232"/>
        <c:axId val="690935840"/>
      </c:lineChart>
      <c:catAx>
        <c:axId val="6909362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92155223588515101"/>
              <c:y val="0.936134907724122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35840"/>
        <c:crosses val="autoZero"/>
        <c:auto val="1"/>
        <c:lblAlgn val="ctr"/>
        <c:lblOffset val="100"/>
        <c:noMultiLvlLbl val="1"/>
      </c:catAx>
      <c:valAx>
        <c:axId val="690935840"/>
        <c:scaling>
          <c:orientation val="minMax"/>
          <c:max val="1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%</a:t>
                </a:r>
              </a:p>
            </c:rich>
          </c:tx>
          <c:layout>
            <c:manualLayout>
              <c:xMode val="edge"/>
              <c:yMode val="edge"/>
              <c:x val="5.2379669690930081E-2"/>
              <c:y val="0.115595087651080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36232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1650911047857931E-3"/>
          <c:y val="6.7305012799325995E-3"/>
          <c:w val="0.988175961557333"/>
          <c:h val="0.151751725478759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23155001909591022"/>
          <c:w val="0.89139096346862223"/>
          <c:h val="0.6213406141569765"/>
        </c:manualLayout>
      </c:layout>
      <c:areaChart>
        <c:grouping val="standard"/>
        <c:varyColors val="0"/>
        <c:ser>
          <c:idx val="1"/>
          <c:order val="2"/>
          <c:tx>
            <c:v>Emisiones (ktCO2 eq.)</c:v>
          </c:tx>
          <c:spPr>
            <a:solidFill>
              <a:srgbClr val="DAACA8"/>
            </a:solidFill>
            <a:ln w="25400">
              <a:noFill/>
            </a:ln>
            <a:effectLst/>
          </c:spPr>
          <c:val>
            <c:numRef>
              <c:f>Dat_01!$C$262:$O$262</c:f>
              <c:numCache>
                <c:formatCode>#,##0.000;\(#,##0.000\)</c:formatCode>
                <c:ptCount val="13"/>
                <c:pt idx="0">
                  <c:v>2027495.37298</c:v>
                </c:pt>
                <c:pt idx="1">
                  <c:v>1722301.41105</c:v>
                </c:pt>
                <c:pt idx="2">
                  <c:v>1917378.4631099999</c:v>
                </c:pt>
                <c:pt idx="3">
                  <c:v>2442308.35616</c:v>
                </c:pt>
                <c:pt idx="4">
                  <c:v>2458713.1883</c:v>
                </c:pt>
                <c:pt idx="5">
                  <c:v>2504614.8359699999</c:v>
                </c:pt>
                <c:pt idx="6">
                  <c:v>2501786.3870299999</c:v>
                </c:pt>
                <c:pt idx="7">
                  <c:v>2117620.1905200002</c:v>
                </c:pt>
                <c:pt idx="8">
                  <c:v>1453158.8547499999</c:v>
                </c:pt>
                <c:pt idx="9">
                  <c:v>1628839.8554700001</c:v>
                </c:pt>
                <c:pt idx="10">
                  <c:v>1923198.5325499999</c:v>
                </c:pt>
                <c:pt idx="11">
                  <c:v>1302790.8092199999</c:v>
                </c:pt>
                <c:pt idx="12">
                  <c:v>1256653.5136599999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51-4685-AE04-F93B5205A6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86839376"/>
        <c:axId val="993225888"/>
      </c:areaChart>
      <c:lineChart>
        <c:grouping val="standard"/>
        <c:varyColors val="0"/>
        <c:ser>
          <c:idx val="2"/>
          <c:order val="0"/>
          <c:tx>
            <c:strRef>
              <c:f>Dat_01!$A$169</c:f>
              <c:strCache>
                <c:ptCount val="1"/>
                <c:pt idx="0">
                  <c:v>Sin emisiones CO2: hidráulica, nuclear, eólica, solar fotovoltaica, solar térmica, otras renovables y residuos renovables.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4836960278205306E-2"/>
                  <c:y val="-4.37460487717673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2E0-4F10-A4EA-C6D89D74D7EB}"/>
                </c:ext>
              </c:extLst>
            </c:dLbl>
            <c:dLbl>
              <c:idx val="1"/>
              <c:layout>
                <c:manualLayout>
                  <c:x val="-3.3030764771621514E-2"/>
                  <c:y val="-4.37460487717673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2E0-4F10-A4EA-C6D89D74D7EB}"/>
                </c:ext>
              </c:extLst>
            </c:dLbl>
            <c:dLbl>
              <c:idx val="2"/>
              <c:layout>
                <c:manualLayout>
                  <c:x val="-3.8449351291372898E-2"/>
                  <c:y val="-4.37460487717673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2E0-4F10-A4EA-C6D89D74D7EB}"/>
                </c:ext>
              </c:extLst>
            </c:dLbl>
            <c:dLbl>
              <c:idx val="3"/>
              <c:layout>
                <c:manualLayout>
                  <c:x val="-3.8449351291372898E-2"/>
                  <c:y val="-3.96180817955031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2E0-4F10-A4EA-C6D89D74D7EB}"/>
                </c:ext>
              </c:extLst>
            </c:dLbl>
            <c:dLbl>
              <c:idx val="6"/>
              <c:layout>
                <c:manualLayout>
                  <c:x val="-3.3030764771621576E-2"/>
                  <c:y val="-3.96180817955031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2E0-4F10-A4EA-C6D89D74D7EB}"/>
                </c:ext>
              </c:extLst>
            </c:dLbl>
            <c:dLbl>
              <c:idx val="7"/>
              <c:layout>
                <c:manualLayout>
                  <c:x val="-3.3030764771621576E-2"/>
                  <c:y val="-4.37460487717673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2E0-4F10-A4EA-C6D89D74D7EB}"/>
                </c:ext>
              </c:extLst>
            </c:dLbl>
            <c:dLbl>
              <c:idx val="10"/>
              <c:layout>
                <c:manualLayout>
                  <c:x val="-2.9418373758454051E-2"/>
                  <c:y val="-6.02579166768240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2E0-4F10-A4EA-C6D89D74D7EB}"/>
                </c:ext>
              </c:extLst>
            </c:dLbl>
            <c:dLbl>
              <c:idx val="12"/>
              <c:layout>
                <c:manualLayout>
                  <c:x val="-2.9418373758454051E-2"/>
                  <c:y val="-6.0257916676824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2E0-4F10-A4EA-C6D89D74D7EB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1" i="0" u="none" strike="noStrike" kern="1200" baseline="0">
                    <a:solidFill>
                      <a:srgbClr val="92D05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Dat_01!$B$140:$N$140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Dat_01!$B$166:$N$166</c:f>
              <c:numCache>
                <c:formatCode>0.0</c:formatCode>
                <c:ptCount val="13"/>
                <c:pt idx="0">
                  <c:v>78.285291532884202</c:v>
                </c:pt>
                <c:pt idx="1">
                  <c:v>78.373700805154158</c:v>
                </c:pt>
                <c:pt idx="2">
                  <c:v>75.807757931376372</c:v>
                </c:pt>
                <c:pt idx="3">
                  <c:v>68.823076702013935</c:v>
                </c:pt>
                <c:pt idx="4">
                  <c:v>71.532264750904773</c:v>
                </c:pt>
                <c:pt idx="5">
                  <c:v>71.572957124908186</c:v>
                </c:pt>
                <c:pt idx="6">
                  <c:v>67.805889861300088</c:v>
                </c:pt>
                <c:pt idx="7">
                  <c:v>73.010554816185135</c:v>
                </c:pt>
                <c:pt idx="8">
                  <c:v>81.997709393191045</c:v>
                </c:pt>
                <c:pt idx="9">
                  <c:v>80.46959324204613</c:v>
                </c:pt>
                <c:pt idx="10">
                  <c:v>77.909407289797414</c:v>
                </c:pt>
                <c:pt idx="11">
                  <c:v>84.306804066003238</c:v>
                </c:pt>
                <c:pt idx="12">
                  <c:v>85.060016288780034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2E0-4F10-A4EA-C6D89D74D7EB}"/>
            </c:ext>
          </c:extLst>
        </c:ser>
        <c:ser>
          <c:idx val="0"/>
          <c:order val="1"/>
          <c:tx>
            <c:strRef>
              <c:f>Dat_01!$A$170</c:f>
              <c:strCache>
                <c:ptCount val="1"/>
                <c:pt idx="0">
                  <c:v>Con emisiones CO2: carbón, fuel/gas, ciclo combinado, cogeneración y residuos no renovables.</c:v>
                </c:pt>
              </c:strCache>
            </c:strRef>
          </c:tx>
          <c:spPr>
            <a:ln w="28575" cap="rnd">
              <a:solidFill>
                <a:srgbClr val="7F7F7F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2.7612178251870123E-2"/>
                  <c:y val="6.77090595873658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2E0-4F10-A4EA-C6D89D74D7EB}"/>
                </c:ext>
              </c:extLst>
            </c:dLbl>
            <c:dLbl>
              <c:idx val="1"/>
              <c:layout>
                <c:manualLayout>
                  <c:x val="-3.3030764771621514E-2"/>
                  <c:y val="5.53251586585732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2E0-4F10-A4EA-C6D89D74D7EB}"/>
                </c:ext>
              </c:extLst>
            </c:dLbl>
            <c:dLbl>
              <c:idx val="2"/>
              <c:layout>
                <c:manualLayout>
                  <c:x val="-2.7612178251870123E-2"/>
                  <c:y val="4.70692247060449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2E0-4F10-A4EA-C6D89D74D7EB}"/>
                </c:ext>
              </c:extLst>
            </c:dLbl>
            <c:dLbl>
              <c:idx val="3"/>
              <c:layout>
                <c:manualLayout>
                  <c:x val="-2.9418373758453985E-2"/>
                  <c:y val="3.46853237772521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2E0-4F10-A4EA-C6D89D74D7EB}"/>
                </c:ext>
              </c:extLst>
            </c:dLbl>
            <c:dLbl>
              <c:idx val="4"/>
              <c:layout>
                <c:manualLayout>
                  <c:x val="-3.1224569265037715E-2"/>
                  <c:y val="4.29412577297806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2E0-4F10-A4EA-C6D89D74D7EB}"/>
                </c:ext>
              </c:extLst>
            </c:dLbl>
            <c:dLbl>
              <c:idx val="5"/>
              <c:layout>
                <c:manualLayout>
                  <c:x val="-2.7612178251870123E-2"/>
                  <c:y val="3.05573568009881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2E0-4F10-A4EA-C6D89D74D7EB}"/>
                </c:ext>
              </c:extLst>
            </c:dLbl>
            <c:dLbl>
              <c:idx val="6"/>
              <c:layout>
                <c:manualLayout>
                  <c:x val="-2.9418373758453919E-2"/>
                  <c:y val="5.11971916823090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2E0-4F10-A4EA-C6D89D74D7EB}"/>
                </c:ext>
              </c:extLst>
            </c:dLbl>
            <c:dLbl>
              <c:idx val="7"/>
              <c:layout>
                <c:manualLayout>
                  <c:x val="-2.9418373758453919E-2"/>
                  <c:y val="3.05573568009880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E2E0-4F10-A4EA-C6D89D74D7EB}"/>
                </c:ext>
              </c:extLst>
            </c:dLbl>
            <c:dLbl>
              <c:idx val="8"/>
              <c:layout>
                <c:manualLayout>
                  <c:x val="-3.1224569265037715E-2"/>
                  <c:y val="5.11971916823089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2E0-4F10-A4EA-C6D89D74D7EB}"/>
                </c:ext>
              </c:extLst>
            </c:dLbl>
            <c:dLbl>
              <c:idx val="9"/>
              <c:layout>
                <c:manualLayout>
                  <c:x val="-2.9418373758453919E-2"/>
                  <c:y val="4.29412577297806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E2E0-4F10-A4EA-C6D89D74D7EB}"/>
                </c:ext>
              </c:extLst>
            </c:dLbl>
            <c:dLbl>
              <c:idx val="10"/>
              <c:layout>
                <c:manualLayout>
                  <c:x val="-2.3999787238702532E-2"/>
                  <c:y val="5.53251586585731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2E0-4F10-A4EA-C6D89D74D7EB}"/>
                </c:ext>
              </c:extLst>
            </c:dLbl>
            <c:dLbl>
              <c:idx val="11"/>
              <c:layout>
                <c:manualLayout>
                  <c:x val="-2.3999787238702532E-2"/>
                  <c:y val="4.29412577297806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E2E0-4F10-A4EA-C6D89D74D7EB}"/>
                </c:ext>
              </c:extLst>
            </c:dLbl>
            <c:dLbl>
              <c:idx val="12"/>
              <c:layout>
                <c:manualLayout>
                  <c:x val="-2.7612178251870255E-2"/>
                  <c:y val="4.70692247060447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E2E0-4F10-A4EA-C6D89D74D7EB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1" i="0" u="none" strike="noStrike" kern="1200" baseline="0">
                    <a:solidFill>
                      <a:srgbClr val="7F7F7F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Dat_01!$B$140:$N$140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Dat_01!$B$167:$N$167</c:f>
              <c:numCache>
                <c:formatCode>0.0</c:formatCode>
                <c:ptCount val="13"/>
                <c:pt idx="0">
                  <c:v>21.714708467115777</c:v>
                </c:pt>
                <c:pt idx="1">
                  <c:v>21.626299194845835</c:v>
                </c:pt>
                <c:pt idx="2">
                  <c:v>24.192242068623599</c:v>
                </c:pt>
                <c:pt idx="3">
                  <c:v>31.176923297986086</c:v>
                </c:pt>
                <c:pt idx="4">
                  <c:v>28.467735249095199</c:v>
                </c:pt>
                <c:pt idx="5">
                  <c:v>28.427042875091821</c:v>
                </c:pt>
                <c:pt idx="6">
                  <c:v>32.194110138699926</c:v>
                </c:pt>
                <c:pt idx="7">
                  <c:v>26.989445183814858</c:v>
                </c:pt>
                <c:pt idx="8">
                  <c:v>18.002290606808927</c:v>
                </c:pt>
                <c:pt idx="9">
                  <c:v>19.530406757953898</c:v>
                </c:pt>
                <c:pt idx="10">
                  <c:v>22.090592710202571</c:v>
                </c:pt>
                <c:pt idx="11">
                  <c:v>15.693195933996783</c:v>
                </c:pt>
                <c:pt idx="12">
                  <c:v>14.939983711219984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E2E0-4F10-A4EA-C6D89D74D7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0938976"/>
        <c:axId val="690939368"/>
      </c:lineChart>
      <c:catAx>
        <c:axId val="690938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92335843139173468"/>
              <c:y val="0.925660961664945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39368"/>
        <c:crosses val="autoZero"/>
        <c:auto val="1"/>
        <c:lblAlgn val="ctr"/>
        <c:lblOffset val="100"/>
        <c:noMultiLvlLbl val="1"/>
      </c:catAx>
      <c:valAx>
        <c:axId val="690939368"/>
        <c:scaling>
          <c:orientation val="minMax"/>
          <c:max val="1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%</a:t>
                </a:r>
              </a:p>
            </c:rich>
          </c:tx>
          <c:layout>
            <c:manualLayout>
              <c:xMode val="edge"/>
              <c:yMode val="edge"/>
              <c:x val="1.9868150572421757E-2"/>
              <c:y val="0.1641237414982570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38976"/>
        <c:crosses val="autoZero"/>
        <c:crossBetween val="between"/>
        <c:majorUnit val="20"/>
      </c:valAx>
      <c:valAx>
        <c:axId val="993225888"/>
        <c:scaling>
          <c:orientation val="minMax"/>
          <c:max val="7500000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986839376"/>
        <c:crosses val="max"/>
        <c:crossBetween val="between"/>
        <c:majorUnit val="1500000"/>
        <c:dispUnits>
          <c:builtInUnit val="thousand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</c:dispUnitsLbl>
        </c:dispUnits>
      </c:valAx>
      <c:catAx>
        <c:axId val="986839376"/>
        <c:scaling>
          <c:orientation val="minMax"/>
        </c:scaling>
        <c:delete val="1"/>
        <c:axPos val="b"/>
        <c:majorTickMark val="out"/>
        <c:minorTickMark val="none"/>
        <c:tickLblPos val="nextTo"/>
        <c:crossAx val="9932258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"/>
          <c:y val="1.3801061245053349E-2"/>
          <c:w val="1"/>
          <c:h val="0.1557397430584334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9852622507025586"/>
          <c:w val="0.89139096346862223"/>
          <c:h val="0.67007523509679123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Dat_01!$A$142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5B9BD5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Dat_01!$B$142:$N$142</c:f>
              <c:numCache>
                <c:formatCode>#,##0.0</c:formatCode>
                <c:ptCount val="13"/>
                <c:pt idx="0">
                  <c:v>2043.195288889</c:v>
                </c:pt>
                <c:pt idx="1">
                  <c:v>1532.7970382829999</c:v>
                </c:pt>
                <c:pt idx="2">
                  <c:v>1391.317400074</c:v>
                </c:pt>
                <c:pt idx="3">
                  <c:v>1912.966164422</c:v>
                </c:pt>
                <c:pt idx="4">
                  <c:v>1303.0717722879999</c:v>
                </c:pt>
                <c:pt idx="5">
                  <c:v>966.63222098799997</c:v>
                </c:pt>
                <c:pt idx="6">
                  <c:v>929.63253717600003</c:v>
                </c:pt>
                <c:pt idx="7">
                  <c:v>1445.246566886</c:v>
                </c:pt>
                <c:pt idx="8">
                  <c:v>3449.3918406510002</c:v>
                </c:pt>
                <c:pt idx="9">
                  <c:v>3973.5715913580002</c:v>
                </c:pt>
                <c:pt idx="10">
                  <c:v>3896.2215926650001</c:v>
                </c:pt>
                <c:pt idx="11">
                  <c:v>2981.3167145880002</c:v>
                </c:pt>
                <c:pt idx="12">
                  <c:v>4622.0192777359998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2E-49E7-B2B3-B66EBA2475E3}"/>
            </c:ext>
          </c:extLst>
        </c:ser>
        <c:ser>
          <c:idx val="0"/>
          <c:order val="1"/>
          <c:tx>
            <c:strRef>
              <c:f>Dat_01!$A$147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44B114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Dat_01!$B$147:$N$147</c:f>
              <c:numCache>
                <c:formatCode>#,##0.0</c:formatCode>
                <c:ptCount val="13"/>
                <c:pt idx="0">
                  <c:v>6562.9494439999999</c:v>
                </c:pt>
                <c:pt idx="1">
                  <c:v>4798.0341330000001</c:v>
                </c:pt>
                <c:pt idx="2">
                  <c:v>5330.5438809999996</c:v>
                </c:pt>
                <c:pt idx="3">
                  <c:v>3017.4135729999998</c:v>
                </c:pt>
                <c:pt idx="4">
                  <c:v>3650.5355380000001</c:v>
                </c:pt>
                <c:pt idx="5">
                  <c:v>4088.245336</c:v>
                </c:pt>
                <c:pt idx="6">
                  <c:v>3493.5598100000002</c:v>
                </c:pt>
                <c:pt idx="7">
                  <c:v>5706.4825490000003</c:v>
                </c:pt>
                <c:pt idx="8">
                  <c:v>6895.4752040000003</c:v>
                </c:pt>
                <c:pt idx="9">
                  <c:v>5741.1681920000001</c:v>
                </c:pt>
                <c:pt idx="10">
                  <c:v>5637.6258340000004</c:v>
                </c:pt>
                <c:pt idx="11">
                  <c:v>6836.4947759999995</c:v>
                </c:pt>
                <c:pt idx="12">
                  <c:v>6037.2126539999999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2E-49E7-B2B3-B66EBA2475E3}"/>
            </c:ext>
          </c:extLst>
        </c:ser>
        <c:ser>
          <c:idx val="1"/>
          <c:order val="2"/>
          <c:tx>
            <c:strRef>
              <c:f>Dat_01!$A$148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rgbClr val="E48500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Dat_01!$B$148:$N$148</c:f>
              <c:numCache>
                <c:formatCode>#,##0.0</c:formatCode>
                <c:ptCount val="13"/>
                <c:pt idx="0">
                  <c:v>3026.359449</c:v>
                </c:pt>
                <c:pt idx="1">
                  <c:v>3706.5430190000002</c:v>
                </c:pt>
                <c:pt idx="2">
                  <c:v>3795.9065730000002</c:v>
                </c:pt>
                <c:pt idx="3">
                  <c:v>3780.393454</c:v>
                </c:pt>
                <c:pt idx="4">
                  <c:v>4475.9036299999998</c:v>
                </c:pt>
                <c:pt idx="5">
                  <c:v>4376.8469839999998</c:v>
                </c:pt>
                <c:pt idx="6">
                  <c:v>3295.670611</c:v>
                </c:pt>
                <c:pt idx="7">
                  <c:v>2566.3154300000001</c:v>
                </c:pt>
                <c:pt idx="8">
                  <c:v>1946.5475630000001</c:v>
                </c:pt>
                <c:pt idx="9">
                  <c:v>1820.6462019999999</c:v>
                </c:pt>
                <c:pt idx="10">
                  <c:v>1859.956492</c:v>
                </c:pt>
                <c:pt idx="11">
                  <c:v>2544.8560080000002</c:v>
                </c:pt>
                <c:pt idx="12">
                  <c:v>2983.5408170000001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82E-49E7-B2B3-B66EBA2475E3}"/>
            </c:ext>
          </c:extLst>
        </c:ser>
        <c:ser>
          <c:idx val="3"/>
          <c:order val="3"/>
          <c:tx>
            <c:strRef>
              <c:f>Dat_01!$A$149</c:f>
              <c:strCache>
                <c:ptCount val="1"/>
                <c:pt idx="0">
                  <c:v>Solar térmica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Dat_01!$B$149:$N$149</c:f>
              <c:numCache>
                <c:formatCode>#,##0.0</c:formatCode>
                <c:ptCount val="13"/>
                <c:pt idx="0">
                  <c:v>409.93961899999999</c:v>
                </c:pt>
                <c:pt idx="1">
                  <c:v>625.72451000000001</c:v>
                </c:pt>
                <c:pt idx="2">
                  <c:v>500.29015700000002</c:v>
                </c:pt>
                <c:pt idx="3">
                  <c:v>541.44321600000001</c:v>
                </c:pt>
                <c:pt idx="4">
                  <c:v>768.13673300000005</c:v>
                </c:pt>
                <c:pt idx="5">
                  <c:v>719.76334299999996</c:v>
                </c:pt>
                <c:pt idx="6">
                  <c:v>400.78732400000001</c:v>
                </c:pt>
                <c:pt idx="7">
                  <c:v>226.73819900000001</c:v>
                </c:pt>
                <c:pt idx="8">
                  <c:v>111.28416799999999</c:v>
                </c:pt>
                <c:pt idx="9">
                  <c:v>92.059718000000004</c:v>
                </c:pt>
                <c:pt idx="10">
                  <c:v>94.242966999999993</c:v>
                </c:pt>
                <c:pt idx="11">
                  <c:v>176.41685799999999</c:v>
                </c:pt>
                <c:pt idx="12">
                  <c:v>151.73508200000001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82E-49E7-B2B3-B66EBA2475E3}"/>
            </c:ext>
          </c:extLst>
        </c:ser>
        <c:ser>
          <c:idx val="5"/>
          <c:order val="4"/>
          <c:tx>
            <c:strRef>
              <c:f>Dat_01!$A$150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9A5CBC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Dat_01!$B$150:$N$150</c:f>
              <c:numCache>
                <c:formatCode>#,##0.0</c:formatCode>
                <c:ptCount val="13"/>
                <c:pt idx="0">
                  <c:v>307.07592899999997</c:v>
                </c:pt>
                <c:pt idx="1">
                  <c:v>272.39934599999998</c:v>
                </c:pt>
                <c:pt idx="2">
                  <c:v>336.75007499999998</c:v>
                </c:pt>
                <c:pt idx="3">
                  <c:v>321.04170599999998</c:v>
                </c:pt>
                <c:pt idx="4">
                  <c:v>319.13790999999998</c:v>
                </c:pt>
                <c:pt idx="5">
                  <c:v>339.53788500000002</c:v>
                </c:pt>
                <c:pt idx="6">
                  <c:v>284.53883400000001</c:v>
                </c:pt>
                <c:pt idx="7">
                  <c:v>262.341748</c:v>
                </c:pt>
                <c:pt idx="8">
                  <c:v>237.95199600000001</c:v>
                </c:pt>
                <c:pt idx="9">
                  <c:v>254.011473</c:v>
                </c:pt>
                <c:pt idx="10">
                  <c:v>281.89705400000003</c:v>
                </c:pt>
                <c:pt idx="11">
                  <c:v>257.40937400000001</c:v>
                </c:pt>
                <c:pt idx="12">
                  <c:v>308.99560500000001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82E-49E7-B2B3-B66EBA2475E3}"/>
            </c:ext>
          </c:extLst>
        </c:ser>
        <c:ser>
          <c:idx val="4"/>
          <c:order val="5"/>
          <c:tx>
            <c:strRef>
              <c:f>Dat_01!$A$153</c:f>
              <c:strCache>
                <c:ptCount val="1"/>
                <c:pt idx="0">
                  <c:v>Residuos renovables</c:v>
                </c:pt>
              </c:strCache>
            </c:strRef>
          </c:tx>
          <c:spPr>
            <a:solidFill>
              <a:srgbClr val="A0A0A0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Dat_01!$B$153:$N$153</c:f>
              <c:numCache>
                <c:formatCode>#,##0.0</c:formatCode>
                <c:ptCount val="13"/>
                <c:pt idx="0">
                  <c:v>62.173029999999997</c:v>
                </c:pt>
                <c:pt idx="1">
                  <c:v>46.745470500000003</c:v>
                </c:pt>
                <c:pt idx="2">
                  <c:v>32.738592500000003</c:v>
                </c:pt>
                <c:pt idx="3">
                  <c:v>65.021735000000007</c:v>
                </c:pt>
                <c:pt idx="4">
                  <c:v>70.556624999999997</c:v>
                </c:pt>
                <c:pt idx="5">
                  <c:v>62.106560000000002</c:v>
                </c:pt>
                <c:pt idx="6">
                  <c:v>63.283716499999997</c:v>
                </c:pt>
                <c:pt idx="7">
                  <c:v>65.383654000000007</c:v>
                </c:pt>
                <c:pt idx="8">
                  <c:v>52.408155000000001</c:v>
                </c:pt>
                <c:pt idx="9">
                  <c:v>65.083246000000003</c:v>
                </c:pt>
                <c:pt idx="10">
                  <c:v>58.133075499999997</c:v>
                </c:pt>
                <c:pt idx="11">
                  <c:v>53.101937</c:v>
                </c:pt>
                <c:pt idx="12">
                  <c:v>40.449704500000003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82E-49E7-B2B3-B66EBA2475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90942112"/>
        <c:axId val="690942504"/>
      </c:barChart>
      <c:catAx>
        <c:axId val="6909421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91793984487198343"/>
              <c:y val="0.936134907724122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2504"/>
        <c:crosses val="autoZero"/>
        <c:auto val="1"/>
        <c:lblAlgn val="ctr"/>
        <c:lblOffset val="100"/>
        <c:noMultiLvlLbl val="1"/>
      </c:catAx>
      <c:valAx>
        <c:axId val="690942504"/>
        <c:scaling>
          <c:orientation val="minMax"/>
          <c:max val="160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3.0705323611924532E-2"/>
              <c:y val="7.743627490397164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2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0443888901056632E-2"/>
          <c:y val="3.1421838177533384E-2"/>
          <c:w val="0.89999991466792884"/>
          <c:h val="6.13580927926476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4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5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6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7.xml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8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8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9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7619</xdr:colOff>
      <xdr:row>3</xdr:row>
      <xdr:rowOff>26670</xdr:rowOff>
    </xdr:from>
    <xdr:to>
      <xdr:col>4</xdr:col>
      <xdr:colOff>6551819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213359" y="491490"/>
          <a:ext cx="7992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38097</xdr:rowOff>
    </xdr:from>
    <xdr:to>
      <xdr:col>2</xdr:col>
      <xdr:colOff>1060510</xdr:colOff>
      <xdr:row>25</xdr:row>
      <xdr:rowOff>7620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50" y="853437"/>
          <a:ext cx="1044000" cy="29108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47625</xdr:colOff>
      <xdr:row>1</xdr:row>
      <xdr:rowOff>114300</xdr:rowOff>
    </xdr:from>
    <xdr:to>
      <xdr:col>4</xdr:col>
      <xdr:colOff>400049</xdr:colOff>
      <xdr:row>2</xdr:row>
      <xdr:rowOff>65399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341819A-FE5F-441D-9930-1AF2668953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3</xdr:row>
      <xdr:rowOff>26670</xdr:rowOff>
    </xdr:from>
    <xdr:to>
      <xdr:col>5</xdr:col>
      <xdr:colOff>1170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>
          <a:spLocks noChangeShapeType="1"/>
        </xdr:cNvSpPr>
      </xdr:nvSpPr>
      <xdr:spPr bwMode="auto">
        <a:xfrm flipH="1">
          <a:off x="213360" y="491490"/>
          <a:ext cx="892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24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19050</xdr:colOff>
      <xdr:row>1</xdr:row>
      <xdr:rowOff>133350</xdr:rowOff>
    </xdr:from>
    <xdr:to>
      <xdr:col>4</xdr:col>
      <xdr:colOff>114299</xdr:colOff>
      <xdr:row>2</xdr:row>
      <xdr:rowOff>84449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EE560F7-6D45-41E0-A088-574BB46E16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7618</xdr:colOff>
      <xdr:row>3</xdr:row>
      <xdr:rowOff>19050</xdr:rowOff>
    </xdr:from>
    <xdr:to>
      <xdr:col>9</xdr:col>
      <xdr:colOff>4573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>
          <a:spLocks noChangeShapeType="1"/>
        </xdr:cNvSpPr>
      </xdr:nvSpPr>
      <xdr:spPr bwMode="auto">
        <a:xfrm flipH="1">
          <a:off x="213358" y="483870"/>
          <a:ext cx="7596000" cy="762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19050</xdr:colOff>
      <xdr:row>1</xdr:row>
      <xdr:rowOff>133350</xdr:rowOff>
    </xdr:from>
    <xdr:to>
      <xdr:col>4</xdr:col>
      <xdr:colOff>114299</xdr:colOff>
      <xdr:row>2</xdr:row>
      <xdr:rowOff>84449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5104EFCC-B70C-465F-8D7D-A447B99E8D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3</xdr:row>
      <xdr:rowOff>26670</xdr:rowOff>
    </xdr:from>
    <xdr:to>
      <xdr:col>4</xdr:col>
      <xdr:colOff>7221120</xdr:colOff>
      <xdr:row>3</xdr:row>
      <xdr:rowOff>26670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4429B967-08ED-476F-BA7D-3E642330DA53}"/>
            </a:ext>
          </a:extLst>
        </xdr:cNvPr>
        <xdr:cNvSpPr>
          <a:spLocks noChangeShapeType="1"/>
        </xdr:cNvSpPr>
      </xdr:nvSpPr>
      <xdr:spPr bwMode="auto">
        <a:xfrm flipH="1">
          <a:off x="213360" y="491490"/>
          <a:ext cx="892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absoluteAnchor>
    <xdr:pos x="2171701" y="742950"/>
    <xdr:ext cx="6734174" cy="3638550"/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20FB4E93-4BC4-466A-9BFC-33B4E17E1A2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2</xdr:col>
      <xdr:colOff>38100</xdr:colOff>
      <xdr:row>1</xdr:row>
      <xdr:rowOff>123825</xdr:rowOff>
    </xdr:from>
    <xdr:to>
      <xdr:col>4</xdr:col>
      <xdr:colOff>133349</xdr:colOff>
      <xdr:row>2</xdr:row>
      <xdr:rowOff>74924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3A4B4072-FA3B-442A-A178-E5F7E4B203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0.5065</cdr:x>
      <cdr:y>0.50175</cdr:y>
    </cdr:from>
    <cdr:to>
      <cdr:x>0.5245</cdr:x>
      <cdr:y>0.52425</cdr:y>
    </cdr:to>
    <cdr:sp macro="" textlink="">
      <cdr:nvSpPr>
        <cdr:cNvPr id="96283" name="Text Box 2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70031" y="2886618"/>
          <a:ext cx="165964" cy="1294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fr-FR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95</a:t>
          </a:r>
        </a:p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95</a:t>
          </a:r>
        </a:p>
      </cdr:txBody>
    </cdr:sp>
  </cdr:relSizeAnchor>
  <cdr:relSizeAnchor xmlns:cdr="http://schemas.openxmlformats.org/drawingml/2006/chartDrawing">
    <cdr:from>
      <cdr:x>0.43669</cdr:x>
      <cdr:y>0.94526</cdr:y>
    </cdr:from>
    <cdr:to>
      <cdr:x>0.52244</cdr:x>
      <cdr:y>0.9899</cdr:y>
    </cdr:to>
    <cdr:sp macro="" textlink="">
      <cdr:nvSpPr>
        <cdr:cNvPr id="2" name="Texto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1812" y="4276725"/>
          <a:ext cx="644431" cy="201944"/>
        </a:xfrm>
        <a:prstGeom xmlns:a="http://schemas.openxmlformats.org/drawingml/2006/main" prst="rect">
          <a:avLst/>
        </a:prstGeom>
        <a:pattFill xmlns:a="http://schemas.openxmlformats.org/drawingml/2006/main" prst="pct25">
          <a:fgClr>
            <a:srgbClr val="FFFF00"/>
          </a:fgClr>
          <a:bgClr>
            <a:srgbClr val="FFFF00"/>
          </a:bgClr>
        </a:pattFill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BAJO</a:t>
          </a:r>
        </a:p>
      </cdr:txBody>
    </cdr:sp>
  </cdr:relSizeAnchor>
  <cdr:relSizeAnchor xmlns:cdr="http://schemas.openxmlformats.org/drawingml/2006/chartDrawing">
    <cdr:from>
      <cdr:x>0.52541</cdr:x>
      <cdr:y>0.94733</cdr:y>
    </cdr:from>
    <cdr:to>
      <cdr:x>0.61116</cdr:x>
      <cdr:y>0.99033</cdr:y>
    </cdr:to>
    <cdr:sp macro="" textlink="">
      <cdr:nvSpPr>
        <cdr:cNvPr id="3" name="Texto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48562" y="4286086"/>
          <a:ext cx="644431" cy="194548"/>
        </a:xfrm>
        <a:prstGeom xmlns:a="http://schemas.openxmlformats.org/drawingml/2006/main" prst="rect">
          <a:avLst/>
        </a:prstGeom>
        <a:solidFill xmlns:a="http://schemas.openxmlformats.org/drawingml/2006/main">
          <a:srgbClr val="008000"/>
        </a:solidFill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chemeClr val="bg1"/>
              </a:solidFill>
              <a:latin typeface="Arial"/>
              <a:cs typeface="Arial"/>
            </a:rPr>
            <a:t>ALTO</a:t>
          </a:r>
        </a:p>
      </cdr:txBody>
    </cdr:sp>
  </cdr:relSizeAnchor>
  <cdr:relSizeAnchor xmlns:cdr="http://schemas.openxmlformats.org/drawingml/2006/chartDrawing">
    <cdr:from>
      <cdr:x>0.5065</cdr:x>
      <cdr:y>0.50175</cdr:y>
    </cdr:from>
    <cdr:to>
      <cdr:x>0.5245</cdr:x>
      <cdr:y>0.52425</cdr:y>
    </cdr:to>
    <cdr:sp macro="" textlink="">
      <cdr:nvSpPr>
        <cdr:cNvPr id="5" name="Text Box 2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70031" y="2886618"/>
          <a:ext cx="165964" cy="1294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fr-FR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95</a:t>
          </a:r>
        </a:p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95</a:t>
          </a:r>
        </a:p>
      </cdr:txBody>
    </cdr:sp>
  </cdr:relSizeAnchor>
  <cdr:relSizeAnchor xmlns:cdr="http://schemas.openxmlformats.org/drawingml/2006/chartDrawing">
    <cdr:from>
      <cdr:x>0.01521</cdr:x>
      <cdr:y>0.00632</cdr:y>
    </cdr:from>
    <cdr:to>
      <cdr:x>0.07731</cdr:x>
      <cdr:y>0.05684</cdr:y>
    </cdr:to>
    <cdr:sp macro="" textlink="">
      <cdr:nvSpPr>
        <cdr:cNvPr id="4" name="CuadroTexto 3">
          <a:extLst xmlns:a="http://schemas.openxmlformats.org/drawingml/2006/main">
            <a:ext uri="{FF2B5EF4-FFF2-40B4-BE49-F238E27FC236}">
              <a16:creationId xmlns:a16="http://schemas.microsoft.com/office/drawing/2014/main" id="{2A183E9B-886E-4402-9EB0-724CC2E3AF6E}"/>
            </a:ext>
          </a:extLst>
        </cdr:cNvPr>
        <cdr:cNvSpPr txBox="1"/>
      </cdr:nvSpPr>
      <cdr:spPr>
        <a:xfrm xmlns:a="http://schemas.openxmlformats.org/drawingml/2006/main">
          <a:off x="114300" y="28575"/>
          <a:ext cx="466725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GWh</a:t>
          </a:r>
        </a:p>
      </cdr:txBody>
    </cdr:sp>
  </cdr:relSizeAnchor>
  <cdr:relSizeAnchor xmlns:cdr="http://schemas.openxmlformats.org/drawingml/2006/chartDrawing">
    <cdr:from>
      <cdr:x>0.8608</cdr:x>
      <cdr:y>0.07011</cdr:y>
    </cdr:from>
    <cdr:to>
      <cdr:x>0.86293</cdr:x>
      <cdr:y>0.81486</cdr:y>
    </cdr:to>
    <cdr:sp macro="" textlink="">
      <cdr:nvSpPr>
        <cdr:cNvPr id="10" name="Line 5">
          <a:extLst xmlns:a="http://schemas.openxmlformats.org/drawingml/2006/main">
            <a:ext uri="{FF2B5EF4-FFF2-40B4-BE49-F238E27FC236}">
              <a16:creationId xmlns:a16="http://schemas.microsoft.com/office/drawing/2014/main" id="{73A38E22-0EE1-421B-A54D-857D44F51AAB}"/>
            </a:ext>
          </a:extLst>
        </cdr:cNvPr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796755" y="255116"/>
          <a:ext cx="14344" cy="270981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rnd">
          <a:solidFill>
            <a:srgbClr val="006699"/>
          </a:solidFill>
          <a:prstDash val="sysDot"/>
          <a:round/>
          <a:headEnd/>
          <a:tailEnd type="none" w="med" len="sm"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0.4336</cdr:x>
      <cdr:y>0.06676</cdr:y>
    </cdr:from>
    <cdr:to>
      <cdr:x>0.43573</cdr:x>
      <cdr:y>0.81151</cdr:y>
    </cdr:to>
    <cdr:sp macro="" textlink="">
      <cdr:nvSpPr>
        <cdr:cNvPr id="6" name="Line 5">
          <a:extLst xmlns:a="http://schemas.openxmlformats.org/drawingml/2006/main">
            <a:ext uri="{FF2B5EF4-FFF2-40B4-BE49-F238E27FC236}">
              <a16:creationId xmlns:a16="http://schemas.microsoft.com/office/drawing/2014/main" id="{AB0D19C6-DA17-405C-C0BB-2D1C382BCA35}"/>
            </a:ext>
          </a:extLst>
        </cdr:cNvPr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2919916" y="242908"/>
          <a:ext cx="14343" cy="270981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rnd">
          <a:solidFill>
            <a:srgbClr val="006699"/>
          </a:solidFill>
          <a:prstDash val="sysDot"/>
          <a:round/>
          <a:headEnd/>
          <a:tailEnd type="none" w="med" len="sm"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3</xdr:row>
      <xdr:rowOff>26670</xdr:rowOff>
    </xdr:from>
    <xdr:to>
      <xdr:col>4</xdr:col>
      <xdr:colOff>7221120</xdr:colOff>
      <xdr:row>3</xdr:row>
      <xdr:rowOff>26670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C6BD0732-86FF-42D2-9EAF-19A94983ED8E}"/>
            </a:ext>
          </a:extLst>
        </xdr:cNvPr>
        <xdr:cNvSpPr>
          <a:spLocks noChangeShapeType="1"/>
        </xdr:cNvSpPr>
      </xdr:nvSpPr>
      <xdr:spPr bwMode="auto">
        <a:xfrm flipH="1">
          <a:off x="213360" y="491490"/>
          <a:ext cx="892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24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1ABC37C3-7D38-43A6-BB04-FAF83552C9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19050</xdr:colOff>
      <xdr:row>1</xdr:row>
      <xdr:rowOff>133350</xdr:rowOff>
    </xdr:from>
    <xdr:to>
      <xdr:col>4</xdr:col>
      <xdr:colOff>114299</xdr:colOff>
      <xdr:row>2</xdr:row>
      <xdr:rowOff>84449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91E0336-9C1A-4238-B4FC-F4CD8CC0B4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790" y="140970"/>
          <a:ext cx="1809749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17143</xdr:colOff>
      <xdr:row>3</xdr:row>
      <xdr:rowOff>19050</xdr:rowOff>
    </xdr:from>
    <xdr:to>
      <xdr:col>9</xdr:col>
      <xdr:colOff>4573</xdr:colOff>
      <xdr:row>3</xdr:row>
      <xdr:rowOff>36195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AD54D373-8A3A-44F8-B86C-BAEE46734558}"/>
            </a:ext>
          </a:extLst>
        </xdr:cNvPr>
        <xdr:cNvSpPr>
          <a:spLocks noChangeShapeType="1"/>
        </xdr:cNvSpPr>
      </xdr:nvSpPr>
      <xdr:spPr bwMode="auto">
        <a:xfrm flipH="1">
          <a:off x="213358" y="483870"/>
          <a:ext cx="7596000" cy="762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19050</xdr:colOff>
      <xdr:row>1</xdr:row>
      <xdr:rowOff>133350</xdr:rowOff>
    </xdr:from>
    <xdr:to>
      <xdr:col>4</xdr:col>
      <xdr:colOff>114299</xdr:colOff>
      <xdr:row>2</xdr:row>
      <xdr:rowOff>90799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C8C7E32-36EC-4E58-B722-AC4889A730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790" y="140970"/>
          <a:ext cx="1809749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3</xdr:row>
      <xdr:rowOff>26670</xdr:rowOff>
    </xdr:from>
    <xdr:to>
      <xdr:col>4</xdr:col>
      <xdr:colOff>7221120</xdr:colOff>
      <xdr:row>3</xdr:row>
      <xdr:rowOff>26670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66B86162-B8A7-4D39-AA5A-8864C5FD59AE}"/>
            </a:ext>
          </a:extLst>
        </xdr:cNvPr>
        <xdr:cNvSpPr>
          <a:spLocks noChangeShapeType="1"/>
        </xdr:cNvSpPr>
      </xdr:nvSpPr>
      <xdr:spPr bwMode="auto">
        <a:xfrm flipH="1">
          <a:off x="213360" y="491490"/>
          <a:ext cx="892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absoluteAnchor>
    <xdr:pos x="2171701" y="742950"/>
    <xdr:ext cx="6734174" cy="3638550"/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6EE9393A-B647-4C94-8856-328A989FDF6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2</xdr:col>
      <xdr:colOff>38100</xdr:colOff>
      <xdr:row>1</xdr:row>
      <xdr:rowOff>123825</xdr:rowOff>
    </xdr:from>
    <xdr:to>
      <xdr:col>4</xdr:col>
      <xdr:colOff>133349</xdr:colOff>
      <xdr:row>2</xdr:row>
      <xdr:rowOff>74924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4963351-CA2D-4E08-93EA-0FA47352A0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0.5065</cdr:x>
      <cdr:y>0.50175</cdr:y>
    </cdr:from>
    <cdr:to>
      <cdr:x>0.5245</cdr:x>
      <cdr:y>0.52425</cdr:y>
    </cdr:to>
    <cdr:sp macro="" textlink="">
      <cdr:nvSpPr>
        <cdr:cNvPr id="96283" name="Text Box 2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70031" y="2886618"/>
          <a:ext cx="165964" cy="1294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fr-FR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95</a:t>
          </a:r>
        </a:p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95</a:t>
          </a:r>
        </a:p>
      </cdr:txBody>
    </cdr:sp>
  </cdr:relSizeAnchor>
  <cdr:relSizeAnchor xmlns:cdr="http://schemas.openxmlformats.org/drawingml/2006/chartDrawing">
    <cdr:from>
      <cdr:x>0.43669</cdr:x>
      <cdr:y>0.94526</cdr:y>
    </cdr:from>
    <cdr:to>
      <cdr:x>0.52244</cdr:x>
      <cdr:y>0.9899</cdr:y>
    </cdr:to>
    <cdr:sp macro="" textlink="">
      <cdr:nvSpPr>
        <cdr:cNvPr id="2" name="Texto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1812" y="4276725"/>
          <a:ext cx="644431" cy="201944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6">
            <a:lumMod val="40000"/>
            <a:lumOff val="60000"/>
          </a:schemeClr>
        </a:solidFill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BAJO</a:t>
          </a:r>
        </a:p>
      </cdr:txBody>
    </cdr:sp>
  </cdr:relSizeAnchor>
  <cdr:relSizeAnchor xmlns:cdr="http://schemas.openxmlformats.org/drawingml/2006/chartDrawing">
    <cdr:from>
      <cdr:x>0.52541</cdr:x>
      <cdr:y>0.94733</cdr:y>
    </cdr:from>
    <cdr:to>
      <cdr:x>0.61116</cdr:x>
      <cdr:y>0.99033</cdr:y>
    </cdr:to>
    <cdr:sp macro="" textlink="">
      <cdr:nvSpPr>
        <cdr:cNvPr id="3" name="Texto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48562" y="4286086"/>
          <a:ext cx="644431" cy="194548"/>
        </a:xfrm>
        <a:prstGeom xmlns:a="http://schemas.openxmlformats.org/drawingml/2006/main" prst="rect">
          <a:avLst/>
        </a:prstGeom>
        <a:solidFill xmlns:a="http://schemas.openxmlformats.org/drawingml/2006/main">
          <a:srgbClr val="FFC000"/>
        </a:solidFill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chemeClr val="bg1"/>
              </a:solidFill>
              <a:latin typeface="Arial"/>
              <a:cs typeface="Arial"/>
            </a:rPr>
            <a:t>ALTO</a:t>
          </a:r>
        </a:p>
      </cdr:txBody>
    </cdr:sp>
  </cdr:relSizeAnchor>
  <cdr:relSizeAnchor xmlns:cdr="http://schemas.openxmlformats.org/drawingml/2006/chartDrawing">
    <cdr:from>
      <cdr:x>0.5065</cdr:x>
      <cdr:y>0.50175</cdr:y>
    </cdr:from>
    <cdr:to>
      <cdr:x>0.5245</cdr:x>
      <cdr:y>0.52425</cdr:y>
    </cdr:to>
    <cdr:sp macro="" textlink="">
      <cdr:nvSpPr>
        <cdr:cNvPr id="5" name="Text Box 2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70031" y="2886618"/>
          <a:ext cx="165964" cy="1294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fr-FR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95</a:t>
          </a:r>
        </a:p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95</a:t>
          </a:r>
        </a:p>
      </cdr:txBody>
    </cdr:sp>
  </cdr:relSizeAnchor>
  <cdr:relSizeAnchor xmlns:cdr="http://schemas.openxmlformats.org/drawingml/2006/chartDrawing">
    <cdr:from>
      <cdr:x>0.01521</cdr:x>
      <cdr:y>0.00632</cdr:y>
    </cdr:from>
    <cdr:to>
      <cdr:x>0.07731</cdr:x>
      <cdr:y>0.05684</cdr:y>
    </cdr:to>
    <cdr:sp macro="" textlink="">
      <cdr:nvSpPr>
        <cdr:cNvPr id="4" name="CuadroTexto 3">
          <a:extLst xmlns:a="http://schemas.openxmlformats.org/drawingml/2006/main">
            <a:ext uri="{FF2B5EF4-FFF2-40B4-BE49-F238E27FC236}">
              <a16:creationId xmlns:a16="http://schemas.microsoft.com/office/drawing/2014/main" id="{2A183E9B-886E-4402-9EB0-724CC2E3AF6E}"/>
            </a:ext>
          </a:extLst>
        </cdr:cNvPr>
        <cdr:cNvSpPr txBox="1"/>
      </cdr:nvSpPr>
      <cdr:spPr>
        <a:xfrm xmlns:a="http://schemas.openxmlformats.org/drawingml/2006/main">
          <a:off x="114300" y="28575"/>
          <a:ext cx="466725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GWh</a:t>
          </a:r>
        </a:p>
      </cdr:txBody>
    </cdr:sp>
  </cdr:relSizeAnchor>
  <cdr:relSizeAnchor xmlns:cdr="http://schemas.openxmlformats.org/drawingml/2006/chartDrawing">
    <cdr:from>
      <cdr:x>0.86066</cdr:x>
      <cdr:y>0.06197</cdr:y>
    </cdr:from>
    <cdr:to>
      <cdr:x>0.86279</cdr:x>
      <cdr:y>0.80672</cdr:y>
    </cdr:to>
    <cdr:sp macro="" textlink="">
      <cdr:nvSpPr>
        <cdr:cNvPr id="10" name="Line 5">
          <a:extLst xmlns:a="http://schemas.openxmlformats.org/drawingml/2006/main">
            <a:ext uri="{FF2B5EF4-FFF2-40B4-BE49-F238E27FC236}">
              <a16:creationId xmlns:a16="http://schemas.microsoft.com/office/drawing/2014/main" id="{73A38E22-0EE1-421B-A54D-857D44F51AAB}"/>
            </a:ext>
          </a:extLst>
        </cdr:cNvPr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795812" y="225463"/>
          <a:ext cx="14344" cy="270981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rnd">
          <a:solidFill>
            <a:srgbClr val="006699"/>
          </a:solidFill>
          <a:prstDash val="sysDot"/>
          <a:round/>
          <a:headEnd/>
          <a:tailEnd type="none" w="med" len="sm"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0.43352</cdr:x>
      <cdr:y>0.06457</cdr:y>
    </cdr:from>
    <cdr:to>
      <cdr:x>0.43565</cdr:x>
      <cdr:y>0.80932</cdr:y>
    </cdr:to>
    <cdr:sp macro="" textlink="">
      <cdr:nvSpPr>
        <cdr:cNvPr id="6" name="Line 5">
          <a:extLst xmlns:a="http://schemas.openxmlformats.org/drawingml/2006/main">
            <a:ext uri="{FF2B5EF4-FFF2-40B4-BE49-F238E27FC236}">
              <a16:creationId xmlns:a16="http://schemas.microsoft.com/office/drawing/2014/main" id="{5000CAE2-3C75-7FC0-BDC8-8B14B9CD195B}"/>
            </a:ext>
          </a:extLst>
        </cdr:cNvPr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2919377" y="234938"/>
          <a:ext cx="14344" cy="270981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rnd">
          <a:solidFill>
            <a:srgbClr val="006699"/>
          </a:solidFill>
          <a:prstDash val="sysDot"/>
          <a:round/>
          <a:headEnd/>
          <a:tailEnd type="none" w="med" len="sm"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ES"/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9525</xdr:colOff>
      <xdr:row>3</xdr:row>
      <xdr:rowOff>28575</xdr:rowOff>
    </xdr:from>
    <xdr:to>
      <xdr:col>3</xdr:col>
      <xdr:colOff>7223025</xdr:colOff>
      <xdr:row>3</xdr:row>
      <xdr:rowOff>28575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75DF015B-45BE-46E7-8E9D-CD0EB7CDE0DA}"/>
            </a:ext>
          </a:extLst>
        </xdr:cNvPr>
        <xdr:cNvSpPr>
          <a:spLocks noChangeShapeType="1"/>
        </xdr:cNvSpPr>
      </xdr:nvSpPr>
      <xdr:spPr bwMode="auto">
        <a:xfrm flipH="1">
          <a:off x="192405" y="485775"/>
          <a:ext cx="892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4</xdr:row>
      <xdr:rowOff>104775</xdr:rowOff>
    </xdr:from>
    <xdr:to>
      <xdr:col>4</xdr:col>
      <xdr:colOff>9525</xdr:colOff>
      <xdr:row>19</xdr:row>
      <xdr:rowOff>95250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A19F2C6E-18EA-4250-8197-35D16D0CD9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19050</xdr:colOff>
      <xdr:row>1</xdr:row>
      <xdr:rowOff>123825</xdr:rowOff>
    </xdr:from>
    <xdr:to>
      <xdr:col>3</xdr:col>
      <xdr:colOff>114299</xdr:colOff>
      <xdr:row>2</xdr:row>
      <xdr:rowOff>74924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0E1D183-AD0B-474A-A5CC-DDEF0F6300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0.08654</cdr:x>
      <cdr:y>0.03846</cdr:y>
    </cdr:from>
    <cdr:to>
      <cdr:x>0.134</cdr:x>
      <cdr:y>0.07081</cdr:y>
    </cdr:to>
    <cdr:sp macro="" textlink="">
      <cdr:nvSpPr>
        <cdr:cNvPr id="4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7484" y="93041"/>
          <a:ext cx="333166" cy="78266"/>
        </a:xfrm>
        <a:prstGeom xmlns:a="http://schemas.openxmlformats.org/drawingml/2006/main" prst="rect">
          <a:avLst/>
        </a:prstGeom>
        <a:solidFill xmlns:a="http://schemas.openxmlformats.org/drawingml/2006/main">
          <a:srgbClr val="FFFF99"/>
        </a:solidFill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0.13785</cdr:x>
      <cdr:y>0.02854</cdr:y>
    </cdr:from>
    <cdr:to>
      <cdr:x>0.19745</cdr:x>
      <cdr:y>0.07467</cdr:y>
    </cdr:to>
    <cdr:sp macro="" textlink="">
      <cdr:nvSpPr>
        <cdr:cNvPr id="5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67676" y="69041"/>
          <a:ext cx="418388" cy="1116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27432" bIns="18288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Seco</a:t>
          </a:r>
        </a:p>
      </cdr:txBody>
    </cdr:sp>
  </cdr:relSizeAnchor>
  <cdr:relSizeAnchor xmlns:cdr="http://schemas.openxmlformats.org/drawingml/2006/chartDrawing">
    <cdr:from>
      <cdr:x>0.2067</cdr:x>
      <cdr:y>0.03523</cdr:y>
    </cdr:from>
    <cdr:to>
      <cdr:x>0.25416</cdr:x>
      <cdr:y>0.06758</cdr:y>
    </cdr:to>
    <cdr:sp macro="" textlink="">
      <cdr:nvSpPr>
        <cdr:cNvPr id="7" name="Texto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50998" y="85226"/>
          <a:ext cx="333166" cy="78266"/>
        </a:xfrm>
        <a:prstGeom xmlns:a="http://schemas.openxmlformats.org/drawingml/2006/main" prst="rect">
          <a:avLst/>
        </a:prstGeom>
        <a:solidFill xmlns:a="http://schemas.openxmlformats.org/drawingml/2006/main">
          <a:srgbClr val="00B0F0"/>
        </a:solidFill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0.25611</cdr:x>
      <cdr:y>0.03113</cdr:y>
    </cdr:from>
    <cdr:to>
      <cdr:x>0.35852</cdr:x>
      <cdr:y>0.08033</cdr:y>
    </cdr:to>
    <cdr:sp macro="" textlink="">
      <cdr:nvSpPr>
        <cdr:cNvPr id="8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97899" y="75317"/>
          <a:ext cx="718911" cy="1190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27432" bIns="18288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Húmedo</a:t>
          </a: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3</xdr:row>
      <xdr:rowOff>28575</xdr:rowOff>
    </xdr:from>
    <xdr:to>
      <xdr:col>11</xdr:col>
      <xdr:colOff>525</xdr:colOff>
      <xdr:row>3</xdr:row>
      <xdr:rowOff>28575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779197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19050</xdr:colOff>
      <xdr:row>1</xdr:row>
      <xdr:rowOff>133350</xdr:rowOff>
    </xdr:from>
    <xdr:to>
      <xdr:col>4</xdr:col>
      <xdr:colOff>114299</xdr:colOff>
      <xdr:row>2</xdr:row>
      <xdr:rowOff>84449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A7A8FE2-2184-469B-84CF-30903322E6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428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9525</xdr:colOff>
      <xdr:row>3</xdr:row>
      <xdr:rowOff>28575</xdr:rowOff>
    </xdr:from>
    <xdr:to>
      <xdr:col>4</xdr:col>
      <xdr:colOff>3075</xdr:colOff>
      <xdr:row>3</xdr:row>
      <xdr:rowOff>28575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08F58A18-C096-4143-A344-C70AFB6529FF}"/>
            </a:ext>
          </a:extLst>
        </xdr:cNvPr>
        <xdr:cNvSpPr>
          <a:spLocks noChangeShapeType="1"/>
        </xdr:cNvSpPr>
      </xdr:nvSpPr>
      <xdr:spPr bwMode="auto">
        <a:xfrm flipH="1">
          <a:off x="190500" y="485775"/>
          <a:ext cx="870892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4</xdr:row>
      <xdr:rowOff>104775</xdr:rowOff>
    </xdr:from>
    <xdr:to>
      <xdr:col>4</xdr:col>
      <xdr:colOff>9525</xdr:colOff>
      <xdr:row>19</xdr:row>
      <xdr:rowOff>95250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A3C4ED06-2FED-4F95-96CA-D269BD4706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38100</xdr:colOff>
      <xdr:row>1</xdr:row>
      <xdr:rowOff>123825</xdr:rowOff>
    </xdr:from>
    <xdr:to>
      <xdr:col>3</xdr:col>
      <xdr:colOff>133349</xdr:colOff>
      <xdr:row>2</xdr:row>
      <xdr:rowOff>74924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7A2470B-FE4A-43C0-847C-F6F35D7E61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0.08654</cdr:x>
      <cdr:y>0.03846</cdr:y>
    </cdr:from>
    <cdr:to>
      <cdr:x>0.134</cdr:x>
      <cdr:y>0.07081</cdr:y>
    </cdr:to>
    <cdr:sp macro="" textlink="">
      <cdr:nvSpPr>
        <cdr:cNvPr id="4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7484" y="93041"/>
          <a:ext cx="333166" cy="78266"/>
        </a:xfrm>
        <a:prstGeom xmlns:a="http://schemas.openxmlformats.org/drawingml/2006/main" prst="rect">
          <a:avLst/>
        </a:prstGeom>
        <a:solidFill xmlns:a="http://schemas.openxmlformats.org/drawingml/2006/main">
          <a:srgbClr val="FFFF99"/>
        </a:solidFill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0.13785</cdr:x>
      <cdr:y>0.02854</cdr:y>
    </cdr:from>
    <cdr:to>
      <cdr:x>0.19745</cdr:x>
      <cdr:y>0.07467</cdr:y>
    </cdr:to>
    <cdr:sp macro="" textlink="">
      <cdr:nvSpPr>
        <cdr:cNvPr id="5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67676" y="69041"/>
          <a:ext cx="418388" cy="1116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27432" bIns="18288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Seco</a:t>
          </a:r>
        </a:p>
      </cdr:txBody>
    </cdr:sp>
  </cdr:relSizeAnchor>
  <cdr:relSizeAnchor xmlns:cdr="http://schemas.openxmlformats.org/drawingml/2006/chartDrawing">
    <cdr:from>
      <cdr:x>0.2067</cdr:x>
      <cdr:y>0.03523</cdr:y>
    </cdr:from>
    <cdr:to>
      <cdr:x>0.25416</cdr:x>
      <cdr:y>0.06758</cdr:y>
    </cdr:to>
    <cdr:sp macro="" textlink="">
      <cdr:nvSpPr>
        <cdr:cNvPr id="7" name="Texto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50998" y="85226"/>
          <a:ext cx="333166" cy="78266"/>
        </a:xfrm>
        <a:prstGeom xmlns:a="http://schemas.openxmlformats.org/drawingml/2006/main" prst="rect">
          <a:avLst/>
        </a:prstGeom>
        <a:solidFill xmlns:a="http://schemas.openxmlformats.org/drawingml/2006/main">
          <a:srgbClr val="00B0F0"/>
        </a:solidFill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0.25611</cdr:x>
      <cdr:y>0.03113</cdr:y>
    </cdr:from>
    <cdr:to>
      <cdr:x>0.35852</cdr:x>
      <cdr:y>0.08033</cdr:y>
    </cdr:to>
    <cdr:sp macro="" textlink="">
      <cdr:nvSpPr>
        <cdr:cNvPr id="8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97899" y="75317"/>
          <a:ext cx="718911" cy="1190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27432" bIns="18288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Húmedo</a:t>
          </a:r>
        </a:p>
      </cdr:txBody>
    </cdr:sp>
  </cdr:relSizeAnchor>
  <cdr:relSizeAnchor xmlns:cdr="http://schemas.openxmlformats.org/drawingml/2006/chartDrawing">
    <cdr:from>
      <cdr:x>0.14564</cdr:x>
      <cdr:y>0.66667</cdr:y>
    </cdr:from>
    <cdr:to>
      <cdr:x>0.1972</cdr:x>
      <cdr:y>0.74147</cdr:y>
    </cdr:to>
    <cdr:sp macro="" textlink="Dat_02!$G$79">
      <cdr:nvSpPr>
        <cdr:cNvPr id="6" name="CuadroTexto 1">
          <a:extLst xmlns:a="http://schemas.openxmlformats.org/drawingml/2006/main">
            <a:ext uri="{FF2B5EF4-FFF2-40B4-BE49-F238E27FC236}">
              <a16:creationId xmlns:a16="http://schemas.microsoft.com/office/drawing/2014/main" id="{598485AD-F639-4ECE-258C-C2D3D7A6F0EB}"/>
            </a:ext>
          </a:extLst>
        </cdr:cNvPr>
        <cdr:cNvSpPr txBox="1"/>
      </cdr:nvSpPr>
      <cdr:spPr>
        <a:xfrm xmlns:a="http://schemas.openxmlformats.org/drawingml/2006/main">
          <a:off x="1022350" y="1612900"/>
          <a:ext cx="361950" cy="1809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28E24FBB-D530-421B-BFFD-72B42FE22874}" type="TxLink">
            <a:rPr lang="en-US" sz="700" b="0" i="0" u="none" strike="noStrike">
              <a:solidFill>
                <a:schemeClr val="tx2"/>
              </a:solidFill>
              <a:latin typeface="Arial" panose="020B0604020202020204" pitchFamily="34" charset="0"/>
              <a:cs typeface="Arial" panose="020B0604020202020204" pitchFamily="34" charset="0"/>
            </a:rPr>
            <a:pPr/>
            <a:t> </a:t>
          </a:fld>
          <a:endParaRPr lang="es-ES" sz="700">
            <a:solidFill>
              <a:schemeClr val="tx2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0.3261</cdr:x>
      <cdr:y>0.56824</cdr:y>
    </cdr:from>
    <cdr:to>
      <cdr:x>0.37766</cdr:x>
      <cdr:y>0.64304</cdr:y>
    </cdr:to>
    <cdr:sp macro="" textlink="Dat_02!$G$232">
      <cdr:nvSpPr>
        <cdr:cNvPr id="12" name="CuadroTexto 1">
          <a:extLst xmlns:a="http://schemas.openxmlformats.org/drawingml/2006/main">
            <a:ext uri="{FF2B5EF4-FFF2-40B4-BE49-F238E27FC236}">
              <a16:creationId xmlns:a16="http://schemas.microsoft.com/office/drawing/2014/main" id="{598485AD-F639-4ECE-258C-C2D3D7A6F0EB}"/>
            </a:ext>
          </a:extLst>
        </cdr:cNvPr>
        <cdr:cNvSpPr txBox="1"/>
      </cdr:nvSpPr>
      <cdr:spPr>
        <a:xfrm xmlns:a="http://schemas.openxmlformats.org/drawingml/2006/main">
          <a:off x="2289175" y="1374775"/>
          <a:ext cx="361950" cy="1809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D1038750-35E5-4D49-B4E7-8E70A2DC628C}" type="TxLink">
            <a:rPr lang="en-US" sz="700" b="0" i="0" u="none" strike="noStrike">
              <a:solidFill>
                <a:schemeClr val="tx2"/>
              </a:solidFill>
              <a:latin typeface="Arial" panose="020B0604020202020204" pitchFamily="34" charset="0"/>
              <a:cs typeface="Arial" panose="020B0604020202020204" pitchFamily="34" charset="0"/>
            </a:rPr>
            <a:pPr/>
            <a:t> </a:t>
          </a:fld>
          <a:endParaRPr lang="es-ES" sz="700">
            <a:solidFill>
              <a:schemeClr val="tx2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0.39665</cdr:x>
      <cdr:y>0.5643</cdr:y>
    </cdr:from>
    <cdr:to>
      <cdr:x>0.44821</cdr:x>
      <cdr:y>0.63911</cdr:y>
    </cdr:to>
    <cdr:sp macro="" textlink="Dat_02!$G$291">
      <cdr:nvSpPr>
        <cdr:cNvPr id="14" name="CuadroTexto 1">
          <a:extLst xmlns:a="http://schemas.openxmlformats.org/drawingml/2006/main">
            <a:ext uri="{FF2B5EF4-FFF2-40B4-BE49-F238E27FC236}">
              <a16:creationId xmlns:a16="http://schemas.microsoft.com/office/drawing/2014/main" id="{598485AD-F639-4ECE-258C-C2D3D7A6F0EB}"/>
            </a:ext>
          </a:extLst>
        </cdr:cNvPr>
        <cdr:cNvSpPr txBox="1"/>
      </cdr:nvSpPr>
      <cdr:spPr>
        <a:xfrm xmlns:a="http://schemas.openxmlformats.org/drawingml/2006/main">
          <a:off x="2784475" y="1365250"/>
          <a:ext cx="361950" cy="1809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9F6C2881-B667-4346-ADB9-E4115EF28197}" type="TxLink">
            <a:rPr lang="en-US" sz="700" b="0" i="0" u="none" strike="noStrike">
              <a:solidFill>
                <a:schemeClr val="tx2"/>
              </a:solidFill>
              <a:latin typeface="Arial" panose="020B0604020202020204" pitchFamily="34" charset="0"/>
              <a:cs typeface="Arial" panose="020B0604020202020204" pitchFamily="34" charset="0"/>
            </a:rPr>
            <a:pPr/>
            <a:t> </a:t>
          </a:fld>
          <a:endParaRPr lang="es-ES" sz="700">
            <a:solidFill>
              <a:schemeClr val="tx2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0.57576</cdr:x>
      <cdr:y>0.67454</cdr:y>
    </cdr:from>
    <cdr:to>
      <cdr:x>0.62732</cdr:x>
      <cdr:y>0.74934</cdr:y>
    </cdr:to>
    <cdr:sp macro="" textlink="Dat_02!$G$444">
      <cdr:nvSpPr>
        <cdr:cNvPr id="20" name="CuadroTexto 1">
          <a:extLst xmlns:a="http://schemas.openxmlformats.org/drawingml/2006/main">
            <a:ext uri="{FF2B5EF4-FFF2-40B4-BE49-F238E27FC236}">
              <a16:creationId xmlns:a16="http://schemas.microsoft.com/office/drawing/2014/main" id="{598485AD-F639-4ECE-258C-C2D3D7A6F0EB}"/>
            </a:ext>
          </a:extLst>
        </cdr:cNvPr>
        <cdr:cNvSpPr txBox="1"/>
      </cdr:nvSpPr>
      <cdr:spPr>
        <a:xfrm xmlns:a="http://schemas.openxmlformats.org/drawingml/2006/main">
          <a:off x="4041775" y="1631950"/>
          <a:ext cx="361950" cy="1809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A72DFCF8-77F0-49E8-8467-313980F8EF28}" type="TxLink">
            <a:rPr lang="en-US" sz="700" b="0" i="0" u="none" strike="noStrike">
              <a:solidFill>
                <a:schemeClr val="tx2"/>
              </a:solidFill>
              <a:latin typeface="Arial" panose="020B0604020202020204" pitchFamily="34" charset="0"/>
              <a:cs typeface="Arial" panose="020B0604020202020204" pitchFamily="34" charset="0"/>
            </a:rPr>
            <a:pPr/>
            <a:t> </a:t>
          </a:fld>
          <a:endParaRPr lang="es-ES" sz="700">
            <a:solidFill>
              <a:schemeClr val="tx2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0.75351</cdr:x>
      <cdr:y>0.57218</cdr:y>
    </cdr:from>
    <cdr:to>
      <cdr:x>0.80507</cdr:x>
      <cdr:y>0.64698</cdr:y>
    </cdr:to>
    <cdr:sp macro="" textlink="Dat_02!$G$597">
      <cdr:nvSpPr>
        <cdr:cNvPr id="27" name="CuadroTexto 1">
          <a:extLst xmlns:a="http://schemas.openxmlformats.org/drawingml/2006/main">
            <a:ext uri="{FF2B5EF4-FFF2-40B4-BE49-F238E27FC236}">
              <a16:creationId xmlns:a16="http://schemas.microsoft.com/office/drawing/2014/main" id="{598485AD-F639-4ECE-258C-C2D3D7A6F0EB}"/>
            </a:ext>
          </a:extLst>
        </cdr:cNvPr>
        <cdr:cNvSpPr txBox="1"/>
      </cdr:nvSpPr>
      <cdr:spPr>
        <a:xfrm xmlns:a="http://schemas.openxmlformats.org/drawingml/2006/main">
          <a:off x="5289550" y="1384300"/>
          <a:ext cx="361950" cy="1809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E9111235-2D66-417A-9AD7-39ABB54246E7}" type="TxLink">
            <a:rPr lang="en-US" sz="700" b="0" i="0" u="none" strike="noStrike">
              <a:solidFill>
                <a:schemeClr val="tx2"/>
              </a:solidFill>
              <a:latin typeface="Arial" panose="020B0604020202020204" pitchFamily="34" charset="0"/>
              <a:cs typeface="Arial" panose="020B0604020202020204" pitchFamily="34" charset="0"/>
            </a:rPr>
            <a:pPr/>
            <a:t> </a:t>
          </a:fld>
          <a:endParaRPr lang="es-ES" sz="700">
            <a:solidFill>
              <a:schemeClr val="tx2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0.81863</cdr:x>
      <cdr:y>0.5643</cdr:y>
    </cdr:from>
    <cdr:to>
      <cdr:x>0.87019</cdr:x>
      <cdr:y>0.63911</cdr:y>
    </cdr:to>
    <cdr:sp macro="" textlink="Dat_02!$G$656">
      <cdr:nvSpPr>
        <cdr:cNvPr id="30" name="CuadroTexto 1">
          <a:extLst xmlns:a="http://schemas.openxmlformats.org/drawingml/2006/main">
            <a:ext uri="{FF2B5EF4-FFF2-40B4-BE49-F238E27FC236}">
              <a16:creationId xmlns:a16="http://schemas.microsoft.com/office/drawing/2014/main" id="{A01B97A2-7C31-455A-01F3-D944B0F7EFBE}"/>
            </a:ext>
          </a:extLst>
        </cdr:cNvPr>
        <cdr:cNvSpPr txBox="1"/>
      </cdr:nvSpPr>
      <cdr:spPr>
        <a:xfrm xmlns:a="http://schemas.openxmlformats.org/drawingml/2006/main">
          <a:off x="5746750" y="1365250"/>
          <a:ext cx="361950" cy="1809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0EBF47E8-A1D0-420F-8B22-4E25ADCBAA02}" type="TxLink">
            <a:rPr lang="en-US" sz="700" b="0" i="0" u="none" strike="noStrike">
              <a:solidFill>
                <a:schemeClr val="tx2"/>
              </a:solidFill>
              <a:latin typeface="Arial" panose="020B0604020202020204" pitchFamily="34" charset="0"/>
              <a:cs typeface="Arial" panose="020B0604020202020204" pitchFamily="34" charset="0"/>
            </a:rPr>
            <a:pPr/>
            <a:t> </a:t>
          </a:fld>
          <a:endParaRPr lang="es-ES" sz="700">
            <a:solidFill>
              <a:schemeClr val="tx2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0.08654</cdr:x>
      <cdr:y>0.03846</cdr:y>
    </cdr:from>
    <cdr:to>
      <cdr:x>0.134</cdr:x>
      <cdr:y>0.07081</cdr:y>
    </cdr:to>
    <cdr:sp macro="" textlink="">
      <cdr:nvSpPr>
        <cdr:cNvPr id="32" name="Texto 7">
          <a:extLst xmlns:a="http://schemas.openxmlformats.org/drawingml/2006/main">
            <a:ext uri="{FF2B5EF4-FFF2-40B4-BE49-F238E27FC236}">
              <a16:creationId xmlns:a16="http://schemas.microsoft.com/office/drawing/2014/main" id="{50FA8F19-0BD7-7643-F84D-0B88B493BA06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7484" y="93041"/>
          <a:ext cx="333166" cy="78266"/>
        </a:xfrm>
        <a:prstGeom xmlns:a="http://schemas.openxmlformats.org/drawingml/2006/main" prst="rect">
          <a:avLst/>
        </a:prstGeom>
        <a:solidFill xmlns:a="http://schemas.openxmlformats.org/drawingml/2006/main">
          <a:srgbClr val="FFFF99"/>
        </a:solidFill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0.13785</cdr:x>
      <cdr:y>0.02854</cdr:y>
    </cdr:from>
    <cdr:to>
      <cdr:x>0.19745</cdr:x>
      <cdr:y>0.07467</cdr:y>
    </cdr:to>
    <cdr:sp macro="" textlink="">
      <cdr:nvSpPr>
        <cdr:cNvPr id="36" name="Texto 7">
          <a:extLst xmlns:a="http://schemas.openxmlformats.org/drawingml/2006/main">
            <a:ext uri="{FF2B5EF4-FFF2-40B4-BE49-F238E27FC236}">
              <a16:creationId xmlns:a16="http://schemas.microsoft.com/office/drawing/2014/main" id="{1F51DF6E-DE70-233C-239C-D0A099276D47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67676" y="69041"/>
          <a:ext cx="418388" cy="1116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27432" bIns="18288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Seco</a:t>
          </a:r>
        </a:p>
      </cdr:txBody>
    </cdr:sp>
  </cdr:relSizeAnchor>
  <cdr:relSizeAnchor xmlns:cdr="http://schemas.openxmlformats.org/drawingml/2006/chartDrawing">
    <cdr:from>
      <cdr:x>0.2067</cdr:x>
      <cdr:y>0.03523</cdr:y>
    </cdr:from>
    <cdr:to>
      <cdr:x>0.25416</cdr:x>
      <cdr:y>0.06758</cdr:y>
    </cdr:to>
    <cdr:sp macro="" textlink="">
      <cdr:nvSpPr>
        <cdr:cNvPr id="37" name="Texto 8">
          <a:extLst xmlns:a="http://schemas.openxmlformats.org/drawingml/2006/main">
            <a:ext uri="{FF2B5EF4-FFF2-40B4-BE49-F238E27FC236}">
              <a16:creationId xmlns:a16="http://schemas.microsoft.com/office/drawing/2014/main" id="{2B6603D1-BAD9-8FD8-9F66-96ECCA1B101D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50998" y="85226"/>
          <a:ext cx="333166" cy="78266"/>
        </a:xfrm>
        <a:prstGeom xmlns:a="http://schemas.openxmlformats.org/drawingml/2006/main" prst="rect">
          <a:avLst/>
        </a:prstGeom>
        <a:solidFill xmlns:a="http://schemas.openxmlformats.org/drawingml/2006/main">
          <a:srgbClr val="00B0F0"/>
        </a:solidFill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0.25611</cdr:x>
      <cdr:y>0.03113</cdr:y>
    </cdr:from>
    <cdr:to>
      <cdr:x>0.35852</cdr:x>
      <cdr:y>0.08033</cdr:y>
    </cdr:to>
    <cdr:sp macro="" textlink="">
      <cdr:nvSpPr>
        <cdr:cNvPr id="38" name="Texto 7">
          <a:extLst xmlns:a="http://schemas.openxmlformats.org/drawingml/2006/main">
            <a:ext uri="{FF2B5EF4-FFF2-40B4-BE49-F238E27FC236}">
              <a16:creationId xmlns:a16="http://schemas.microsoft.com/office/drawing/2014/main" id="{3719D1DF-501D-1292-A568-7356F86ED946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97899" y="75317"/>
          <a:ext cx="718911" cy="1190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27432" bIns="18288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Húmedo</a:t>
          </a:r>
        </a:p>
      </cdr:txBody>
    </cdr:sp>
  </cdr:relSizeAnchor>
  <cdr:relSizeAnchor xmlns:cdr="http://schemas.openxmlformats.org/drawingml/2006/chartDrawing">
    <cdr:from>
      <cdr:x>0.18388</cdr:x>
      <cdr:y>0.51706</cdr:y>
    </cdr:from>
    <cdr:to>
      <cdr:x>0.23544</cdr:x>
      <cdr:y>0.59187</cdr:y>
    </cdr:to>
    <cdr:sp macro="" textlink="Dat_02!$G$108">
      <cdr:nvSpPr>
        <cdr:cNvPr id="25" name="CuadroTexto 1">
          <a:extLst xmlns:a="http://schemas.openxmlformats.org/drawingml/2006/main">
            <a:ext uri="{FF2B5EF4-FFF2-40B4-BE49-F238E27FC236}">
              <a16:creationId xmlns:a16="http://schemas.microsoft.com/office/drawing/2014/main" id="{63D33AC6-510B-8CCE-6E93-06B5D8CA29A5}"/>
            </a:ext>
          </a:extLst>
        </cdr:cNvPr>
        <cdr:cNvSpPr txBox="1"/>
      </cdr:nvSpPr>
      <cdr:spPr>
        <a:xfrm xmlns:a="http://schemas.openxmlformats.org/drawingml/2006/main">
          <a:off x="1289050" y="1250950"/>
          <a:ext cx="361456" cy="1809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indent="0"/>
          <a:fld id="{6C4518AA-3F0D-4CF6-AE7C-B7B6A8BC4FB8}" type="TxLink">
            <a:rPr lang="en-US" sz="700" b="0" i="0" u="none" strike="noStrike">
              <a:solidFill>
                <a:schemeClr val="tx2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pPr marL="0" indent="0"/>
            <a:t> </a:t>
          </a:fld>
          <a:endParaRPr lang="es-ES" sz="700" b="0" i="0" u="none" strike="noStrike">
            <a:solidFill>
              <a:schemeClr val="tx2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0.43252</cdr:x>
      <cdr:y>0.65486</cdr:y>
    </cdr:from>
    <cdr:to>
      <cdr:x>0.48408</cdr:x>
      <cdr:y>0.72967</cdr:y>
    </cdr:to>
    <cdr:sp macro="" textlink="Dat_02!$G$320">
      <cdr:nvSpPr>
        <cdr:cNvPr id="44" name="CuadroTexto 1">
          <a:extLst xmlns:a="http://schemas.openxmlformats.org/drawingml/2006/main">
            <a:ext uri="{FF2B5EF4-FFF2-40B4-BE49-F238E27FC236}">
              <a16:creationId xmlns:a16="http://schemas.microsoft.com/office/drawing/2014/main" id="{63D33AC6-510B-8CCE-6E93-06B5D8CA29A5}"/>
            </a:ext>
          </a:extLst>
        </cdr:cNvPr>
        <cdr:cNvSpPr txBox="1"/>
      </cdr:nvSpPr>
      <cdr:spPr>
        <a:xfrm xmlns:a="http://schemas.openxmlformats.org/drawingml/2006/main">
          <a:off x="3032125" y="1584325"/>
          <a:ext cx="361456" cy="1809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indent="0"/>
          <a:fld id="{6B79B28B-1571-4583-9499-A0D0E8E4CDF0}" type="TxLink">
            <a:rPr lang="en-US" sz="700" b="0" i="0" u="none" strike="noStrike">
              <a:solidFill>
                <a:schemeClr val="tx2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pPr marL="0" indent="0"/>
            <a:t> </a:t>
          </a:fld>
          <a:endParaRPr lang="es-ES" sz="700" b="0" i="0" u="none" strike="noStrike">
            <a:solidFill>
              <a:schemeClr val="tx2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0.61051</cdr:x>
      <cdr:y>0.56824</cdr:y>
    </cdr:from>
    <cdr:to>
      <cdr:x>0.66207</cdr:x>
      <cdr:y>0.64305</cdr:y>
    </cdr:to>
    <cdr:sp macro="" textlink="Dat_02!$G$473">
      <cdr:nvSpPr>
        <cdr:cNvPr id="52" name="CuadroTexto 1">
          <a:extLst xmlns:a="http://schemas.openxmlformats.org/drawingml/2006/main">
            <a:ext uri="{FF2B5EF4-FFF2-40B4-BE49-F238E27FC236}">
              <a16:creationId xmlns:a16="http://schemas.microsoft.com/office/drawing/2014/main" id="{63D33AC6-510B-8CCE-6E93-06B5D8CA29A5}"/>
            </a:ext>
          </a:extLst>
        </cdr:cNvPr>
        <cdr:cNvSpPr txBox="1"/>
      </cdr:nvSpPr>
      <cdr:spPr>
        <a:xfrm xmlns:a="http://schemas.openxmlformats.org/drawingml/2006/main">
          <a:off x="4279900" y="1374775"/>
          <a:ext cx="361456" cy="1809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indent="0"/>
          <a:fld id="{D050C831-514D-4C98-9628-97A8E05F5137}" type="TxLink">
            <a:rPr lang="en-US" sz="700" b="0" i="0" u="none" strike="noStrike">
              <a:solidFill>
                <a:schemeClr val="tx2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pPr marL="0" indent="0"/>
            <a:t> </a:t>
          </a:fld>
          <a:endParaRPr lang="es-ES" sz="700" b="0" i="0" u="none" strike="noStrike">
            <a:solidFill>
              <a:schemeClr val="tx2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cdr:txBody>
    </cdr: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3</xdr:row>
      <xdr:rowOff>36195</xdr:rowOff>
    </xdr:from>
    <xdr:to>
      <xdr:col>3</xdr:col>
      <xdr:colOff>7213500</xdr:colOff>
      <xdr:row>3</xdr:row>
      <xdr:rowOff>36195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SpPr>
          <a:spLocks noChangeShapeType="1"/>
        </xdr:cNvSpPr>
      </xdr:nvSpPr>
      <xdr:spPr bwMode="auto">
        <a:xfrm flipH="1">
          <a:off x="182880" y="539115"/>
          <a:ext cx="892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7938</xdr:colOff>
      <xdr:row>5</xdr:row>
      <xdr:rowOff>152400</xdr:rowOff>
    </xdr:from>
    <xdr:to>
      <xdr:col>3</xdr:col>
      <xdr:colOff>7008813</xdr:colOff>
      <xdr:row>24</xdr:row>
      <xdr:rowOff>161924</xdr:rowOff>
    </xdr:to>
    <xdr:graphicFrame macro="">
      <xdr:nvGraphicFramePr>
        <xdr:cNvPr id="5" name="Chart 2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20955</xdr:colOff>
      <xdr:row>0</xdr:row>
      <xdr:rowOff>127635</xdr:rowOff>
    </xdr:from>
    <xdr:to>
      <xdr:col>3</xdr:col>
      <xdr:colOff>116204</xdr:colOff>
      <xdr:row>2</xdr:row>
      <xdr:rowOff>21584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51D911BA-0EE7-4A6A-986F-E43AF4AE0F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835" y="127635"/>
          <a:ext cx="1809749" cy="2292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0.47968</cdr:x>
      <cdr:y>0.09165</cdr:y>
    </cdr:from>
    <cdr:to>
      <cdr:x>0.47976</cdr:x>
      <cdr:y>0.75429</cdr:y>
    </cdr:to>
    <cdr:sp macro="" textlink="">
      <cdr:nvSpPr>
        <cdr:cNvPr id="4198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3358203" y="281109"/>
          <a:ext cx="560" cy="203234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rnd">
          <a:solidFill>
            <a:srgbClr val="006699"/>
          </a:solidFill>
          <a:prstDash val="sysDot"/>
          <a:round/>
          <a:headEnd/>
          <a:tailEnd type="none" w="med" len="sm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0.13071</cdr:x>
      <cdr:y>0.84994</cdr:y>
    </cdr:from>
    <cdr:to>
      <cdr:x>0.98586</cdr:x>
      <cdr:y>0.92462</cdr:y>
    </cdr:to>
    <cdr:sp macro="" textlink="">
      <cdr:nvSpPr>
        <cdr:cNvPr id="8" name="7 CuadroTexto"/>
        <cdr:cNvSpPr txBox="1"/>
      </cdr:nvSpPr>
      <cdr:spPr>
        <a:xfrm xmlns:a="http://schemas.openxmlformats.org/drawingml/2006/main">
          <a:off x="915103" y="2606812"/>
          <a:ext cx="5986799" cy="2290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Máximo y mínimo estadístico: media de los valores máximos y mínimos de los últimos 20 años.</a:t>
          </a:r>
        </a:p>
      </cdr:txBody>
    </cdr:sp>
  </cdr:relSizeAnchor>
  <cdr:relSizeAnchor xmlns:cdr="http://schemas.openxmlformats.org/drawingml/2006/chartDrawing">
    <cdr:from>
      <cdr:x>0.79161</cdr:x>
      <cdr:y>0.58651</cdr:y>
    </cdr:from>
    <cdr:to>
      <cdr:x>0.92223</cdr:x>
      <cdr:y>0.68127</cdr:y>
    </cdr:to>
    <cdr:sp macro="" textlink="">
      <cdr:nvSpPr>
        <cdr:cNvPr id="2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41936" y="1798840"/>
          <a:ext cx="914455" cy="2906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18288" bIns="22860" anchor="ctr" upright="1">
          <a:no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Mínimo estadístico</a:t>
          </a:r>
        </a:p>
      </cdr:txBody>
    </cdr:sp>
  </cdr:relSizeAnchor>
  <cdr:relSizeAnchor xmlns:cdr="http://schemas.openxmlformats.org/drawingml/2006/chartDrawing">
    <cdr:from>
      <cdr:x>0.78231</cdr:x>
      <cdr:y>0.18058</cdr:y>
    </cdr:from>
    <cdr:to>
      <cdr:x>0.9209</cdr:x>
      <cdr:y>0.25414</cdr:y>
    </cdr:to>
    <cdr:sp macro="" textlink="">
      <cdr:nvSpPr>
        <cdr:cNvPr id="4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76879" y="553833"/>
          <a:ext cx="970252" cy="2256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18288" bIns="22860" anchor="ctr" upright="1">
          <a:no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Máximo estadístico</a:t>
          </a:r>
        </a:p>
      </cdr:txBody>
    </cdr:sp>
  </cdr:relSizeAnchor>
  <cdr:relSizeAnchor xmlns:cdr="http://schemas.openxmlformats.org/drawingml/2006/chartDrawing">
    <cdr:from>
      <cdr:x>0.08145</cdr:x>
      <cdr:y>0.87483</cdr:y>
    </cdr:from>
    <cdr:to>
      <cdr:x>0.12436</cdr:x>
      <cdr:y>0.89481</cdr:y>
    </cdr:to>
    <cdr:sp macro="" textlink="">
      <cdr:nvSpPr>
        <cdr:cNvPr id="9" name="Rectángulo 8"/>
        <cdr:cNvSpPr/>
      </cdr:nvSpPr>
      <cdr:spPr>
        <a:xfrm xmlns:a="http://schemas.openxmlformats.org/drawingml/2006/main" flipH="1" flipV="1">
          <a:off x="570233" y="2683157"/>
          <a:ext cx="300407" cy="61280"/>
        </a:xfrm>
        <a:prstGeom xmlns:a="http://schemas.openxmlformats.org/drawingml/2006/main" prst="rect">
          <a:avLst/>
        </a:prstGeom>
        <a:solidFill xmlns:a="http://schemas.openxmlformats.org/drawingml/2006/main">
          <a:srgbClr val="CCCC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s-ES" sz="1100"/>
        </a:p>
      </cdr:txBody>
    </cdr:sp>
  </cdr:relSizeAnchor>
</c:userShapes>
</file>

<file path=xl/drawings/drawing2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3</xdr:row>
      <xdr:rowOff>26670</xdr:rowOff>
    </xdr:from>
    <xdr:to>
      <xdr:col>3</xdr:col>
      <xdr:colOff>7213500</xdr:colOff>
      <xdr:row>3</xdr:row>
      <xdr:rowOff>26670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076C194F-4A32-46C8-B2AF-E9498978DBFA}"/>
            </a:ext>
          </a:extLst>
        </xdr:cNvPr>
        <xdr:cNvSpPr>
          <a:spLocks noChangeShapeType="1"/>
        </xdr:cNvSpPr>
      </xdr:nvSpPr>
      <xdr:spPr bwMode="auto">
        <a:xfrm flipH="1">
          <a:off x="182880" y="483870"/>
          <a:ext cx="892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7938</xdr:colOff>
      <xdr:row>5</xdr:row>
      <xdr:rowOff>152400</xdr:rowOff>
    </xdr:from>
    <xdr:to>
      <xdr:col>3</xdr:col>
      <xdr:colOff>7008813</xdr:colOff>
      <xdr:row>24</xdr:row>
      <xdr:rowOff>161924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F3CF136-0FB0-4A23-9017-EB9300A8F8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9525</xdr:colOff>
      <xdr:row>1</xdr:row>
      <xdr:rowOff>104775</xdr:rowOff>
    </xdr:from>
    <xdr:to>
      <xdr:col>3</xdr:col>
      <xdr:colOff>104774</xdr:colOff>
      <xdr:row>2</xdr:row>
      <xdr:rowOff>55874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0A2196D-B904-487E-BEA4-3706D8C77C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047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0.1103</cdr:x>
      <cdr:y>0.92532</cdr:y>
    </cdr:from>
    <cdr:to>
      <cdr:x>0.96545</cdr:x>
      <cdr:y>1</cdr:y>
    </cdr:to>
    <cdr:sp macro="" textlink="">
      <cdr:nvSpPr>
        <cdr:cNvPr id="8" name="7 CuadroTexto"/>
        <cdr:cNvSpPr txBox="1"/>
      </cdr:nvSpPr>
      <cdr:spPr>
        <a:xfrm xmlns:a="http://schemas.openxmlformats.org/drawingml/2006/main">
          <a:off x="772209" y="2838002"/>
          <a:ext cx="5986799" cy="2290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Máximo y mínimo estadístico: media de los valores máximos y mínimos de los últimos 20 años.</a:t>
          </a:r>
        </a:p>
      </cdr:txBody>
    </cdr:sp>
  </cdr:relSizeAnchor>
  <cdr:relSizeAnchor xmlns:cdr="http://schemas.openxmlformats.org/drawingml/2006/chartDrawing">
    <cdr:from>
      <cdr:x>0.77142</cdr:x>
      <cdr:y>0.71417</cdr:y>
    </cdr:from>
    <cdr:to>
      <cdr:x>0.90204</cdr:x>
      <cdr:y>0.80893</cdr:y>
    </cdr:to>
    <cdr:sp macro="" textlink="">
      <cdr:nvSpPr>
        <cdr:cNvPr id="2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00639" y="2190395"/>
          <a:ext cx="914455" cy="29063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18288" bIns="22860" anchor="ctr" upright="1">
          <a:no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Mínimo estadístico</a:t>
          </a:r>
        </a:p>
      </cdr:txBody>
    </cdr:sp>
  </cdr:relSizeAnchor>
  <cdr:relSizeAnchor xmlns:cdr="http://schemas.openxmlformats.org/drawingml/2006/chartDrawing">
    <cdr:from>
      <cdr:x>0.78639</cdr:x>
      <cdr:y>0.26522</cdr:y>
    </cdr:from>
    <cdr:to>
      <cdr:x>0.92498</cdr:x>
      <cdr:y>0.33878</cdr:y>
    </cdr:to>
    <cdr:sp macro="" textlink="">
      <cdr:nvSpPr>
        <cdr:cNvPr id="4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05440" y="813454"/>
          <a:ext cx="970251" cy="2256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18288" bIns="22860" anchor="ctr" upright="1">
          <a:no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Máximo estadístico</a:t>
          </a:r>
        </a:p>
      </cdr:txBody>
    </cdr:sp>
  </cdr:relSizeAnchor>
  <cdr:relSizeAnchor xmlns:cdr="http://schemas.openxmlformats.org/drawingml/2006/chartDrawing">
    <cdr:from>
      <cdr:x>0.07329</cdr:x>
      <cdr:y>0.94936</cdr:y>
    </cdr:from>
    <cdr:to>
      <cdr:x>0.1162</cdr:x>
      <cdr:y>0.96934</cdr:y>
    </cdr:to>
    <cdr:sp macro="" textlink="">
      <cdr:nvSpPr>
        <cdr:cNvPr id="9" name="Rectángulo 8"/>
        <cdr:cNvSpPr/>
      </cdr:nvSpPr>
      <cdr:spPr>
        <a:xfrm xmlns:a="http://schemas.openxmlformats.org/drawingml/2006/main" flipH="1" flipV="1">
          <a:off x="513071" y="2911746"/>
          <a:ext cx="300408" cy="61280"/>
        </a:xfrm>
        <a:prstGeom xmlns:a="http://schemas.openxmlformats.org/drawingml/2006/main" prst="rect">
          <a:avLst/>
        </a:prstGeom>
        <a:solidFill xmlns:a="http://schemas.openxmlformats.org/drawingml/2006/main">
          <a:srgbClr val="CCCC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s-ES" sz="1100"/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17144</xdr:colOff>
      <xdr:row>3</xdr:row>
      <xdr:rowOff>36195</xdr:rowOff>
    </xdr:from>
    <xdr:to>
      <xdr:col>4</xdr:col>
      <xdr:colOff>4062644</xdr:colOff>
      <xdr:row>3</xdr:row>
      <xdr:rowOff>36195</xdr:rowOff>
    </xdr:to>
    <xdr:sp macro="" textlink="">
      <xdr:nvSpPr>
        <xdr:cNvPr id="3" name="Line 36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SpPr>
          <a:spLocks noChangeShapeType="1"/>
        </xdr:cNvSpPr>
      </xdr:nvSpPr>
      <xdr:spPr bwMode="auto">
        <a:xfrm flipH="1">
          <a:off x="222884" y="501015"/>
          <a:ext cx="576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116205</xdr:colOff>
      <xdr:row>6</xdr:row>
      <xdr:rowOff>133350</xdr:rowOff>
    </xdr:from>
    <xdr:to>
      <xdr:col>4</xdr:col>
      <xdr:colOff>3954780</xdr:colOff>
      <xdr:row>23</xdr:row>
      <xdr:rowOff>95250</xdr:rowOff>
    </xdr:to>
    <xdr:sp macro="" textlink="">
      <xdr:nvSpPr>
        <xdr:cNvPr id="4" name="Dibujo 299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SpPr>
          <a:spLocks/>
        </xdr:cNvSpPr>
      </xdr:nvSpPr>
      <xdr:spPr bwMode="auto">
        <a:xfrm>
          <a:off x="1973580" y="1190625"/>
          <a:ext cx="3838575" cy="2714625"/>
        </a:xfrm>
        <a:custGeom>
          <a:avLst/>
          <a:gdLst>
            <a:gd name="T0" fmla="*/ 12797 w 16384"/>
            <a:gd name="T1" fmla="*/ 1740 h 16384"/>
            <a:gd name="T2" fmla="*/ 12797 w 16384"/>
            <a:gd name="T3" fmla="*/ 2221 h 16384"/>
            <a:gd name="T4" fmla="*/ 9743 w 16384"/>
            <a:gd name="T5" fmla="*/ 900 h 16384"/>
            <a:gd name="T6" fmla="*/ 6205 w 16384"/>
            <a:gd name="T7" fmla="*/ 900 h 16384"/>
            <a:gd name="T8" fmla="*/ 4266 w 16384"/>
            <a:gd name="T9" fmla="*/ 420 h 16384"/>
            <a:gd name="T10" fmla="*/ 2569 w 16384"/>
            <a:gd name="T11" fmla="*/ 420 h 16384"/>
            <a:gd name="T12" fmla="*/ 1794 w 16384"/>
            <a:gd name="T13" fmla="*/ 0 h 16384"/>
            <a:gd name="T14" fmla="*/ 0 w 16384"/>
            <a:gd name="T15" fmla="*/ 1500 h 16384"/>
            <a:gd name="T16" fmla="*/ 533 w 16384"/>
            <a:gd name="T17" fmla="*/ 3961 h 16384"/>
            <a:gd name="T18" fmla="*/ 1551 w 16384"/>
            <a:gd name="T19" fmla="*/ 3481 h 16384"/>
            <a:gd name="T20" fmla="*/ 1939 w 16384"/>
            <a:gd name="T21" fmla="*/ 4021 h 16384"/>
            <a:gd name="T22" fmla="*/ 2618 w 16384"/>
            <a:gd name="T23" fmla="*/ 3841 h 16384"/>
            <a:gd name="T24" fmla="*/ 3442 w 16384"/>
            <a:gd name="T25" fmla="*/ 3901 h 16384"/>
            <a:gd name="T26" fmla="*/ 3296 w 16384"/>
            <a:gd name="T27" fmla="*/ 4381 h 16384"/>
            <a:gd name="T28" fmla="*/ 3781 w 16384"/>
            <a:gd name="T29" fmla="*/ 4441 h 16384"/>
            <a:gd name="T30" fmla="*/ 2908 w 16384"/>
            <a:gd name="T31" fmla="*/ 5461 h 16384"/>
            <a:gd name="T32" fmla="*/ 2666 w 16384"/>
            <a:gd name="T33" fmla="*/ 8402 h 16384"/>
            <a:gd name="T34" fmla="*/ 2230 w 16384"/>
            <a:gd name="T35" fmla="*/ 8402 h 16384"/>
            <a:gd name="T36" fmla="*/ 2908 w 16384"/>
            <a:gd name="T37" fmla="*/ 9722 h 16384"/>
            <a:gd name="T38" fmla="*/ 2908 w 16384"/>
            <a:gd name="T39" fmla="*/ 9782 h 16384"/>
            <a:gd name="T40" fmla="*/ 2860 w 16384"/>
            <a:gd name="T41" fmla="*/ 9842 h 16384"/>
            <a:gd name="T42" fmla="*/ 2811 w 16384"/>
            <a:gd name="T43" fmla="*/ 10082 h 16384"/>
            <a:gd name="T44" fmla="*/ 2811 w 16384"/>
            <a:gd name="T45" fmla="*/ 10323 h 16384"/>
            <a:gd name="T46" fmla="*/ 2472 w 16384"/>
            <a:gd name="T47" fmla="*/ 10863 h 16384"/>
            <a:gd name="T48" fmla="*/ 2908 w 16384"/>
            <a:gd name="T49" fmla="*/ 11643 h 16384"/>
            <a:gd name="T50" fmla="*/ 2278 w 16384"/>
            <a:gd name="T51" fmla="*/ 12723 h 16384"/>
            <a:gd name="T52" fmla="*/ 2327 w 16384"/>
            <a:gd name="T53" fmla="*/ 13683 h 16384"/>
            <a:gd name="T54" fmla="*/ 3102 w 16384"/>
            <a:gd name="T55" fmla="*/ 13743 h 16384"/>
            <a:gd name="T56" fmla="*/ 3539 w 16384"/>
            <a:gd name="T57" fmla="*/ 14344 h 16384"/>
            <a:gd name="T58" fmla="*/ 3539 w 16384"/>
            <a:gd name="T59" fmla="*/ 15184 h 16384"/>
            <a:gd name="T60" fmla="*/ 4847 w 16384"/>
            <a:gd name="T61" fmla="*/ 16384 h 16384"/>
            <a:gd name="T62" fmla="*/ 6544 w 16384"/>
            <a:gd name="T63" fmla="*/ 14824 h 16384"/>
            <a:gd name="T64" fmla="*/ 8968 w 16384"/>
            <a:gd name="T65" fmla="*/ 14764 h 16384"/>
            <a:gd name="T66" fmla="*/ 9258 w 16384"/>
            <a:gd name="T67" fmla="*/ 14464 h 16384"/>
            <a:gd name="T68" fmla="*/ 9598 w 16384"/>
            <a:gd name="T69" fmla="*/ 14824 h 16384"/>
            <a:gd name="T70" fmla="*/ 9937 w 16384"/>
            <a:gd name="T71" fmla="*/ 13803 h 16384"/>
            <a:gd name="T72" fmla="*/ 10519 w 16384"/>
            <a:gd name="T73" fmla="*/ 13203 h 16384"/>
            <a:gd name="T74" fmla="*/ 11585 w 16384"/>
            <a:gd name="T75" fmla="*/ 13083 h 16384"/>
            <a:gd name="T76" fmla="*/ 11973 w 16384"/>
            <a:gd name="T77" fmla="*/ 11103 h 16384"/>
            <a:gd name="T78" fmla="*/ 12845 w 16384"/>
            <a:gd name="T79" fmla="*/ 10443 h 16384"/>
            <a:gd name="T80" fmla="*/ 11876 w 16384"/>
            <a:gd name="T81" fmla="*/ 8882 h 16384"/>
            <a:gd name="T82" fmla="*/ 12942 w 16384"/>
            <a:gd name="T83" fmla="*/ 6662 h 16384"/>
            <a:gd name="T84" fmla="*/ 13330 w 16384"/>
            <a:gd name="T85" fmla="*/ 6482 h 16384"/>
            <a:gd name="T86" fmla="*/ 13282 w 16384"/>
            <a:gd name="T87" fmla="*/ 5941 h 16384"/>
            <a:gd name="T88" fmla="*/ 15124 w 16384"/>
            <a:gd name="T89" fmla="*/ 4861 h 16384"/>
            <a:gd name="T90" fmla="*/ 16384 w 16384"/>
            <a:gd name="T91" fmla="*/ 3361 h 16384"/>
            <a:gd name="T92" fmla="*/ 16190 w 16384"/>
            <a:gd name="T93" fmla="*/ 2401 h 16384"/>
            <a:gd name="T94" fmla="*/ 14348 w 16384"/>
            <a:gd name="T95" fmla="*/ 2401 h 16384"/>
            <a:gd name="T96" fmla="*/ 14009 w 16384"/>
            <a:gd name="T97" fmla="*/ 2641 h 16384"/>
            <a:gd name="T98" fmla="*/ 13912 w 16384"/>
            <a:gd name="T99" fmla="*/ 2101 h 16384"/>
            <a:gd name="T100" fmla="*/ 12797 w 16384"/>
            <a:gd name="T101" fmla="*/ 1740 h 16384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0" t="0" r="r" b="b"/>
          <a:pathLst>
            <a:path w="16384" h="16384">
              <a:moveTo>
                <a:pt x="12797" y="1740"/>
              </a:moveTo>
              <a:lnTo>
                <a:pt x="12797" y="2221"/>
              </a:lnTo>
              <a:lnTo>
                <a:pt x="9743" y="900"/>
              </a:lnTo>
              <a:lnTo>
                <a:pt x="6205" y="900"/>
              </a:lnTo>
              <a:lnTo>
                <a:pt x="4266" y="420"/>
              </a:lnTo>
              <a:lnTo>
                <a:pt x="2569" y="420"/>
              </a:lnTo>
              <a:lnTo>
                <a:pt x="1794" y="0"/>
              </a:lnTo>
              <a:lnTo>
                <a:pt x="0" y="1500"/>
              </a:lnTo>
              <a:lnTo>
                <a:pt x="533" y="3961"/>
              </a:lnTo>
              <a:lnTo>
                <a:pt x="1551" y="3481"/>
              </a:lnTo>
              <a:lnTo>
                <a:pt x="1939" y="4021"/>
              </a:lnTo>
              <a:lnTo>
                <a:pt x="2618" y="3841"/>
              </a:lnTo>
              <a:lnTo>
                <a:pt x="3442" y="3901"/>
              </a:lnTo>
              <a:lnTo>
                <a:pt x="3296" y="4381"/>
              </a:lnTo>
              <a:lnTo>
                <a:pt x="3781" y="4441"/>
              </a:lnTo>
              <a:lnTo>
                <a:pt x="2908" y="5461"/>
              </a:lnTo>
              <a:lnTo>
                <a:pt x="2666" y="8402"/>
              </a:lnTo>
              <a:lnTo>
                <a:pt x="2230" y="8402"/>
              </a:lnTo>
              <a:lnTo>
                <a:pt x="2908" y="9722"/>
              </a:lnTo>
              <a:lnTo>
                <a:pt x="2908" y="9782"/>
              </a:lnTo>
              <a:lnTo>
                <a:pt x="2860" y="9842"/>
              </a:lnTo>
              <a:lnTo>
                <a:pt x="2811" y="10082"/>
              </a:lnTo>
              <a:lnTo>
                <a:pt x="2811" y="10323"/>
              </a:lnTo>
              <a:lnTo>
                <a:pt x="2472" y="10863"/>
              </a:lnTo>
              <a:lnTo>
                <a:pt x="2908" y="11643"/>
              </a:lnTo>
              <a:lnTo>
                <a:pt x="2278" y="12723"/>
              </a:lnTo>
              <a:lnTo>
                <a:pt x="2327" y="13683"/>
              </a:lnTo>
              <a:lnTo>
                <a:pt x="3102" y="13743"/>
              </a:lnTo>
              <a:lnTo>
                <a:pt x="3539" y="14344"/>
              </a:lnTo>
              <a:lnTo>
                <a:pt x="3539" y="15184"/>
              </a:lnTo>
              <a:lnTo>
                <a:pt x="4847" y="16384"/>
              </a:lnTo>
              <a:lnTo>
                <a:pt x="6544" y="14824"/>
              </a:lnTo>
              <a:lnTo>
                <a:pt x="8968" y="14764"/>
              </a:lnTo>
              <a:lnTo>
                <a:pt x="9258" y="14464"/>
              </a:lnTo>
              <a:lnTo>
                <a:pt x="9598" y="14824"/>
              </a:lnTo>
              <a:lnTo>
                <a:pt x="9937" y="13803"/>
              </a:lnTo>
              <a:lnTo>
                <a:pt x="10519" y="13203"/>
              </a:lnTo>
              <a:lnTo>
                <a:pt x="11585" y="13083"/>
              </a:lnTo>
              <a:lnTo>
                <a:pt x="11973" y="11103"/>
              </a:lnTo>
              <a:lnTo>
                <a:pt x="12845" y="10443"/>
              </a:lnTo>
              <a:lnTo>
                <a:pt x="11876" y="8882"/>
              </a:lnTo>
              <a:lnTo>
                <a:pt x="12942" y="6662"/>
              </a:lnTo>
              <a:lnTo>
                <a:pt x="13330" y="6482"/>
              </a:lnTo>
              <a:lnTo>
                <a:pt x="13282" y="5941"/>
              </a:lnTo>
              <a:lnTo>
                <a:pt x="15124" y="4861"/>
              </a:lnTo>
              <a:lnTo>
                <a:pt x="16384" y="3361"/>
              </a:lnTo>
              <a:lnTo>
                <a:pt x="16190" y="2401"/>
              </a:lnTo>
              <a:lnTo>
                <a:pt x="14348" y="2401"/>
              </a:lnTo>
              <a:lnTo>
                <a:pt x="14009" y="2641"/>
              </a:lnTo>
              <a:lnTo>
                <a:pt x="13912" y="2101"/>
              </a:lnTo>
              <a:lnTo>
                <a:pt x="12797" y="1740"/>
              </a:lnTo>
              <a:close/>
            </a:path>
          </a:pathLst>
        </a:custGeom>
        <a:solidFill>
          <a:schemeClr val="accent1">
            <a:lumMod val="60000"/>
            <a:lumOff val="40000"/>
          </a:schemeClr>
        </a:solidFill>
        <a:ln>
          <a:noFill/>
        </a:ln>
        <a:effectLst>
          <a:outerShdw dist="35921" dir="2700000" algn="ctr" rotWithShape="0">
            <a:srgbClr val="624FAC"/>
          </a:outerShdw>
        </a:effectLst>
      </xdr:spPr>
    </xdr:sp>
    <xdr:clientData/>
  </xdr:twoCellAnchor>
  <xdr:twoCellAnchor>
    <xdr:from>
      <xdr:col>4</xdr:col>
      <xdr:colOff>782955</xdr:colOff>
      <xdr:row>7</xdr:row>
      <xdr:rowOff>114300</xdr:rowOff>
    </xdr:from>
    <xdr:to>
      <xdr:col>4</xdr:col>
      <xdr:colOff>2383155</xdr:colOff>
      <xdr:row>10</xdr:row>
      <xdr:rowOff>133350</xdr:rowOff>
    </xdr:to>
    <xdr:sp macro="" textlink="">
      <xdr:nvSpPr>
        <xdr:cNvPr id="5" name="Line 3">
          <a:extLst>
            <a:ext uri="{FF2B5EF4-FFF2-40B4-BE49-F238E27FC236}">
              <a16:creationId xmlns:a16="http://schemas.microsoft.com/office/drawing/2014/main" id="{00000000-0008-0000-1200-000005000000}"/>
            </a:ext>
          </a:extLst>
        </xdr:cNvPr>
        <xdr:cNvSpPr>
          <a:spLocks noChangeShapeType="1"/>
        </xdr:cNvSpPr>
      </xdr:nvSpPr>
      <xdr:spPr bwMode="auto">
        <a:xfrm flipV="1">
          <a:off x="2640330" y="1333500"/>
          <a:ext cx="1600200" cy="504825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1821180</xdr:colOff>
      <xdr:row>8</xdr:row>
      <xdr:rowOff>123825</xdr:rowOff>
    </xdr:from>
    <xdr:to>
      <xdr:col>4</xdr:col>
      <xdr:colOff>2154555</xdr:colOff>
      <xdr:row>12</xdr:row>
      <xdr:rowOff>123825</xdr:rowOff>
    </xdr:to>
    <xdr:sp macro="" textlink="">
      <xdr:nvSpPr>
        <xdr:cNvPr id="6" name="Line 4">
          <a:extLst>
            <a:ext uri="{FF2B5EF4-FFF2-40B4-BE49-F238E27FC236}">
              <a16:creationId xmlns:a16="http://schemas.microsoft.com/office/drawing/2014/main" id="{00000000-0008-0000-1200-000006000000}"/>
            </a:ext>
          </a:extLst>
        </xdr:cNvPr>
        <xdr:cNvSpPr>
          <a:spLocks noChangeShapeType="1"/>
        </xdr:cNvSpPr>
      </xdr:nvSpPr>
      <xdr:spPr bwMode="auto">
        <a:xfrm>
          <a:off x="3678555" y="1504950"/>
          <a:ext cx="333375" cy="64770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773430</xdr:colOff>
      <xdr:row>12</xdr:row>
      <xdr:rowOff>114300</xdr:rowOff>
    </xdr:from>
    <xdr:to>
      <xdr:col>4</xdr:col>
      <xdr:colOff>2173605</xdr:colOff>
      <xdr:row>14</xdr:row>
      <xdr:rowOff>104775</xdr:rowOff>
    </xdr:to>
    <xdr:sp macro="" textlink="">
      <xdr:nvSpPr>
        <xdr:cNvPr id="7" name="Line 5">
          <a:extLst>
            <a:ext uri="{FF2B5EF4-FFF2-40B4-BE49-F238E27FC236}">
              <a16:creationId xmlns:a16="http://schemas.microsoft.com/office/drawing/2014/main" id="{00000000-0008-0000-1200-000007000000}"/>
            </a:ext>
          </a:extLst>
        </xdr:cNvPr>
        <xdr:cNvSpPr>
          <a:spLocks noChangeShapeType="1"/>
        </xdr:cNvSpPr>
      </xdr:nvSpPr>
      <xdr:spPr bwMode="auto">
        <a:xfrm flipH="1">
          <a:off x="2630805" y="2143125"/>
          <a:ext cx="1400175" cy="314325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773430</xdr:colOff>
      <xdr:row>17</xdr:row>
      <xdr:rowOff>20955</xdr:rowOff>
    </xdr:from>
    <xdr:to>
      <xdr:col>4</xdr:col>
      <xdr:colOff>2030730</xdr:colOff>
      <xdr:row>17</xdr:row>
      <xdr:rowOff>20955</xdr:rowOff>
    </xdr:to>
    <xdr:sp macro="" textlink="">
      <xdr:nvSpPr>
        <xdr:cNvPr id="8" name="Line 6">
          <a:extLst>
            <a:ext uri="{FF2B5EF4-FFF2-40B4-BE49-F238E27FC236}">
              <a16:creationId xmlns:a16="http://schemas.microsoft.com/office/drawing/2014/main" id="{00000000-0008-0000-1200-000008000000}"/>
            </a:ext>
          </a:extLst>
        </xdr:cNvPr>
        <xdr:cNvSpPr>
          <a:spLocks noChangeShapeType="1"/>
        </xdr:cNvSpPr>
      </xdr:nvSpPr>
      <xdr:spPr bwMode="auto">
        <a:xfrm flipH="1">
          <a:off x="2630805" y="2859405"/>
          <a:ext cx="1257300" cy="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925830</xdr:colOff>
      <xdr:row>17</xdr:row>
      <xdr:rowOff>20955</xdr:rowOff>
    </xdr:from>
    <xdr:to>
      <xdr:col>4</xdr:col>
      <xdr:colOff>2040255</xdr:colOff>
      <xdr:row>21</xdr:row>
      <xdr:rowOff>59055</xdr:rowOff>
    </xdr:to>
    <xdr:sp macro="" textlink="">
      <xdr:nvSpPr>
        <xdr:cNvPr id="9" name="Line 7">
          <a:extLst>
            <a:ext uri="{FF2B5EF4-FFF2-40B4-BE49-F238E27FC236}">
              <a16:creationId xmlns:a16="http://schemas.microsoft.com/office/drawing/2014/main" id="{00000000-0008-0000-1200-000009000000}"/>
            </a:ext>
          </a:extLst>
        </xdr:cNvPr>
        <xdr:cNvSpPr>
          <a:spLocks noChangeShapeType="1"/>
        </xdr:cNvSpPr>
      </xdr:nvSpPr>
      <xdr:spPr bwMode="auto">
        <a:xfrm flipH="1">
          <a:off x="2783205" y="2859405"/>
          <a:ext cx="1114425" cy="68580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2145030</xdr:colOff>
      <xdr:row>12</xdr:row>
      <xdr:rowOff>114300</xdr:rowOff>
    </xdr:from>
    <xdr:to>
      <xdr:col>4</xdr:col>
      <xdr:colOff>3145155</xdr:colOff>
      <xdr:row>13</xdr:row>
      <xdr:rowOff>123825</xdr:rowOff>
    </xdr:to>
    <xdr:sp macro="" textlink="">
      <xdr:nvSpPr>
        <xdr:cNvPr id="10" name="Line 8">
          <a:extLst>
            <a:ext uri="{FF2B5EF4-FFF2-40B4-BE49-F238E27FC236}">
              <a16:creationId xmlns:a16="http://schemas.microsoft.com/office/drawing/2014/main" id="{00000000-0008-0000-1200-00000A000000}"/>
            </a:ext>
          </a:extLst>
        </xdr:cNvPr>
        <xdr:cNvSpPr>
          <a:spLocks noChangeShapeType="1"/>
        </xdr:cNvSpPr>
      </xdr:nvSpPr>
      <xdr:spPr bwMode="auto">
        <a:xfrm>
          <a:off x="4002405" y="2143125"/>
          <a:ext cx="1000125" cy="17145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2040255</xdr:colOff>
      <xdr:row>17</xdr:row>
      <xdr:rowOff>30480</xdr:rowOff>
    </xdr:from>
    <xdr:to>
      <xdr:col>4</xdr:col>
      <xdr:colOff>2573655</xdr:colOff>
      <xdr:row>20</xdr:row>
      <xdr:rowOff>59055</xdr:rowOff>
    </xdr:to>
    <xdr:sp macro="" textlink="">
      <xdr:nvSpPr>
        <xdr:cNvPr id="11" name="Line 9">
          <a:extLst>
            <a:ext uri="{FF2B5EF4-FFF2-40B4-BE49-F238E27FC236}">
              <a16:creationId xmlns:a16="http://schemas.microsoft.com/office/drawing/2014/main" id="{00000000-0008-0000-1200-00000B000000}"/>
            </a:ext>
          </a:extLst>
        </xdr:cNvPr>
        <xdr:cNvSpPr>
          <a:spLocks noChangeShapeType="1"/>
        </xdr:cNvSpPr>
      </xdr:nvSpPr>
      <xdr:spPr bwMode="auto">
        <a:xfrm>
          <a:off x="3897630" y="2868930"/>
          <a:ext cx="533400" cy="51435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4</xdr:col>
      <xdr:colOff>906780</xdr:colOff>
      <xdr:row>17</xdr:row>
      <xdr:rowOff>30480</xdr:rowOff>
    </xdr:from>
    <xdr:ext cx="485967" cy="141001"/>
    <xdr:sp macro="" textlink="">
      <xdr:nvSpPr>
        <xdr:cNvPr id="13" name="Texto 14">
          <a:extLst>
            <a:ext uri="{FF2B5EF4-FFF2-40B4-BE49-F238E27FC236}">
              <a16:creationId xmlns:a16="http://schemas.microsoft.com/office/drawing/2014/main" id="{00000000-0008-0000-1200-00000D000000}"/>
            </a:ext>
          </a:extLst>
        </xdr:cNvPr>
        <xdr:cNvSpPr txBox="1">
          <a:spLocks noChangeArrowheads="1"/>
        </xdr:cNvSpPr>
      </xdr:nvSpPr>
      <xdr:spPr bwMode="auto">
        <a:xfrm>
          <a:off x="2764155" y="2868930"/>
          <a:ext cx="485967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Guadiana</a:t>
          </a:r>
        </a:p>
      </xdr:txBody>
    </xdr:sp>
    <xdr:clientData/>
  </xdr:oneCellAnchor>
  <xdr:oneCellAnchor>
    <xdr:from>
      <xdr:col>4</xdr:col>
      <xdr:colOff>1192530</xdr:colOff>
      <xdr:row>7</xdr:row>
      <xdr:rowOff>114300</xdr:rowOff>
    </xdr:from>
    <xdr:ext cx="286360" cy="141001"/>
    <xdr:sp macro="" textlink="">
      <xdr:nvSpPr>
        <xdr:cNvPr id="15" name="Texto 11">
          <a:extLst>
            <a:ext uri="{FF2B5EF4-FFF2-40B4-BE49-F238E27FC236}">
              <a16:creationId xmlns:a16="http://schemas.microsoft.com/office/drawing/2014/main" id="{00000000-0008-0000-1200-00000F000000}"/>
            </a:ext>
          </a:extLst>
        </xdr:cNvPr>
        <xdr:cNvSpPr txBox="1">
          <a:spLocks noChangeArrowheads="1"/>
        </xdr:cNvSpPr>
      </xdr:nvSpPr>
      <xdr:spPr bwMode="auto">
        <a:xfrm>
          <a:off x="3049905" y="1333500"/>
          <a:ext cx="286360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Norte</a:t>
          </a:r>
        </a:p>
      </xdr:txBody>
    </xdr:sp>
    <xdr:clientData/>
  </xdr:oneCellAnchor>
  <xdr:twoCellAnchor>
    <xdr:from>
      <xdr:col>4</xdr:col>
      <xdr:colOff>226841</xdr:colOff>
      <xdr:row>8</xdr:row>
      <xdr:rowOff>20955</xdr:rowOff>
    </xdr:from>
    <xdr:to>
      <xdr:col>4</xdr:col>
      <xdr:colOff>255416</xdr:colOff>
      <xdr:row>10</xdr:row>
      <xdr:rowOff>59055</xdr:rowOff>
    </xdr:to>
    <xdr:sp macro="" textlink="">
      <xdr:nvSpPr>
        <xdr:cNvPr id="20" name="Rectangle 42">
          <a:extLst>
            <a:ext uri="{FF2B5EF4-FFF2-40B4-BE49-F238E27FC236}">
              <a16:creationId xmlns:a16="http://schemas.microsoft.com/office/drawing/2014/main" id="{00000000-0008-0000-1200-000014000000}"/>
            </a:ext>
          </a:extLst>
        </xdr:cNvPr>
        <xdr:cNvSpPr>
          <a:spLocks noChangeArrowheads="1"/>
        </xdr:cNvSpPr>
      </xdr:nvSpPr>
      <xdr:spPr bwMode="auto">
        <a:xfrm>
          <a:off x="2087879" y="1391090"/>
          <a:ext cx="28575" cy="360484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527244</xdr:colOff>
      <xdr:row>8</xdr:row>
      <xdr:rowOff>30480</xdr:rowOff>
    </xdr:from>
    <xdr:to>
      <xdr:col>4</xdr:col>
      <xdr:colOff>555819</xdr:colOff>
      <xdr:row>10</xdr:row>
      <xdr:rowOff>59055</xdr:rowOff>
    </xdr:to>
    <xdr:sp macro="" textlink="">
      <xdr:nvSpPr>
        <xdr:cNvPr id="23" name="Rectangle 51">
          <a:extLst>
            <a:ext uri="{FF2B5EF4-FFF2-40B4-BE49-F238E27FC236}">
              <a16:creationId xmlns:a16="http://schemas.microsoft.com/office/drawing/2014/main" id="{00000000-0008-0000-1200-000017000000}"/>
            </a:ext>
          </a:extLst>
        </xdr:cNvPr>
        <xdr:cNvSpPr>
          <a:spLocks noChangeArrowheads="1"/>
        </xdr:cNvSpPr>
      </xdr:nvSpPr>
      <xdr:spPr bwMode="auto">
        <a:xfrm>
          <a:off x="2388282" y="1400615"/>
          <a:ext cx="28575" cy="350959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2240280</xdr:colOff>
      <xdr:row>10</xdr:row>
      <xdr:rowOff>68580</xdr:rowOff>
    </xdr:from>
    <xdr:to>
      <xdr:col>4</xdr:col>
      <xdr:colOff>2268855</xdr:colOff>
      <xdr:row>12</xdr:row>
      <xdr:rowOff>97155</xdr:rowOff>
    </xdr:to>
    <xdr:sp macro="" textlink="">
      <xdr:nvSpPr>
        <xdr:cNvPr id="26" name="Rectangle 56">
          <a:extLst>
            <a:ext uri="{FF2B5EF4-FFF2-40B4-BE49-F238E27FC236}">
              <a16:creationId xmlns:a16="http://schemas.microsoft.com/office/drawing/2014/main" id="{00000000-0008-0000-1200-00001A000000}"/>
            </a:ext>
          </a:extLst>
        </xdr:cNvPr>
        <xdr:cNvSpPr>
          <a:spLocks noChangeArrowheads="1"/>
        </xdr:cNvSpPr>
      </xdr:nvSpPr>
      <xdr:spPr bwMode="auto">
        <a:xfrm>
          <a:off x="4097655" y="177355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2554605</xdr:colOff>
      <xdr:row>10</xdr:row>
      <xdr:rowOff>68580</xdr:rowOff>
    </xdr:from>
    <xdr:to>
      <xdr:col>4</xdr:col>
      <xdr:colOff>2583180</xdr:colOff>
      <xdr:row>12</xdr:row>
      <xdr:rowOff>97155</xdr:rowOff>
    </xdr:to>
    <xdr:sp macro="" textlink="">
      <xdr:nvSpPr>
        <xdr:cNvPr id="29" name="Rectangle 61">
          <a:extLst>
            <a:ext uri="{FF2B5EF4-FFF2-40B4-BE49-F238E27FC236}">
              <a16:creationId xmlns:a16="http://schemas.microsoft.com/office/drawing/2014/main" id="{00000000-0008-0000-1200-00001D000000}"/>
            </a:ext>
          </a:extLst>
        </xdr:cNvPr>
        <xdr:cNvSpPr>
          <a:spLocks noChangeArrowheads="1"/>
        </xdr:cNvSpPr>
      </xdr:nvSpPr>
      <xdr:spPr bwMode="auto">
        <a:xfrm>
          <a:off x="4411980" y="177355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2106930</xdr:colOff>
      <xdr:row>15</xdr:row>
      <xdr:rowOff>38100</xdr:rowOff>
    </xdr:from>
    <xdr:to>
      <xdr:col>4</xdr:col>
      <xdr:colOff>2135505</xdr:colOff>
      <xdr:row>17</xdr:row>
      <xdr:rowOff>66675</xdr:rowOff>
    </xdr:to>
    <xdr:sp macro="" textlink="">
      <xdr:nvSpPr>
        <xdr:cNvPr id="32" name="Rectangle 66">
          <a:extLst>
            <a:ext uri="{FF2B5EF4-FFF2-40B4-BE49-F238E27FC236}">
              <a16:creationId xmlns:a16="http://schemas.microsoft.com/office/drawing/2014/main" id="{00000000-0008-0000-1200-000020000000}"/>
            </a:ext>
          </a:extLst>
        </xdr:cNvPr>
        <xdr:cNvSpPr>
          <a:spLocks noChangeArrowheads="1"/>
        </xdr:cNvSpPr>
      </xdr:nvSpPr>
      <xdr:spPr bwMode="auto">
        <a:xfrm>
          <a:off x="3964305" y="25527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2402205</xdr:colOff>
      <xdr:row>15</xdr:row>
      <xdr:rowOff>38100</xdr:rowOff>
    </xdr:from>
    <xdr:to>
      <xdr:col>4</xdr:col>
      <xdr:colOff>2430780</xdr:colOff>
      <xdr:row>17</xdr:row>
      <xdr:rowOff>66675</xdr:rowOff>
    </xdr:to>
    <xdr:sp macro="" textlink="">
      <xdr:nvSpPr>
        <xdr:cNvPr id="34" name="Rectangle 71">
          <a:extLst>
            <a:ext uri="{FF2B5EF4-FFF2-40B4-BE49-F238E27FC236}">
              <a16:creationId xmlns:a16="http://schemas.microsoft.com/office/drawing/2014/main" id="{00000000-0008-0000-1200-000022000000}"/>
            </a:ext>
          </a:extLst>
        </xdr:cNvPr>
        <xdr:cNvSpPr>
          <a:spLocks noChangeArrowheads="1"/>
        </xdr:cNvSpPr>
      </xdr:nvSpPr>
      <xdr:spPr bwMode="auto">
        <a:xfrm>
          <a:off x="4259580" y="25527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1487805</xdr:colOff>
      <xdr:row>18</xdr:row>
      <xdr:rowOff>123825</xdr:rowOff>
    </xdr:from>
    <xdr:to>
      <xdr:col>4</xdr:col>
      <xdr:colOff>1516380</xdr:colOff>
      <xdr:row>20</xdr:row>
      <xdr:rowOff>152400</xdr:rowOff>
    </xdr:to>
    <xdr:sp macro="" textlink="">
      <xdr:nvSpPr>
        <xdr:cNvPr id="37" name="Rectangle 76">
          <a:extLst>
            <a:ext uri="{FF2B5EF4-FFF2-40B4-BE49-F238E27FC236}">
              <a16:creationId xmlns:a16="http://schemas.microsoft.com/office/drawing/2014/main" id="{00000000-0008-0000-1200-000025000000}"/>
            </a:ext>
          </a:extLst>
        </xdr:cNvPr>
        <xdr:cNvSpPr>
          <a:spLocks noChangeArrowheads="1"/>
        </xdr:cNvSpPr>
      </xdr:nvSpPr>
      <xdr:spPr bwMode="auto">
        <a:xfrm>
          <a:off x="3345180" y="31242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1792605</xdr:colOff>
      <xdr:row>18</xdr:row>
      <xdr:rowOff>123825</xdr:rowOff>
    </xdr:from>
    <xdr:to>
      <xdr:col>4</xdr:col>
      <xdr:colOff>1821180</xdr:colOff>
      <xdr:row>20</xdr:row>
      <xdr:rowOff>152400</xdr:rowOff>
    </xdr:to>
    <xdr:sp macro="" textlink="">
      <xdr:nvSpPr>
        <xdr:cNvPr id="39" name="Rectangle 81">
          <a:extLst>
            <a:ext uri="{FF2B5EF4-FFF2-40B4-BE49-F238E27FC236}">
              <a16:creationId xmlns:a16="http://schemas.microsoft.com/office/drawing/2014/main" id="{00000000-0008-0000-1200-000027000000}"/>
            </a:ext>
          </a:extLst>
        </xdr:cNvPr>
        <xdr:cNvSpPr>
          <a:spLocks noChangeArrowheads="1"/>
        </xdr:cNvSpPr>
      </xdr:nvSpPr>
      <xdr:spPr bwMode="auto">
        <a:xfrm>
          <a:off x="3649980" y="31242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811530</xdr:colOff>
      <xdr:row>18</xdr:row>
      <xdr:rowOff>59055</xdr:rowOff>
    </xdr:from>
    <xdr:to>
      <xdr:col>4</xdr:col>
      <xdr:colOff>840105</xdr:colOff>
      <xdr:row>20</xdr:row>
      <xdr:rowOff>87630</xdr:rowOff>
    </xdr:to>
    <xdr:sp macro="" textlink="">
      <xdr:nvSpPr>
        <xdr:cNvPr id="41" name="Rectangle 86">
          <a:extLst>
            <a:ext uri="{FF2B5EF4-FFF2-40B4-BE49-F238E27FC236}">
              <a16:creationId xmlns:a16="http://schemas.microsoft.com/office/drawing/2014/main" id="{00000000-0008-0000-1200-000029000000}"/>
            </a:ext>
          </a:extLst>
        </xdr:cNvPr>
        <xdr:cNvSpPr>
          <a:spLocks noChangeArrowheads="1"/>
        </xdr:cNvSpPr>
      </xdr:nvSpPr>
      <xdr:spPr bwMode="auto">
        <a:xfrm>
          <a:off x="2668905" y="305943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3028950</xdr:colOff>
      <xdr:row>24</xdr:row>
      <xdr:rowOff>28575</xdr:rowOff>
    </xdr:from>
    <xdr:to>
      <xdr:col>4</xdr:col>
      <xdr:colOff>3057525</xdr:colOff>
      <xdr:row>26</xdr:row>
      <xdr:rowOff>57150</xdr:rowOff>
    </xdr:to>
    <xdr:sp macro="" textlink="">
      <xdr:nvSpPr>
        <xdr:cNvPr id="44" name="Rectangle 91">
          <a:extLst>
            <a:ext uri="{FF2B5EF4-FFF2-40B4-BE49-F238E27FC236}">
              <a16:creationId xmlns:a16="http://schemas.microsoft.com/office/drawing/2014/main" id="{00000000-0008-0000-1200-00002C000000}"/>
            </a:ext>
          </a:extLst>
        </xdr:cNvPr>
        <xdr:cNvSpPr>
          <a:spLocks noChangeArrowheads="1"/>
        </xdr:cNvSpPr>
      </xdr:nvSpPr>
      <xdr:spPr bwMode="auto">
        <a:xfrm>
          <a:off x="4886325" y="395287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2533650</xdr:colOff>
      <xdr:row>24</xdr:row>
      <xdr:rowOff>28575</xdr:rowOff>
    </xdr:from>
    <xdr:to>
      <xdr:col>4</xdr:col>
      <xdr:colOff>2562225</xdr:colOff>
      <xdr:row>26</xdr:row>
      <xdr:rowOff>57150</xdr:rowOff>
    </xdr:to>
    <xdr:sp macro="" textlink="">
      <xdr:nvSpPr>
        <xdr:cNvPr id="47" name="Rectangle 96">
          <a:extLst>
            <a:ext uri="{FF2B5EF4-FFF2-40B4-BE49-F238E27FC236}">
              <a16:creationId xmlns:a16="http://schemas.microsoft.com/office/drawing/2014/main" id="{00000000-0008-0000-1200-00002F000000}"/>
            </a:ext>
          </a:extLst>
        </xdr:cNvPr>
        <xdr:cNvSpPr>
          <a:spLocks noChangeArrowheads="1"/>
        </xdr:cNvSpPr>
      </xdr:nvSpPr>
      <xdr:spPr bwMode="auto">
        <a:xfrm>
          <a:off x="4391025" y="395287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868680</xdr:colOff>
      <xdr:row>11</xdr:row>
      <xdr:rowOff>106680</xdr:rowOff>
    </xdr:from>
    <xdr:to>
      <xdr:col>4</xdr:col>
      <xdr:colOff>897255</xdr:colOff>
      <xdr:row>13</xdr:row>
      <xdr:rowOff>135255</xdr:rowOff>
    </xdr:to>
    <xdr:sp macro="" textlink="">
      <xdr:nvSpPr>
        <xdr:cNvPr id="50" name="Rectangle 101">
          <a:extLst>
            <a:ext uri="{FF2B5EF4-FFF2-40B4-BE49-F238E27FC236}">
              <a16:creationId xmlns:a16="http://schemas.microsoft.com/office/drawing/2014/main" id="{00000000-0008-0000-1200-000032000000}"/>
            </a:ext>
          </a:extLst>
        </xdr:cNvPr>
        <xdr:cNvSpPr>
          <a:spLocks noChangeArrowheads="1"/>
        </xdr:cNvSpPr>
      </xdr:nvSpPr>
      <xdr:spPr bwMode="auto">
        <a:xfrm>
          <a:off x="2726055" y="197358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1173480</xdr:colOff>
      <xdr:row>11</xdr:row>
      <xdr:rowOff>106680</xdr:rowOff>
    </xdr:from>
    <xdr:to>
      <xdr:col>4</xdr:col>
      <xdr:colOff>1202055</xdr:colOff>
      <xdr:row>13</xdr:row>
      <xdr:rowOff>135255</xdr:rowOff>
    </xdr:to>
    <xdr:sp macro="" textlink="">
      <xdr:nvSpPr>
        <xdr:cNvPr id="53" name="Rectangle 106">
          <a:extLst>
            <a:ext uri="{FF2B5EF4-FFF2-40B4-BE49-F238E27FC236}">
              <a16:creationId xmlns:a16="http://schemas.microsoft.com/office/drawing/2014/main" id="{00000000-0008-0000-1200-000035000000}"/>
            </a:ext>
          </a:extLst>
        </xdr:cNvPr>
        <xdr:cNvSpPr>
          <a:spLocks noChangeArrowheads="1"/>
        </xdr:cNvSpPr>
      </xdr:nvSpPr>
      <xdr:spPr bwMode="auto">
        <a:xfrm>
          <a:off x="3030855" y="197358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3505200</xdr:colOff>
      <xdr:row>24</xdr:row>
      <xdr:rowOff>28575</xdr:rowOff>
    </xdr:from>
    <xdr:to>
      <xdr:col>4</xdr:col>
      <xdr:colOff>3533775</xdr:colOff>
      <xdr:row>26</xdr:row>
      <xdr:rowOff>57150</xdr:rowOff>
    </xdr:to>
    <xdr:sp macro="" textlink="">
      <xdr:nvSpPr>
        <xdr:cNvPr id="56" name="Rectangle 111">
          <a:extLst>
            <a:ext uri="{FF2B5EF4-FFF2-40B4-BE49-F238E27FC236}">
              <a16:creationId xmlns:a16="http://schemas.microsoft.com/office/drawing/2014/main" id="{00000000-0008-0000-1200-000038000000}"/>
            </a:ext>
          </a:extLst>
        </xdr:cNvPr>
        <xdr:cNvSpPr>
          <a:spLocks noChangeArrowheads="1"/>
        </xdr:cNvSpPr>
      </xdr:nvSpPr>
      <xdr:spPr bwMode="auto">
        <a:xfrm>
          <a:off x="5362575" y="395287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1647825</xdr:colOff>
      <xdr:row>24</xdr:row>
      <xdr:rowOff>0</xdr:rowOff>
    </xdr:from>
    <xdr:to>
      <xdr:col>4</xdr:col>
      <xdr:colOff>2543175</xdr:colOff>
      <xdr:row>25</xdr:row>
      <xdr:rowOff>19050</xdr:rowOff>
    </xdr:to>
    <xdr:sp macro="" textlink="">
      <xdr:nvSpPr>
        <xdr:cNvPr id="57" name="Texto 239">
          <a:extLst>
            <a:ext uri="{FF2B5EF4-FFF2-40B4-BE49-F238E27FC236}">
              <a16:creationId xmlns:a16="http://schemas.microsoft.com/office/drawing/2014/main" id="{00000000-0008-0000-1200-000039000000}"/>
            </a:ext>
          </a:extLst>
        </xdr:cNvPr>
        <xdr:cNvSpPr txBox="1">
          <a:spLocks noChangeArrowheads="1"/>
        </xdr:cNvSpPr>
      </xdr:nvSpPr>
      <xdr:spPr bwMode="auto">
        <a:xfrm>
          <a:off x="3505200" y="3924300"/>
          <a:ext cx="895350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Reservas (GWh)</a:t>
          </a:r>
        </a:p>
      </xdr:txBody>
    </xdr:sp>
    <xdr:clientData/>
  </xdr:twoCellAnchor>
  <xdr:twoCellAnchor>
    <xdr:from>
      <xdr:col>4</xdr:col>
      <xdr:colOff>1647825</xdr:colOff>
      <xdr:row>25</xdr:row>
      <xdr:rowOff>66675</xdr:rowOff>
    </xdr:from>
    <xdr:to>
      <xdr:col>4</xdr:col>
      <xdr:colOff>2543175</xdr:colOff>
      <xdr:row>26</xdr:row>
      <xdr:rowOff>76200</xdr:rowOff>
    </xdr:to>
    <xdr:sp macro="" textlink="">
      <xdr:nvSpPr>
        <xdr:cNvPr id="58" name="Texto 239">
          <a:extLst>
            <a:ext uri="{FF2B5EF4-FFF2-40B4-BE49-F238E27FC236}">
              <a16:creationId xmlns:a16="http://schemas.microsoft.com/office/drawing/2014/main" id="{00000000-0008-0000-1200-00003A000000}"/>
            </a:ext>
          </a:extLst>
        </xdr:cNvPr>
        <xdr:cNvSpPr txBox="1">
          <a:spLocks noChangeArrowheads="1"/>
        </xdr:cNvSpPr>
      </xdr:nvSpPr>
      <xdr:spPr bwMode="auto">
        <a:xfrm>
          <a:off x="3505200" y="4152900"/>
          <a:ext cx="89535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Llenado (%)</a:t>
          </a:r>
        </a:p>
      </xdr:txBody>
    </xdr:sp>
    <xdr:clientData/>
  </xdr:twoCellAnchor>
  <xdr:twoCellAnchor>
    <xdr:from>
      <xdr:col>4</xdr:col>
      <xdr:colOff>2495550</xdr:colOff>
      <xdr:row>21</xdr:row>
      <xdr:rowOff>123825</xdr:rowOff>
    </xdr:from>
    <xdr:to>
      <xdr:col>4</xdr:col>
      <xdr:colOff>3886200</xdr:colOff>
      <xdr:row>24</xdr:row>
      <xdr:rowOff>9525</xdr:rowOff>
    </xdr:to>
    <xdr:sp macro="" textlink="">
      <xdr:nvSpPr>
        <xdr:cNvPr id="59" name="Texto 239">
          <a:extLst>
            <a:ext uri="{FF2B5EF4-FFF2-40B4-BE49-F238E27FC236}">
              <a16:creationId xmlns:a16="http://schemas.microsoft.com/office/drawing/2014/main" id="{00000000-0008-0000-1200-00003B000000}"/>
            </a:ext>
          </a:extLst>
        </xdr:cNvPr>
        <xdr:cNvSpPr txBox="1">
          <a:spLocks noChangeArrowheads="1"/>
        </xdr:cNvSpPr>
      </xdr:nvSpPr>
      <xdr:spPr bwMode="auto">
        <a:xfrm>
          <a:off x="4352925" y="3609975"/>
          <a:ext cx="1390650" cy="3238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Régimen   Régimen                   </a:t>
          </a:r>
        </a:p>
        <a:p>
          <a:pPr algn="l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anual         hiperanual  Total     </a:t>
          </a:r>
        </a:p>
      </xdr:txBody>
    </xdr:sp>
    <xdr:clientData/>
  </xdr:twoCellAnchor>
  <xdr:twoCellAnchor>
    <xdr:from>
      <xdr:col>4</xdr:col>
      <xdr:colOff>845233</xdr:colOff>
      <xdr:row>8</xdr:row>
      <xdr:rowOff>25644</xdr:rowOff>
    </xdr:from>
    <xdr:to>
      <xdr:col>4</xdr:col>
      <xdr:colOff>873808</xdr:colOff>
      <xdr:row>10</xdr:row>
      <xdr:rowOff>54219</xdr:rowOff>
    </xdr:to>
    <xdr:sp macro="" textlink="">
      <xdr:nvSpPr>
        <xdr:cNvPr id="63" name="Rectangle 51">
          <a:extLst>
            <a:ext uri="{FF2B5EF4-FFF2-40B4-BE49-F238E27FC236}">
              <a16:creationId xmlns:a16="http://schemas.microsoft.com/office/drawing/2014/main" id="{00000000-0008-0000-1200-00003F000000}"/>
            </a:ext>
          </a:extLst>
        </xdr:cNvPr>
        <xdr:cNvSpPr>
          <a:spLocks noChangeArrowheads="1"/>
        </xdr:cNvSpPr>
      </xdr:nvSpPr>
      <xdr:spPr bwMode="auto">
        <a:xfrm>
          <a:off x="2706271" y="1395779"/>
          <a:ext cx="28575" cy="350959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1487805</xdr:colOff>
      <xdr:row>11</xdr:row>
      <xdr:rowOff>95250</xdr:rowOff>
    </xdr:from>
    <xdr:to>
      <xdr:col>4</xdr:col>
      <xdr:colOff>1516380</xdr:colOff>
      <xdr:row>13</xdr:row>
      <xdr:rowOff>123825</xdr:rowOff>
    </xdr:to>
    <xdr:sp macro="" textlink="">
      <xdr:nvSpPr>
        <xdr:cNvPr id="66" name="Rectangle 51">
          <a:extLst>
            <a:ext uri="{FF2B5EF4-FFF2-40B4-BE49-F238E27FC236}">
              <a16:creationId xmlns:a16="http://schemas.microsoft.com/office/drawing/2014/main" id="{00000000-0008-0000-1200-000042000000}"/>
            </a:ext>
          </a:extLst>
        </xdr:cNvPr>
        <xdr:cNvSpPr>
          <a:spLocks noChangeArrowheads="1"/>
        </xdr:cNvSpPr>
      </xdr:nvSpPr>
      <xdr:spPr bwMode="auto">
        <a:xfrm>
          <a:off x="3345180" y="196215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2859405</xdr:colOff>
      <xdr:row>10</xdr:row>
      <xdr:rowOff>66675</xdr:rowOff>
    </xdr:from>
    <xdr:to>
      <xdr:col>4</xdr:col>
      <xdr:colOff>2887980</xdr:colOff>
      <xdr:row>12</xdr:row>
      <xdr:rowOff>95250</xdr:rowOff>
    </xdr:to>
    <xdr:sp macro="" textlink="">
      <xdr:nvSpPr>
        <xdr:cNvPr id="69" name="Rectangle 61">
          <a:extLst>
            <a:ext uri="{FF2B5EF4-FFF2-40B4-BE49-F238E27FC236}">
              <a16:creationId xmlns:a16="http://schemas.microsoft.com/office/drawing/2014/main" id="{00000000-0008-0000-1200-000045000000}"/>
            </a:ext>
          </a:extLst>
        </xdr:cNvPr>
        <xdr:cNvSpPr>
          <a:spLocks noChangeArrowheads="1"/>
        </xdr:cNvSpPr>
      </xdr:nvSpPr>
      <xdr:spPr bwMode="auto">
        <a:xfrm>
          <a:off x="4716780" y="177165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2707005</xdr:colOff>
      <xdr:row>15</xdr:row>
      <xdr:rowOff>38100</xdr:rowOff>
    </xdr:from>
    <xdr:to>
      <xdr:col>4</xdr:col>
      <xdr:colOff>2735580</xdr:colOff>
      <xdr:row>17</xdr:row>
      <xdr:rowOff>66675</xdr:rowOff>
    </xdr:to>
    <xdr:sp macro="" textlink="">
      <xdr:nvSpPr>
        <xdr:cNvPr id="72" name="Rectangle 71">
          <a:extLst>
            <a:ext uri="{FF2B5EF4-FFF2-40B4-BE49-F238E27FC236}">
              <a16:creationId xmlns:a16="http://schemas.microsoft.com/office/drawing/2014/main" id="{00000000-0008-0000-1200-000048000000}"/>
            </a:ext>
          </a:extLst>
        </xdr:cNvPr>
        <xdr:cNvSpPr>
          <a:spLocks noChangeArrowheads="1"/>
        </xdr:cNvSpPr>
      </xdr:nvSpPr>
      <xdr:spPr bwMode="auto">
        <a:xfrm>
          <a:off x="4564380" y="25527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2097405</xdr:colOff>
      <xdr:row>18</xdr:row>
      <xdr:rowOff>125730</xdr:rowOff>
    </xdr:from>
    <xdr:to>
      <xdr:col>4</xdr:col>
      <xdr:colOff>2125980</xdr:colOff>
      <xdr:row>20</xdr:row>
      <xdr:rowOff>154305</xdr:rowOff>
    </xdr:to>
    <xdr:sp macro="" textlink="">
      <xdr:nvSpPr>
        <xdr:cNvPr id="75" name="Rectangle 81">
          <a:extLst>
            <a:ext uri="{FF2B5EF4-FFF2-40B4-BE49-F238E27FC236}">
              <a16:creationId xmlns:a16="http://schemas.microsoft.com/office/drawing/2014/main" id="{00000000-0008-0000-1200-00004B000000}"/>
            </a:ext>
          </a:extLst>
        </xdr:cNvPr>
        <xdr:cNvSpPr>
          <a:spLocks noChangeArrowheads="1"/>
        </xdr:cNvSpPr>
      </xdr:nvSpPr>
      <xdr:spPr bwMode="auto">
        <a:xfrm>
          <a:off x="3954780" y="312610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249555</xdr:colOff>
      <xdr:row>9</xdr:row>
      <xdr:rowOff>9525</xdr:rowOff>
    </xdr:from>
    <xdr:to>
      <xdr:col>4</xdr:col>
      <xdr:colOff>485775</xdr:colOff>
      <xdr:row>10</xdr:row>
      <xdr:rowOff>54075</xdr:rowOff>
    </xdr:to>
    <xdr:sp macro="" textlink="'Data 3'!F70">
      <xdr:nvSpPr>
        <xdr:cNvPr id="100" name="Text Box 45">
          <a:extLst>
            <a:ext uri="{FF2B5EF4-FFF2-40B4-BE49-F238E27FC236}">
              <a16:creationId xmlns:a16="http://schemas.microsoft.com/office/drawing/2014/main" id="{00000000-0008-0000-1200-000064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116455" y="1552575"/>
          <a:ext cx="236220" cy="206475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F7F4F971-DEA8-4716-8C9B-4D424A1CDFE2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82,9%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573405</xdr:colOff>
      <xdr:row>8</xdr:row>
      <xdr:rowOff>142876</xdr:rowOff>
    </xdr:from>
    <xdr:to>
      <xdr:col>4</xdr:col>
      <xdr:colOff>828675</xdr:colOff>
      <xdr:row>10</xdr:row>
      <xdr:rowOff>35926</xdr:rowOff>
    </xdr:to>
    <xdr:sp macro="" textlink="'Data 3'!H70">
      <xdr:nvSpPr>
        <xdr:cNvPr id="103" name="Text Box 49">
          <a:extLst>
            <a:ext uri="{FF2B5EF4-FFF2-40B4-BE49-F238E27FC236}">
              <a16:creationId xmlns:a16="http://schemas.microsoft.com/office/drawing/2014/main" id="{00000000-0008-0000-1200-000067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440305" y="1524001"/>
          <a:ext cx="255270" cy="216900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B5FEBE96-A646-4C6F-A3A0-BA76EB9748AC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98,1%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890905</xdr:colOff>
      <xdr:row>9</xdr:row>
      <xdr:rowOff>9525</xdr:rowOff>
    </xdr:from>
    <xdr:to>
      <xdr:col>4</xdr:col>
      <xdr:colOff>1152525</xdr:colOff>
      <xdr:row>10</xdr:row>
      <xdr:rowOff>38101</xdr:rowOff>
    </xdr:to>
    <xdr:sp macro="" textlink="'Data 3'!J70">
      <xdr:nvSpPr>
        <xdr:cNvPr id="104" name="Text Box 109">
          <a:extLst>
            <a:ext uri="{FF2B5EF4-FFF2-40B4-BE49-F238E27FC236}">
              <a16:creationId xmlns:a16="http://schemas.microsoft.com/office/drawing/2014/main" id="{00000000-0008-0000-1200-000068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757805" y="1552575"/>
          <a:ext cx="261620" cy="190501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2505EADB-DBBC-4D23-88BC-B2048BC480EB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86,9%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230505</xdr:colOff>
      <xdr:row>7</xdr:row>
      <xdr:rowOff>57150</xdr:rowOff>
    </xdr:from>
    <xdr:to>
      <xdr:col>4</xdr:col>
      <xdr:colOff>554355</xdr:colOff>
      <xdr:row>8</xdr:row>
      <xdr:rowOff>95250</xdr:rowOff>
    </xdr:to>
    <xdr:sp macro="" textlink="'Data 3'!G70">
      <xdr:nvSpPr>
        <xdr:cNvPr id="105" name="Texto 239">
          <a:extLst>
            <a:ext uri="{FF2B5EF4-FFF2-40B4-BE49-F238E27FC236}">
              <a16:creationId xmlns:a16="http://schemas.microsoft.com/office/drawing/2014/main" id="{00000000-0008-0000-1200-000069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087880" y="127635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024E62CA-E3B0-4332-8273-CBE9A2EA6ABC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2.111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558018</xdr:colOff>
      <xdr:row>7</xdr:row>
      <xdr:rowOff>45427</xdr:rowOff>
    </xdr:from>
    <xdr:to>
      <xdr:col>4</xdr:col>
      <xdr:colOff>881868</xdr:colOff>
      <xdr:row>8</xdr:row>
      <xdr:rowOff>83527</xdr:rowOff>
    </xdr:to>
    <xdr:sp macro="" textlink="'Data 3'!I70">
      <xdr:nvSpPr>
        <xdr:cNvPr id="106" name="Texto 239">
          <a:extLst>
            <a:ext uri="{FF2B5EF4-FFF2-40B4-BE49-F238E27FC236}">
              <a16:creationId xmlns:a16="http://schemas.microsoft.com/office/drawing/2014/main" id="{00000000-0008-0000-1200-00006A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415393" y="1264627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58B3F277-6782-4ED2-BE5A-4EF20380975E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893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881430</xdr:colOff>
      <xdr:row>7</xdr:row>
      <xdr:rowOff>41031</xdr:rowOff>
    </xdr:from>
    <xdr:to>
      <xdr:col>4</xdr:col>
      <xdr:colOff>1205280</xdr:colOff>
      <xdr:row>8</xdr:row>
      <xdr:rowOff>79131</xdr:rowOff>
    </xdr:to>
    <xdr:sp macro="" textlink="'Data 3'!K70">
      <xdr:nvSpPr>
        <xdr:cNvPr id="107" name="Texto 239">
          <a:extLst>
            <a:ext uri="{FF2B5EF4-FFF2-40B4-BE49-F238E27FC236}">
              <a16:creationId xmlns:a16="http://schemas.microsoft.com/office/drawing/2014/main" id="{00000000-0008-0000-1200-00006B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738805" y="1260231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541D0F1C-F015-4865-AF97-225A7EDCCE1A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3.004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1487805</xdr:colOff>
      <xdr:row>7</xdr:row>
      <xdr:rowOff>114300</xdr:rowOff>
    </xdr:from>
    <xdr:to>
      <xdr:col>4</xdr:col>
      <xdr:colOff>1811655</xdr:colOff>
      <xdr:row>8</xdr:row>
      <xdr:rowOff>152400</xdr:rowOff>
    </xdr:to>
    <xdr:sp macro="" textlink="'Data 3'!E70">
      <xdr:nvSpPr>
        <xdr:cNvPr id="108" name="Texto 239">
          <a:extLst>
            <a:ext uri="{FF2B5EF4-FFF2-40B4-BE49-F238E27FC236}">
              <a16:creationId xmlns:a16="http://schemas.microsoft.com/office/drawing/2014/main" id="{00000000-0008-0000-1200-00006C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45180" y="133350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37AA9071-48BF-4505-8727-2AC73EFF86EF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5.253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1714500</xdr:colOff>
      <xdr:row>7</xdr:row>
      <xdr:rowOff>85725</xdr:rowOff>
    </xdr:from>
    <xdr:ext cx="390525" cy="180975"/>
    <xdr:sp macro="" textlink="">
      <xdr:nvSpPr>
        <xdr:cNvPr id="110" name="CuadroTexto 109">
          <a:extLst>
            <a:ext uri="{FF2B5EF4-FFF2-40B4-BE49-F238E27FC236}">
              <a16:creationId xmlns:a16="http://schemas.microsoft.com/office/drawing/2014/main" id="{00000000-0008-0000-1200-00006E000000}"/>
            </a:ext>
          </a:extLst>
        </xdr:cNvPr>
        <xdr:cNvSpPr txBox="1"/>
      </xdr:nvSpPr>
      <xdr:spPr>
        <a:xfrm>
          <a:off x="3571875" y="1304925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twoCellAnchor>
    <xdr:from>
      <xdr:col>4</xdr:col>
      <xdr:colOff>914400</xdr:colOff>
      <xdr:row>12</xdr:row>
      <xdr:rowOff>66675</xdr:rowOff>
    </xdr:from>
    <xdr:to>
      <xdr:col>4</xdr:col>
      <xdr:colOff>1166400</xdr:colOff>
      <xdr:row>13</xdr:row>
      <xdr:rowOff>112790</xdr:rowOff>
    </xdr:to>
    <xdr:sp macro="" textlink="'Data 3'!F71">
      <xdr:nvSpPr>
        <xdr:cNvPr id="111" name="Text Box 99">
          <a:extLst>
            <a:ext uri="{FF2B5EF4-FFF2-40B4-BE49-F238E27FC236}">
              <a16:creationId xmlns:a16="http://schemas.microsoft.com/office/drawing/2014/main" id="{00000000-0008-0000-1200-00006F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781300" y="2095500"/>
          <a:ext cx="252000" cy="208040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0230AC9F-2FA0-4E85-A16B-3091EC8D354A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81,6%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1228725</xdr:colOff>
      <xdr:row>12</xdr:row>
      <xdr:rowOff>38100</xdr:rowOff>
    </xdr:from>
    <xdr:to>
      <xdr:col>4</xdr:col>
      <xdr:colOff>1466850</xdr:colOff>
      <xdr:row>13</xdr:row>
      <xdr:rowOff>115913</xdr:rowOff>
    </xdr:to>
    <xdr:sp macro="" textlink="'Data 3'!H71">
      <xdr:nvSpPr>
        <xdr:cNvPr id="112" name="Text Box 104">
          <a:extLst>
            <a:ext uri="{FF2B5EF4-FFF2-40B4-BE49-F238E27FC236}">
              <a16:creationId xmlns:a16="http://schemas.microsoft.com/office/drawing/2014/main" id="{00000000-0008-0000-1200-000070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095625" y="2066925"/>
          <a:ext cx="238125" cy="239738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E768463A-88C4-4CE3-BD6E-8E68FB2741F3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90,0%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1543050</xdr:colOff>
      <xdr:row>12</xdr:row>
      <xdr:rowOff>76200</xdr:rowOff>
    </xdr:from>
    <xdr:to>
      <xdr:col>4</xdr:col>
      <xdr:colOff>1795050</xdr:colOff>
      <xdr:row>13</xdr:row>
      <xdr:rowOff>102374</xdr:rowOff>
    </xdr:to>
    <xdr:sp macro="" textlink="'Data 3'!J71">
      <xdr:nvSpPr>
        <xdr:cNvPr id="113" name="Text Box 109">
          <a:extLst>
            <a:ext uri="{FF2B5EF4-FFF2-40B4-BE49-F238E27FC236}">
              <a16:creationId xmlns:a16="http://schemas.microsoft.com/office/drawing/2014/main" id="{00000000-0008-0000-1200-000071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409950" y="2105025"/>
          <a:ext cx="252000" cy="188099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2191A7EB-3DC3-456D-8743-462A9276EE51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87,0%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1230630</xdr:colOff>
      <xdr:row>9</xdr:row>
      <xdr:rowOff>107950</xdr:rowOff>
    </xdr:from>
    <xdr:ext cx="314830" cy="141001"/>
    <xdr:sp macro="" textlink="">
      <xdr:nvSpPr>
        <xdr:cNvPr id="114" name="Texto 13">
          <a:extLst>
            <a:ext uri="{FF2B5EF4-FFF2-40B4-BE49-F238E27FC236}">
              <a16:creationId xmlns:a16="http://schemas.microsoft.com/office/drawing/2014/main" id="{00000000-0008-0000-1200-000072000000}"/>
            </a:ext>
          </a:extLst>
        </xdr:cNvPr>
        <xdr:cNvSpPr txBox="1">
          <a:spLocks noChangeArrowheads="1"/>
        </xdr:cNvSpPr>
      </xdr:nvSpPr>
      <xdr:spPr bwMode="auto">
        <a:xfrm>
          <a:off x="3088005" y="1651000"/>
          <a:ext cx="314830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Duero</a:t>
          </a:r>
        </a:p>
      </xdr:txBody>
    </xdr:sp>
    <xdr:clientData/>
  </xdr:oneCellAnchor>
  <xdr:twoCellAnchor>
    <xdr:from>
      <xdr:col>4</xdr:col>
      <xdr:colOff>1571625</xdr:colOff>
      <xdr:row>9</xdr:row>
      <xdr:rowOff>123825</xdr:rowOff>
    </xdr:from>
    <xdr:to>
      <xdr:col>4</xdr:col>
      <xdr:colOff>1895475</xdr:colOff>
      <xdr:row>11</xdr:row>
      <xdr:rowOff>0</xdr:rowOff>
    </xdr:to>
    <xdr:sp macro="" textlink="'Data 3'!E71">
      <xdr:nvSpPr>
        <xdr:cNvPr id="115" name="Texto 239">
          <a:extLst>
            <a:ext uri="{FF2B5EF4-FFF2-40B4-BE49-F238E27FC236}">
              <a16:creationId xmlns:a16="http://schemas.microsoft.com/office/drawing/2014/main" id="{00000000-0008-0000-1200-000073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429000" y="166687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F64F5CE4-FB93-4442-A501-582E45EE40C3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4.078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1800224</xdr:colOff>
      <xdr:row>9</xdr:row>
      <xdr:rowOff>95250</xdr:rowOff>
    </xdr:from>
    <xdr:ext cx="390525" cy="180975"/>
    <xdr:sp macro="" textlink="">
      <xdr:nvSpPr>
        <xdr:cNvPr id="116" name="CuadroTexto 115">
          <a:extLst>
            <a:ext uri="{FF2B5EF4-FFF2-40B4-BE49-F238E27FC236}">
              <a16:creationId xmlns:a16="http://schemas.microsoft.com/office/drawing/2014/main" id="{00000000-0008-0000-1200-000074000000}"/>
            </a:ext>
          </a:extLst>
        </xdr:cNvPr>
        <xdr:cNvSpPr txBox="1"/>
      </xdr:nvSpPr>
      <xdr:spPr>
        <a:xfrm>
          <a:off x="3657599" y="1638300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twoCellAnchor>
    <xdr:from>
      <xdr:col>4</xdr:col>
      <xdr:colOff>866775</xdr:colOff>
      <xdr:row>11</xdr:row>
      <xdr:rowOff>28575</xdr:rowOff>
    </xdr:from>
    <xdr:to>
      <xdr:col>4</xdr:col>
      <xdr:colOff>1190625</xdr:colOff>
      <xdr:row>11</xdr:row>
      <xdr:rowOff>152400</xdr:rowOff>
    </xdr:to>
    <xdr:sp macro="" textlink="'Data 3'!G71">
      <xdr:nvSpPr>
        <xdr:cNvPr id="117" name="Texto 239">
          <a:extLst>
            <a:ext uri="{FF2B5EF4-FFF2-40B4-BE49-F238E27FC236}">
              <a16:creationId xmlns:a16="http://schemas.microsoft.com/office/drawing/2014/main" id="{00000000-0008-0000-1200-000075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724150" y="1895475"/>
          <a:ext cx="323850" cy="1238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F659F481-CAFA-406E-A70B-1E6C8CF70DD4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1.372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1209675</xdr:colOff>
      <xdr:row>11</xdr:row>
      <xdr:rowOff>28575</xdr:rowOff>
    </xdr:from>
    <xdr:to>
      <xdr:col>4</xdr:col>
      <xdr:colOff>1533525</xdr:colOff>
      <xdr:row>12</xdr:row>
      <xdr:rowOff>68580</xdr:rowOff>
    </xdr:to>
    <xdr:sp macro="" textlink="'Data 3'!I71">
      <xdr:nvSpPr>
        <xdr:cNvPr id="118" name="Texto 239">
          <a:extLst>
            <a:ext uri="{FF2B5EF4-FFF2-40B4-BE49-F238E27FC236}">
              <a16:creationId xmlns:a16="http://schemas.microsoft.com/office/drawing/2014/main" id="{00000000-0008-0000-1200-000076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067050" y="1895475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94138D50-6D4D-456E-AA82-1CB80A319DEF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2.807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1533525</xdr:colOff>
      <xdr:row>11</xdr:row>
      <xdr:rowOff>38100</xdr:rowOff>
    </xdr:from>
    <xdr:to>
      <xdr:col>4</xdr:col>
      <xdr:colOff>1857375</xdr:colOff>
      <xdr:row>12</xdr:row>
      <xdr:rowOff>9525</xdr:rowOff>
    </xdr:to>
    <xdr:sp macro="" textlink="'Data 3'!K71">
      <xdr:nvSpPr>
        <xdr:cNvPr id="119" name="Texto 239">
          <a:extLst>
            <a:ext uri="{FF2B5EF4-FFF2-40B4-BE49-F238E27FC236}">
              <a16:creationId xmlns:a16="http://schemas.microsoft.com/office/drawing/2014/main" id="{00000000-0008-0000-1200-000077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90900" y="1905000"/>
          <a:ext cx="323850" cy="1333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37E9E32E-8816-4613-A25C-1AD1886713B6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4.179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2268855</xdr:colOff>
      <xdr:row>8</xdr:row>
      <xdr:rowOff>146050</xdr:rowOff>
    </xdr:from>
    <xdr:ext cx="634084" cy="141001"/>
    <xdr:sp macro="" textlink="">
      <xdr:nvSpPr>
        <xdr:cNvPr id="120" name="Texto 12">
          <a:extLst>
            <a:ext uri="{FF2B5EF4-FFF2-40B4-BE49-F238E27FC236}">
              <a16:creationId xmlns:a16="http://schemas.microsoft.com/office/drawing/2014/main" id="{00000000-0008-0000-1200-000078000000}"/>
            </a:ext>
          </a:extLst>
        </xdr:cNvPr>
        <xdr:cNvSpPr txBox="1">
          <a:spLocks noChangeArrowheads="1"/>
        </xdr:cNvSpPr>
      </xdr:nvSpPr>
      <xdr:spPr bwMode="auto">
        <a:xfrm>
          <a:off x="4126230" y="1527175"/>
          <a:ext cx="634084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Ebro-Pirineo</a:t>
          </a:r>
        </a:p>
      </xdr:txBody>
    </xdr:sp>
    <xdr:clientData/>
  </xdr:oneCellAnchor>
  <xdr:twoCellAnchor>
    <xdr:from>
      <xdr:col>4</xdr:col>
      <xdr:colOff>2268855</xdr:colOff>
      <xdr:row>9</xdr:row>
      <xdr:rowOff>133350</xdr:rowOff>
    </xdr:from>
    <xdr:to>
      <xdr:col>4</xdr:col>
      <xdr:colOff>2592705</xdr:colOff>
      <xdr:row>11</xdr:row>
      <xdr:rowOff>11430</xdr:rowOff>
    </xdr:to>
    <xdr:sp macro="" textlink="'Data 3'!G75">
      <xdr:nvSpPr>
        <xdr:cNvPr id="121" name="Texto 239">
          <a:extLst>
            <a:ext uri="{FF2B5EF4-FFF2-40B4-BE49-F238E27FC236}">
              <a16:creationId xmlns:a16="http://schemas.microsoft.com/office/drawing/2014/main" id="{00000000-0008-0000-1200-000079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126230" y="1676400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1C5F8DF9-2133-48CF-9332-9B4715C6F876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1.432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2287905</xdr:colOff>
      <xdr:row>11</xdr:row>
      <xdr:rowOff>47625</xdr:rowOff>
    </xdr:from>
    <xdr:to>
      <xdr:col>4</xdr:col>
      <xdr:colOff>2539905</xdr:colOff>
      <xdr:row>12</xdr:row>
      <xdr:rowOff>94078</xdr:rowOff>
    </xdr:to>
    <xdr:sp macro="" textlink="'Data 3'!F75">
      <xdr:nvSpPr>
        <xdr:cNvPr id="122" name="Text Box 54">
          <a:extLst>
            <a:ext uri="{FF2B5EF4-FFF2-40B4-BE49-F238E27FC236}">
              <a16:creationId xmlns:a16="http://schemas.microsoft.com/office/drawing/2014/main" id="{00000000-0008-0000-1200-00007A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145280" y="1914525"/>
          <a:ext cx="252000" cy="208378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1F355F00-28C4-4553-AC45-68C0E55801F8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67,1%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2611755</xdr:colOff>
      <xdr:row>9</xdr:row>
      <xdr:rowOff>142875</xdr:rowOff>
    </xdr:from>
    <xdr:to>
      <xdr:col>4</xdr:col>
      <xdr:colOff>2935605</xdr:colOff>
      <xdr:row>11</xdr:row>
      <xdr:rowOff>20955</xdr:rowOff>
    </xdr:to>
    <xdr:sp macro="" textlink="'Data 3'!I75">
      <xdr:nvSpPr>
        <xdr:cNvPr id="123" name="Texto 239">
          <a:extLst>
            <a:ext uri="{FF2B5EF4-FFF2-40B4-BE49-F238E27FC236}">
              <a16:creationId xmlns:a16="http://schemas.microsoft.com/office/drawing/2014/main" id="{00000000-0008-0000-1200-00007B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69130" y="1685925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D9ECE877-F43C-40EB-8C70-4C120F55E52D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100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2602230</xdr:colOff>
      <xdr:row>11</xdr:row>
      <xdr:rowOff>152400</xdr:rowOff>
    </xdr:from>
    <xdr:to>
      <xdr:col>4</xdr:col>
      <xdr:colOff>2854230</xdr:colOff>
      <xdr:row>12</xdr:row>
      <xdr:rowOff>99529</xdr:rowOff>
    </xdr:to>
    <xdr:sp macro="" textlink="'Data 3'!H75">
      <xdr:nvSpPr>
        <xdr:cNvPr id="124" name="Text Box 59">
          <a:extLst>
            <a:ext uri="{FF2B5EF4-FFF2-40B4-BE49-F238E27FC236}">
              <a16:creationId xmlns:a16="http://schemas.microsoft.com/office/drawing/2014/main" id="{00000000-0008-0000-1200-00007C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69130" y="2019300"/>
          <a:ext cx="252000" cy="109054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0F061EE1-7E59-4F0F-B059-2D91AC6419C1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40,8%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2907030</xdr:colOff>
      <xdr:row>11</xdr:row>
      <xdr:rowOff>66675</xdr:rowOff>
    </xdr:from>
    <xdr:to>
      <xdr:col>4</xdr:col>
      <xdr:colOff>3159030</xdr:colOff>
      <xdr:row>12</xdr:row>
      <xdr:rowOff>94499</xdr:rowOff>
    </xdr:to>
    <xdr:sp macro="" textlink="'Data 3'!J75">
      <xdr:nvSpPr>
        <xdr:cNvPr id="125" name="Text Box 109">
          <a:extLst>
            <a:ext uri="{FF2B5EF4-FFF2-40B4-BE49-F238E27FC236}">
              <a16:creationId xmlns:a16="http://schemas.microsoft.com/office/drawing/2014/main" id="{00000000-0008-0000-1200-00007D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764405" y="1933575"/>
          <a:ext cx="252000" cy="189749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D2E05FD4-ED3B-46C8-B73B-2431900C7F7D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64,4%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2907030</xdr:colOff>
      <xdr:row>9</xdr:row>
      <xdr:rowOff>142875</xdr:rowOff>
    </xdr:from>
    <xdr:to>
      <xdr:col>4</xdr:col>
      <xdr:colOff>3230880</xdr:colOff>
      <xdr:row>11</xdr:row>
      <xdr:rowOff>20955</xdr:rowOff>
    </xdr:to>
    <xdr:sp macro="" textlink="'Data 3'!K75">
      <xdr:nvSpPr>
        <xdr:cNvPr id="126" name="Texto 239">
          <a:extLst>
            <a:ext uri="{FF2B5EF4-FFF2-40B4-BE49-F238E27FC236}">
              <a16:creationId xmlns:a16="http://schemas.microsoft.com/office/drawing/2014/main" id="{00000000-0008-0000-1200-00007E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764405" y="1685925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C7A6D13-6ACB-41DB-9AB8-A3CDF3B0FD35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1.531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2924175</xdr:colOff>
      <xdr:row>8</xdr:row>
      <xdr:rowOff>152400</xdr:rowOff>
    </xdr:from>
    <xdr:to>
      <xdr:col>4</xdr:col>
      <xdr:colOff>3248025</xdr:colOff>
      <xdr:row>10</xdr:row>
      <xdr:rowOff>28575</xdr:rowOff>
    </xdr:to>
    <xdr:sp macro="" textlink="'Data 3'!E75">
      <xdr:nvSpPr>
        <xdr:cNvPr id="127" name="Texto 239">
          <a:extLst>
            <a:ext uri="{FF2B5EF4-FFF2-40B4-BE49-F238E27FC236}">
              <a16:creationId xmlns:a16="http://schemas.microsoft.com/office/drawing/2014/main" id="{00000000-0008-0000-1200-00007F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781550" y="15335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7E067EB-B89C-4EF4-9C69-7764B1D502C8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3.402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3124199</xdr:colOff>
      <xdr:row>8</xdr:row>
      <xdr:rowOff>123825</xdr:rowOff>
    </xdr:from>
    <xdr:ext cx="390525" cy="180975"/>
    <xdr:sp macro="" textlink="">
      <xdr:nvSpPr>
        <xdr:cNvPr id="128" name="CuadroTexto 127">
          <a:extLst>
            <a:ext uri="{FF2B5EF4-FFF2-40B4-BE49-F238E27FC236}">
              <a16:creationId xmlns:a16="http://schemas.microsoft.com/office/drawing/2014/main" id="{00000000-0008-0000-1200-000080000000}"/>
            </a:ext>
          </a:extLst>
        </xdr:cNvPr>
        <xdr:cNvSpPr txBox="1"/>
      </xdr:nvSpPr>
      <xdr:spPr>
        <a:xfrm>
          <a:off x="4981574" y="1504950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oneCellAnchor>
    <xdr:from>
      <xdr:col>4</xdr:col>
      <xdr:colOff>1695450</xdr:colOff>
      <xdr:row>13</xdr:row>
      <xdr:rowOff>95250</xdr:rowOff>
    </xdr:from>
    <xdr:ext cx="919291" cy="141001"/>
    <xdr:sp macro="" textlink="">
      <xdr:nvSpPr>
        <xdr:cNvPr id="129" name="Texto 15">
          <a:extLst>
            <a:ext uri="{FF2B5EF4-FFF2-40B4-BE49-F238E27FC236}">
              <a16:creationId xmlns:a16="http://schemas.microsoft.com/office/drawing/2014/main" id="{00000000-0008-0000-1200-000081000000}"/>
            </a:ext>
          </a:extLst>
        </xdr:cNvPr>
        <xdr:cNvSpPr txBox="1">
          <a:spLocks noChangeArrowheads="1"/>
        </xdr:cNvSpPr>
      </xdr:nvSpPr>
      <xdr:spPr bwMode="auto">
        <a:xfrm>
          <a:off x="3552825" y="2286000"/>
          <a:ext cx="919291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Tajo-Júcar-Segura</a:t>
          </a:r>
        </a:p>
      </xdr:txBody>
    </xdr:sp>
    <xdr:clientData/>
  </xdr:oneCellAnchor>
  <xdr:twoCellAnchor>
    <xdr:from>
      <xdr:col>4</xdr:col>
      <xdr:colOff>2095500</xdr:colOff>
      <xdr:row>14</xdr:row>
      <xdr:rowOff>59055</xdr:rowOff>
    </xdr:from>
    <xdr:to>
      <xdr:col>4</xdr:col>
      <xdr:colOff>2419350</xdr:colOff>
      <xdr:row>15</xdr:row>
      <xdr:rowOff>95250</xdr:rowOff>
    </xdr:to>
    <xdr:sp macro="" textlink="'Data 3'!G72">
      <xdr:nvSpPr>
        <xdr:cNvPr id="130" name="Texto 239">
          <a:extLst>
            <a:ext uri="{FF2B5EF4-FFF2-40B4-BE49-F238E27FC236}">
              <a16:creationId xmlns:a16="http://schemas.microsoft.com/office/drawing/2014/main" id="{00000000-0008-0000-1200-000082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952875" y="241173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BD11311A-426B-4AF3-ACC4-254C125A399C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1.919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2130425</xdr:colOff>
      <xdr:row>16</xdr:row>
      <xdr:rowOff>9525</xdr:rowOff>
    </xdr:from>
    <xdr:to>
      <xdr:col>4</xdr:col>
      <xdr:colOff>2390775</xdr:colOff>
      <xdr:row>17</xdr:row>
      <xdr:rowOff>54481</xdr:rowOff>
    </xdr:to>
    <xdr:sp macro="" textlink="'Data 3'!F72">
      <xdr:nvSpPr>
        <xdr:cNvPr id="131" name="Text Box 64">
          <a:extLst>
            <a:ext uri="{FF2B5EF4-FFF2-40B4-BE49-F238E27FC236}">
              <a16:creationId xmlns:a16="http://schemas.microsoft.com/office/drawing/2014/main" id="{00000000-0008-0000-1200-000083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997325" y="2686050"/>
          <a:ext cx="260350" cy="206881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56DAB6D6-D288-4AC0-B1A4-A695A8EB14D6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79,1%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2400300</xdr:colOff>
      <xdr:row>14</xdr:row>
      <xdr:rowOff>59055</xdr:rowOff>
    </xdr:from>
    <xdr:to>
      <xdr:col>4</xdr:col>
      <xdr:colOff>2724150</xdr:colOff>
      <xdr:row>15</xdr:row>
      <xdr:rowOff>95250</xdr:rowOff>
    </xdr:to>
    <xdr:sp macro="" textlink="'Data 3'!I72">
      <xdr:nvSpPr>
        <xdr:cNvPr id="132" name="Texto 239">
          <a:extLst>
            <a:ext uri="{FF2B5EF4-FFF2-40B4-BE49-F238E27FC236}">
              <a16:creationId xmlns:a16="http://schemas.microsoft.com/office/drawing/2014/main" id="{00000000-0008-0000-1200-000084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257675" y="241173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565A23C5-47D3-45F1-A9F7-FB14A2625FC2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1.926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2428128</xdr:colOff>
      <xdr:row>16</xdr:row>
      <xdr:rowOff>99582</xdr:rowOff>
    </xdr:from>
    <xdr:to>
      <xdr:col>4</xdr:col>
      <xdr:colOff>2680128</xdr:colOff>
      <xdr:row>17</xdr:row>
      <xdr:rowOff>60057</xdr:rowOff>
    </xdr:to>
    <xdr:sp macro="" textlink="'Data 3'!H72">
      <xdr:nvSpPr>
        <xdr:cNvPr id="133" name="Text Box 146">
          <a:extLst>
            <a:ext uri="{FF2B5EF4-FFF2-40B4-BE49-F238E27FC236}">
              <a16:creationId xmlns:a16="http://schemas.microsoft.com/office/drawing/2014/main" id="{00000000-0008-0000-1200-000085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285503" y="2776107"/>
          <a:ext cx="252000" cy="122400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4788C926-F91C-4216-8A60-050FB74006C0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50,8%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2733676</xdr:colOff>
      <xdr:row>16</xdr:row>
      <xdr:rowOff>38100</xdr:rowOff>
    </xdr:from>
    <xdr:to>
      <xdr:col>4</xdr:col>
      <xdr:colOff>2990850</xdr:colOff>
      <xdr:row>17</xdr:row>
      <xdr:rowOff>58275</xdr:rowOff>
    </xdr:to>
    <xdr:sp macro="" textlink="'Data 3'!J72">
      <xdr:nvSpPr>
        <xdr:cNvPr id="134" name="Text Box 109">
          <a:extLst>
            <a:ext uri="{FF2B5EF4-FFF2-40B4-BE49-F238E27FC236}">
              <a16:creationId xmlns:a16="http://schemas.microsoft.com/office/drawing/2014/main" id="{00000000-0008-0000-1200-000086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600576" y="2714625"/>
          <a:ext cx="257174" cy="182100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C7EA7E31-4F2C-426E-9195-BA79B9147EC8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61,8%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2695575</xdr:colOff>
      <xdr:row>14</xdr:row>
      <xdr:rowOff>66675</xdr:rowOff>
    </xdr:from>
    <xdr:to>
      <xdr:col>4</xdr:col>
      <xdr:colOff>3019425</xdr:colOff>
      <xdr:row>15</xdr:row>
      <xdr:rowOff>102870</xdr:rowOff>
    </xdr:to>
    <xdr:sp macro="" textlink="'Data 3'!K72">
      <xdr:nvSpPr>
        <xdr:cNvPr id="135" name="Texto 239">
          <a:extLst>
            <a:ext uri="{FF2B5EF4-FFF2-40B4-BE49-F238E27FC236}">
              <a16:creationId xmlns:a16="http://schemas.microsoft.com/office/drawing/2014/main" id="{00000000-0008-0000-1200-000087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552950" y="241935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E7F4DF55-3A5A-4641-A661-55998146D920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3.844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2607945</xdr:colOff>
      <xdr:row>13</xdr:row>
      <xdr:rowOff>104775</xdr:rowOff>
    </xdr:from>
    <xdr:to>
      <xdr:col>4</xdr:col>
      <xdr:colOff>2931795</xdr:colOff>
      <xdr:row>14</xdr:row>
      <xdr:rowOff>142875</xdr:rowOff>
    </xdr:to>
    <xdr:sp macro="" textlink="'Data 3'!E72">
      <xdr:nvSpPr>
        <xdr:cNvPr id="136" name="Texto 239">
          <a:extLst>
            <a:ext uri="{FF2B5EF4-FFF2-40B4-BE49-F238E27FC236}">
              <a16:creationId xmlns:a16="http://schemas.microsoft.com/office/drawing/2014/main" id="{00000000-0008-0000-1200-000088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65320" y="22955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615A5557-7004-49F0-BA2F-D616577BF6EB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3.558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2827019</xdr:colOff>
      <xdr:row>13</xdr:row>
      <xdr:rowOff>76200</xdr:rowOff>
    </xdr:from>
    <xdr:ext cx="390525" cy="180975"/>
    <xdr:sp macro="" textlink="">
      <xdr:nvSpPr>
        <xdr:cNvPr id="137" name="CuadroTexto 136">
          <a:extLst>
            <a:ext uri="{FF2B5EF4-FFF2-40B4-BE49-F238E27FC236}">
              <a16:creationId xmlns:a16="http://schemas.microsoft.com/office/drawing/2014/main" id="{00000000-0008-0000-1200-000089000000}"/>
            </a:ext>
          </a:extLst>
        </xdr:cNvPr>
        <xdr:cNvSpPr txBox="1"/>
      </xdr:nvSpPr>
      <xdr:spPr>
        <a:xfrm>
          <a:off x="4684394" y="2266950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twoCellAnchor>
    <xdr:from>
      <xdr:col>4</xdr:col>
      <xdr:colOff>838200</xdr:colOff>
      <xdr:row>17</xdr:row>
      <xdr:rowOff>142875</xdr:rowOff>
    </xdr:from>
    <xdr:to>
      <xdr:col>4</xdr:col>
      <xdr:colOff>1162050</xdr:colOff>
      <xdr:row>19</xdr:row>
      <xdr:rowOff>20955</xdr:rowOff>
    </xdr:to>
    <xdr:sp macro="" textlink="'Data 3'!I73">
      <xdr:nvSpPr>
        <xdr:cNvPr id="138" name="Texto 239">
          <a:extLst>
            <a:ext uri="{FF2B5EF4-FFF2-40B4-BE49-F238E27FC236}">
              <a16:creationId xmlns:a16="http://schemas.microsoft.com/office/drawing/2014/main" id="{00000000-0008-0000-1200-00008A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695575" y="2981325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1DD7AED1-04AC-494D-826C-2A6C99D30FCD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218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857249</xdr:colOff>
      <xdr:row>19</xdr:row>
      <xdr:rowOff>133350</xdr:rowOff>
    </xdr:from>
    <xdr:to>
      <xdr:col>4</xdr:col>
      <xdr:colOff>1114424</xdr:colOff>
      <xdr:row>20</xdr:row>
      <xdr:rowOff>83055</xdr:rowOff>
    </xdr:to>
    <xdr:sp macro="" textlink="'Data 3'!H73">
      <xdr:nvSpPr>
        <xdr:cNvPr id="139" name="Text Box 148">
          <a:extLst>
            <a:ext uri="{FF2B5EF4-FFF2-40B4-BE49-F238E27FC236}">
              <a16:creationId xmlns:a16="http://schemas.microsoft.com/office/drawing/2014/main" id="{00000000-0008-0000-1200-00008B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714624" y="3295650"/>
          <a:ext cx="257175" cy="111630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4517A98B-0B96-4427-B2FC-5119246500EA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26,1%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1398270</xdr:colOff>
      <xdr:row>17</xdr:row>
      <xdr:rowOff>38100</xdr:rowOff>
    </xdr:from>
    <xdr:to>
      <xdr:col>4</xdr:col>
      <xdr:colOff>1722120</xdr:colOff>
      <xdr:row>18</xdr:row>
      <xdr:rowOff>76200</xdr:rowOff>
    </xdr:to>
    <xdr:sp macro="" textlink="'Data 3'!E73">
      <xdr:nvSpPr>
        <xdr:cNvPr id="140" name="Texto 239">
          <a:extLst>
            <a:ext uri="{FF2B5EF4-FFF2-40B4-BE49-F238E27FC236}">
              <a16:creationId xmlns:a16="http://schemas.microsoft.com/office/drawing/2014/main" id="{00000000-0008-0000-1200-00008C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255645" y="287655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3F4B98C7-960C-4363-9392-A982F218E18C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196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1541144</xdr:colOff>
      <xdr:row>17</xdr:row>
      <xdr:rowOff>9525</xdr:rowOff>
    </xdr:from>
    <xdr:ext cx="390525" cy="180975"/>
    <xdr:sp macro="" textlink="">
      <xdr:nvSpPr>
        <xdr:cNvPr id="141" name="CuadroTexto 140">
          <a:extLst>
            <a:ext uri="{FF2B5EF4-FFF2-40B4-BE49-F238E27FC236}">
              <a16:creationId xmlns:a16="http://schemas.microsoft.com/office/drawing/2014/main" id="{00000000-0008-0000-1200-00008D000000}"/>
            </a:ext>
          </a:extLst>
        </xdr:cNvPr>
        <xdr:cNvSpPr txBox="1"/>
      </xdr:nvSpPr>
      <xdr:spPr>
        <a:xfrm>
          <a:off x="3398519" y="2847975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oneCellAnchor>
    <xdr:from>
      <xdr:col>4</xdr:col>
      <xdr:colOff>1066800</xdr:colOff>
      <xdr:row>20</xdr:row>
      <xdr:rowOff>150495</xdr:rowOff>
    </xdr:from>
    <xdr:ext cx="850810" cy="141001"/>
    <xdr:sp macro="" textlink="">
      <xdr:nvSpPr>
        <xdr:cNvPr id="142" name="Texto 16">
          <a:extLst>
            <a:ext uri="{FF2B5EF4-FFF2-40B4-BE49-F238E27FC236}">
              <a16:creationId xmlns:a16="http://schemas.microsoft.com/office/drawing/2014/main" id="{00000000-0008-0000-1200-00008E000000}"/>
            </a:ext>
          </a:extLst>
        </xdr:cNvPr>
        <xdr:cNvSpPr txBox="1">
          <a:spLocks noChangeArrowheads="1"/>
        </xdr:cNvSpPr>
      </xdr:nvSpPr>
      <xdr:spPr bwMode="auto">
        <a:xfrm>
          <a:off x="2924175" y="3474720"/>
          <a:ext cx="850810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Guadalquivir-Sur</a:t>
          </a:r>
        </a:p>
      </xdr:txBody>
    </xdr:sp>
    <xdr:clientData/>
  </xdr:oneCellAnchor>
  <xdr:twoCellAnchor>
    <xdr:from>
      <xdr:col>4</xdr:col>
      <xdr:colOff>1495425</xdr:colOff>
      <xdr:row>18</xdr:row>
      <xdr:rowOff>66675</xdr:rowOff>
    </xdr:from>
    <xdr:to>
      <xdr:col>4</xdr:col>
      <xdr:colOff>1819275</xdr:colOff>
      <xdr:row>19</xdr:row>
      <xdr:rowOff>102870</xdr:rowOff>
    </xdr:to>
    <xdr:sp macro="" textlink="'Data 3'!G74">
      <xdr:nvSpPr>
        <xdr:cNvPr id="143" name="Texto 239">
          <a:extLst>
            <a:ext uri="{FF2B5EF4-FFF2-40B4-BE49-F238E27FC236}">
              <a16:creationId xmlns:a16="http://schemas.microsoft.com/office/drawing/2014/main" id="{00000000-0008-0000-1200-00008F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52800" y="306705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B70C67CD-3619-46B4-8A9D-066BF4D0D254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126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1524000</xdr:colOff>
      <xdr:row>19</xdr:row>
      <xdr:rowOff>114300</xdr:rowOff>
    </xdr:from>
    <xdr:to>
      <xdr:col>4</xdr:col>
      <xdr:colOff>1771650</xdr:colOff>
      <xdr:row>20</xdr:row>
      <xdr:rowOff>152292</xdr:rowOff>
    </xdr:to>
    <xdr:sp macro="" textlink="'Data 3'!F74">
      <xdr:nvSpPr>
        <xdr:cNvPr id="144" name="Text Box 74">
          <a:extLst>
            <a:ext uri="{FF2B5EF4-FFF2-40B4-BE49-F238E27FC236}">
              <a16:creationId xmlns:a16="http://schemas.microsoft.com/office/drawing/2014/main" id="{00000000-0008-0000-1200-000090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90900" y="3276600"/>
          <a:ext cx="247650" cy="199917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6DD51D8C-19F0-463A-BD9E-9F3D635F44BD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69,9%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1819275</xdr:colOff>
      <xdr:row>18</xdr:row>
      <xdr:rowOff>66675</xdr:rowOff>
    </xdr:from>
    <xdr:to>
      <xdr:col>4</xdr:col>
      <xdr:colOff>2143125</xdr:colOff>
      <xdr:row>19</xdr:row>
      <xdr:rowOff>102870</xdr:rowOff>
    </xdr:to>
    <xdr:sp macro="" textlink="'Data 3'!I74">
      <xdr:nvSpPr>
        <xdr:cNvPr id="145" name="Texto 239">
          <a:extLst>
            <a:ext uri="{FF2B5EF4-FFF2-40B4-BE49-F238E27FC236}">
              <a16:creationId xmlns:a16="http://schemas.microsoft.com/office/drawing/2014/main" id="{00000000-0008-0000-1200-000091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676650" y="306705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0EE551D8-1AAF-4881-88F8-BF48B1BED67F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135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1828799</xdr:colOff>
      <xdr:row>20</xdr:row>
      <xdr:rowOff>38099</xdr:rowOff>
    </xdr:from>
    <xdr:to>
      <xdr:col>4</xdr:col>
      <xdr:colOff>2085974</xdr:colOff>
      <xdr:row>20</xdr:row>
      <xdr:rowOff>148042</xdr:rowOff>
    </xdr:to>
    <xdr:sp macro="" textlink="'Data 3'!H74">
      <xdr:nvSpPr>
        <xdr:cNvPr id="146" name="Text Box 150">
          <a:extLst>
            <a:ext uri="{FF2B5EF4-FFF2-40B4-BE49-F238E27FC236}">
              <a16:creationId xmlns:a16="http://schemas.microsoft.com/office/drawing/2014/main" id="{00000000-0008-0000-1200-000092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686174" y="3362324"/>
          <a:ext cx="257175" cy="109943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D53621CF-C52F-46C8-BFC0-521853543195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20,2%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2133599</xdr:colOff>
      <xdr:row>20</xdr:row>
      <xdr:rowOff>9525</xdr:rowOff>
    </xdr:from>
    <xdr:to>
      <xdr:col>4</xdr:col>
      <xdr:colOff>2352674</xdr:colOff>
      <xdr:row>20</xdr:row>
      <xdr:rowOff>152069</xdr:rowOff>
    </xdr:to>
    <xdr:sp macro="" textlink="'Data 3'!J74">
      <xdr:nvSpPr>
        <xdr:cNvPr id="147" name="Text Box 109">
          <a:extLst>
            <a:ext uri="{FF2B5EF4-FFF2-40B4-BE49-F238E27FC236}">
              <a16:creationId xmlns:a16="http://schemas.microsoft.com/office/drawing/2014/main" id="{00000000-0008-0000-1200-000093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990974" y="3333750"/>
          <a:ext cx="219075" cy="142544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15906CB4-426F-44CF-B8DF-25CD4721C0C5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30,7%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2133600</xdr:colOff>
      <xdr:row>18</xdr:row>
      <xdr:rowOff>74295</xdr:rowOff>
    </xdr:from>
    <xdr:to>
      <xdr:col>4</xdr:col>
      <xdr:colOff>2457450</xdr:colOff>
      <xdr:row>19</xdr:row>
      <xdr:rowOff>110490</xdr:rowOff>
    </xdr:to>
    <xdr:sp macro="" textlink="'Data 3'!K74">
      <xdr:nvSpPr>
        <xdr:cNvPr id="148" name="Texto 239">
          <a:extLst>
            <a:ext uri="{FF2B5EF4-FFF2-40B4-BE49-F238E27FC236}">
              <a16:creationId xmlns:a16="http://schemas.microsoft.com/office/drawing/2014/main" id="{00000000-0008-0000-1200-000094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990975" y="307467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1381EF54-4646-4EA4-A76A-A12DB98483D8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261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1931670</xdr:colOff>
      <xdr:row>20</xdr:row>
      <xdr:rowOff>160020</xdr:rowOff>
    </xdr:from>
    <xdr:to>
      <xdr:col>4</xdr:col>
      <xdr:colOff>2255520</xdr:colOff>
      <xdr:row>22</xdr:row>
      <xdr:rowOff>36195</xdr:rowOff>
    </xdr:to>
    <xdr:sp macro="" textlink="'Data 3'!E74">
      <xdr:nvSpPr>
        <xdr:cNvPr id="149" name="Texto 239">
          <a:extLst>
            <a:ext uri="{FF2B5EF4-FFF2-40B4-BE49-F238E27FC236}">
              <a16:creationId xmlns:a16="http://schemas.microsoft.com/office/drawing/2014/main" id="{00000000-0008-0000-1200-000095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789045" y="348424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F717042C-C776-410D-8C16-2118C2E9E134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610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2074544</xdr:colOff>
      <xdr:row>20</xdr:row>
      <xdr:rowOff>131445</xdr:rowOff>
    </xdr:from>
    <xdr:ext cx="390525" cy="180975"/>
    <xdr:sp macro="" textlink="">
      <xdr:nvSpPr>
        <xdr:cNvPr id="150" name="CuadroTexto 149">
          <a:extLst>
            <a:ext uri="{FF2B5EF4-FFF2-40B4-BE49-F238E27FC236}">
              <a16:creationId xmlns:a16="http://schemas.microsoft.com/office/drawing/2014/main" id="{00000000-0008-0000-1200-000096000000}"/>
            </a:ext>
          </a:extLst>
        </xdr:cNvPr>
        <xdr:cNvSpPr txBox="1"/>
      </xdr:nvSpPr>
      <xdr:spPr>
        <a:xfrm>
          <a:off x="3931919" y="3455670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twoCellAnchor>
    <xdr:from>
      <xdr:col>4</xdr:col>
      <xdr:colOff>3114675</xdr:colOff>
      <xdr:row>24</xdr:row>
      <xdr:rowOff>0</xdr:rowOff>
    </xdr:from>
    <xdr:to>
      <xdr:col>4</xdr:col>
      <xdr:colOff>3438525</xdr:colOff>
      <xdr:row>25</xdr:row>
      <xdr:rowOff>38100</xdr:rowOff>
    </xdr:to>
    <xdr:sp macro="" textlink="'Data 3'!I76">
      <xdr:nvSpPr>
        <xdr:cNvPr id="151" name="Texto 239">
          <a:extLst>
            <a:ext uri="{FF2B5EF4-FFF2-40B4-BE49-F238E27FC236}">
              <a16:creationId xmlns:a16="http://schemas.microsoft.com/office/drawing/2014/main" id="{00000000-0008-0000-1200-000097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972050" y="39719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8E4D65E9-BE6F-42CE-B93E-D607F70AE656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6.078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3117850</xdr:colOff>
      <xdr:row>25</xdr:row>
      <xdr:rowOff>57151</xdr:rowOff>
    </xdr:from>
    <xdr:to>
      <xdr:col>4</xdr:col>
      <xdr:colOff>3438525</xdr:colOff>
      <xdr:row>26</xdr:row>
      <xdr:rowOff>59878</xdr:rowOff>
    </xdr:to>
    <xdr:sp macro="" textlink="'Data 3'!H76">
      <xdr:nvSpPr>
        <xdr:cNvPr id="152" name="Text Box 89">
          <a:extLst>
            <a:ext uri="{FF2B5EF4-FFF2-40B4-BE49-F238E27FC236}">
              <a16:creationId xmlns:a16="http://schemas.microsoft.com/office/drawing/2014/main" id="{00000000-0008-0000-1200-000098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975225" y="4191001"/>
          <a:ext cx="320675" cy="164652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120E6653-B3A8-4266-891A-0EA7DA6CA215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63,5%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2619375</xdr:colOff>
      <xdr:row>24</xdr:row>
      <xdr:rowOff>0</xdr:rowOff>
    </xdr:from>
    <xdr:to>
      <xdr:col>4</xdr:col>
      <xdr:colOff>2943225</xdr:colOff>
      <xdr:row>25</xdr:row>
      <xdr:rowOff>38100</xdr:rowOff>
    </xdr:to>
    <xdr:sp macro="" textlink="'Data 3'!G76">
      <xdr:nvSpPr>
        <xdr:cNvPr id="153" name="Texto 239">
          <a:extLst>
            <a:ext uri="{FF2B5EF4-FFF2-40B4-BE49-F238E27FC236}">
              <a16:creationId xmlns:a16="http://schemas.microsoft.com/office/drawing/2014/main" id="{00000000-0008-0000-1200-000099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76750" y="39719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0E45811-E5B9-417D-8A8D-51FA839FF534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6.959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2628900</xdr:colOff>
      <xdr:row>25</xdr:row>
      <xdr:rowOff>19050</xdr:rowOff>
    </xdr:from>
    <xdr:to>
      <xdr:col>4</xdr:col>
      <xdr:colOff>2933700</xdr:colOff>
      <xdr:row>26</xdr:row>
      <xdr:rowOff>60012</xdr:rowOff>
    </xdr:to>
    <xdr:sp macro="" textlink="'Data 3'!F76">
      <xdr:nvSpPr>
        <xdr:cNvPr id="154" name="Text Box 94">
          <a:extLst>
            <a:ext uri="{FF2B5EF4-FFF2-40B4-BE49-F238E27FC236}">
              <a16:creationId xmlns:a16="http://schemas.microsoft.com/office/drawing/2014/main" id="{00000000-0008-0000-1200-00009A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95800" y="4152900"/>
          <a:ext cx="304800" cy="202887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F6F2914C-40EE-41CF-90E2-3DE0E348D03C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77,6%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3590925</xdr:colOff>
      <xdr:row>24</xdr:row>
      <xdr:rowOff>1</xdr:rowOff>
    </xdr:from>
    <xdr:ext cx="390525" cy="133350"/>
    <xdr:sp macro="" textlink="'Data 3'!K76">
      <xdr:nvSpPr>
        <xdr:cNvPr id="155" name="Texto 239">
          <a:extLst>
            <a:ext uri="{FF2B5EF4-FFF2-40B4-BE49-F238E27FC236}">
              <a16:creationId xmlns:a16="http://schemas.microsoft.com/office/drawing/2014/main" id="{00000000-0008-0000-1200-00009B000000}"/>
            </a:ext>
          </a:extLst>
        </xdr:cNvPr>
        <xdr:cNvSpPr txBox="1">
          <a:spLocks noChangeArrowheads="1" noTextEdit="1"/>
        </xdr:cNvSpPr>
      </xdr:nvSpPr>
      <xdr:spPr bwMode="auto">
        <a:xfrm>
          <a:off x="5448300" y="3971926"/>
          <a:ext cx="390525" cy="1333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1CB9496-D0ED-4EA6-8F77-7F4C2A48F48D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13.037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oneCellAnchor>
  <xdr:twoCellAnchor>
    <xdr:from>
      <xdr:col>4</xdr:col>
      <xdr:colOff>3594101</xdr:colOff>
      <xdr:row>25</xdr:row>
      <xdr:rowOff>28575</xdr:rowOff>
    </xdr:from>
    <xdr:to>
      <xdr:col>4</xdr:col>
      <xdr:colOff>3886201</xdr:colOff>
      <xdr:row>26</xdr:row>
      <xdr:rowOff>55057</xdr:rowOff>
    </xdr:to>
    <xdr:sp macro="" textlink="'Data 3'!J76">
      <xdr:nvSpPr>
        <xdr:cNvPr id="156" name="Text Box 109">
          <a:extLst>
            <a:ext uri="{FF2B5EF4-FFF2-40B4-BE49-F238E27FC236}">
              <a16:creationId xmlns:a16="http://schemas.microsoft.com/office/drawing/2014/main" id="{00000000-0008-0000-1200-00009C000000}"/>
            </a:ext>
          </a:extLst>
        </xdr:cNvPr>
        <xdr:cNvSpPr txBox="1">
          <a:spLocks noChangeArrowheads="1" noTextEdit="1"/>
        </xdr:cNvSpPr>
      </xdr:nvSpPr>
      <xdr:spPr bwMode="auto">
        <a:xfrm>
          <a:off x="5461001" y="4162425"/>
          <a:ext cx="292100" cy="188407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205E4F60-9C41-48C3-BBB4-19953A935F2D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70,3%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 editAs="oneCell">
    <xdr:from>
      <xdr:col>2</xdr:col>
      <xdr:colOff>38100</xdr:colOff>
      <xdr:row>1</xdr:row>
      <xdr:rowOff>114300</xdr:rowOff>
    </xdr:from>
    <xdr:to>
      <xdr:col>4</xdr:col>
      <xdr:colOff>133349</xdr:colOff>
      <xdr:row>2</xdr:row>
      <xdr:rowOff>65399</xdr:rowOff>
    </xdr:to>
    <xdr:pic>
      <xdr:nvPicPr>
        <xdr:cNvPr id="90" name="Imagen 89">
          <a:extLst>
            <a:ext uri="{FF2B5EF4-FFF2-40B4-BE49-F238E27FC236}">
              <a16:creationId xmlns:a16="http://schemas.microsoft.com/office/drawing/2014/main" id="{BB2EB66F-23DB-4AA1-8343-97272D538F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9523</xdr:colOff>
      <xdr:row>3</xdr:row>
      <xdr:rowOff>28575</xdr:rowOff>
    </xdr:from>
    <xdr:to>
      <xdr:col>5</xdr:col>
      <xdr:colOff>1573</xdr:colOff>
      <xdr:row>3</xdr:row>
      <xdr:rowOff>28575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ShapeType="1"/>
        </xdr:cNvSpPr>
      </xdr:nvSpPr>
      <xdr:spPr bwMode="auto">
        <a:xfrm flipH="1">
          <a:off x="215263" y="493395"/>
          <a:ext cx="568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0</xdr:rowOff>
    </xdr:from>
    <xdr:to>
      <xdr:col>4</xdr:col>
      <xdr:colOff>3898900</xdr:colOff>
      <xdr:row>21</xdr:row>
      <xdr:rowOff>0</xdr:rowOff>
    </xdr:to>
    <xdr:graphicFrame macro="">
      <xdr:nvGraphicFramePr>
        <xdr:cNvPr id="4" name="Graf3_and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21</xdr:row>
      <xdr:rowOff>152400</xdr:rowOff>
    </xdr:from>
    <xdr:to>
      <xdr:col>4</xdr:col>
      <xdr:colOff>3905250</xdr:colOff>
      <xdr:row>37</xdr:row>
      <xdr:rowOff>152400</xdr:rowOff>
    </xdr:to>
    <xdr:graphicFrame macro="">
      <xdr:nvGraphicFramePr>
        <xdr:cNvPr id="5" name="Graf3_and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1498599</xdr:colOff>
      <xdr:row>10</xdr:row>
      <xdr:rowOff>120650</xdr:rowOff>
    </xdr:from>
    <xdr:to>
      <xdr:col>4</xdr:col>
      <xdr:colOff>2584448</xdr:colOff>
      <xdr:row>16</xdr:row>
      <xdr:rowOff>120650</xdr:rowOff>
    </xdr:to>
    <xdr:graphicFrame macro="">
      <xdr:nvGraphicFramePr>
        <xdr:cNvPr id="6" name="Graf3_and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1485900</xdr:colOff>
      <xdr:row>27</xdr:row>
      <xdr:rowOff>0</xdr:rowOff>
    </xdr:from>
    <xdr:to>
      <xdr:col>4</xdr:col>
      <xdr:colOff>2571749</xdr:colOff>
      <xdr:row>33</xdr:row>
      <xdr:rowOff>0</xdr:rowOff>
    </xdr:to>
    <xdr:graphicFrame macro="">
      <xdr:nvGraphicFramePr>
        <xdr:cNvPr id="9" name="Graf3_and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2</xdr:col>
      <xdr:colOff>19050</xdr:colOff>
      <xdr:row>1</xdr:row>
      <xdr:rowOff>114300</xdr:rowOff>
    </xdr:from>
    <xdr:to>
      <xdr:col>4</xdr:col>
      <xdr:colOff>114299</xdr:colOff>
      <xdr:row>2</xdr:row>
      <xdr:rowOff>65399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FBB7DF97-B6E1-4E6D-ADB6-412A8984E2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9524</xdr:colOff>
      <xdr:row>3</xdr:row>
      <xdr:rowOff>28575</xdr:rowOff>
    </xdr:from>
    <xdr:to>
      <xdr:col>6</xdr:col>
      <xdr:colOff>3972224</xdr:colOff>
      <xdr:row>3</xdr:row>
      <xdr:rowOff>28575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ShapeType="1"/>
        </xdr:cNvSpPr>
      </xdr:nvSpPr>
      <xdr:spPr bwMode="auto">
        <a:xfrm flipH="1">
          <a:off x="215264" y="493395"/>
          <a:ext cx="9792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5</xdr:row>
      <xdr:rowOff>161925</xdr:rowOff>
    </xdr:from>
    <xdr:to>
      <xdr:col>4</xdr:col>
      <xdr:colOff>3914775</xdr:colOff>
      <xdr:row>20</xdr:row>
      <xdr:rowOff>152400</xdr:rowOff>
    </xdr:to>
    <xdr:graphicFrame macro="">
      <xdr:nvGraphicFramePr>
        <xdr:cNvPr id="4" name="Graf3_and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6</xdr:row>
      <xdr:rowOff>0</xdr:rowOff>
    </xdr:from>
    <xdr:to>
      <xdr:col>6</xdr:col>
      <xdr:colOff>3905250</xdr:colOff>
      <xdr:row>21</xdr:row>
      <xdr:rowOff>0</xdr:rowOff>
    </xdr:to>
    <xdr:graphicFrame macro="">
      <xdr:nvGraphicFramePr>
        <xdr:cNvPr id="5" name="Graf3_and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</xdr:col>
      <xdr:colOff>28575</xdr:colOff>
      <xdr:row>1</xdr:row>
      <xdr:rowOff>114300</xdr:rowOff>
    </xdr:from>
    <xdr:to>
      <xdr:col>4</xdr:col>
      <xdr:colOff>123824</xdr:colOff>
      <xdr:row>2</xdr:row>
      <xdr:rowOff>65399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F04D42E-3CFB-4E86-ADC0-DF80F2535F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3</xdr:row>
      <xdr:rowOff>26670</xdr:rowOff>
    </xdr:from>
    <xdr:to>
      <xdr:col>5</xdr:col>
      <xdr:colOff>1170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>
          <a:spLocks noChangeShapeType="1"/>
        </xdr:cNvSpPr>
      </xdr:nvSpPr>
      <xdr:spPr bwMode="auto">
        <a:xfrm flipH="1">
          <a:off x="213360" y="491490"/>
          <a:ext cx="892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0</xdr:rowOff>
    </xdr:from>
    <xdr:to>
      <xdr:col>4</xdr:col>
      <xdr:colOff>7040879</xdr:colOff>
      <xdr:row>25</xdr:row>
      <xdr:rowOff>9525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38100</xdr:colOff>
      <xdr:row>1</xdr:row>
      <xdr:rowOff>123825</xdr:rowOff>
    </xdr:from>
    <xdr:to>
      <xdr:col>4</xdr:col>
      <xdr:colOff>133349</xdr:colOff>
      <xdr:row>2</xdr:row>
      <xdr:rowOff>74924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9CE5847-91F4-42F9-A84F-8E804523A5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3</xdr:row>
      <xdr:rowOff>26670</xdr:rowOff>
    </xdr:from>
    <xdr:to>
      <xdr:col>4</xdr:col>
      <xdr:colOff>7221120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>
          <a:spLocks noChangeShapeType="1"/>
        </xdr:cNvSpPr>
      </xdr:nvSpPr>
      <xdr:spPr bwMode="auto">
        <a:xfrm flipH="1">
          <a:off x="213360" y="491490"/>
          <a:ext cx="892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25</xdr:row>
      <xdr:rowOff>9525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19050</xdr:colOff>
      <xdr:row>1</xdr:row>
      <xdr:rowOff>133350</xdr:rowOff>
    </xdr:from>
    <xdr:to>
      <xdr:col>4</xdr:col>
      <xdr:colOff>114299</xdr:colOff>
      <xdr:row>2</xdr:row>
      <xdr:rowOff>84449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5F589756-E196-46A6-9B94-616DD6D07C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0.91574</cdr:x>
      <cdr:y>0.11765</cdr:y>
    </cdr:from>
    <cdr:to>
      <cdr:x>1</cdr:x>
      <cdr:y>0.20124</cdr:y>
    </cdr:to>
    <cdr:sp macro="" textlink="">
      <cdr:nvSpPr>
        <cdr:cNvPr id="2" name="CuadroTexto 1">
          <a:extLst xmlns:a="http://schemas.openxmlformats.org/drawingml/2006/main">
            <a:ext uri="{FF2B5EF4-FFF2-40B4-BE49-F238E27FC236}">
              <a16:creationId xmlns:a16="http://schemas.microsoft.com/office/drawing/2014/main" id="{CBD09808-516D-4981-BE0D-9E14AA086741}"/>
            </a:ext>
          </a:extLst>
        </cdr:cNvPr>
        <cdr:cNvSpPr txBox="1"/>
      </cdr:nvSpPr>
      <cdr:spPr>
        <a:xfrm xmlns:a="http://schemas.openxmlformats.org/drawingml/2006/main">
          <a:off x="6438900" y="361959"/>
          <a:ext cx="592454" cy="2571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ktCO2 eq.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7621</xdr:colOff>
      <xdr:row>6</xdr:row>
      <xdr:rowOff>3810</xdr:rowOff>
    </xdr:from>
    <xdr:to>
      <xdr:col>4</xdr:col>
      <xdr:colOff>7038975</xdr:colOff>
      <xdr:row>25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3</xdr:row>
      <xdr:rowOff>26670</xdr:rowOff>
    </xdr:from>
    <xdr:to>
      <xdr:col>4</xdr:col>
      <xdr:colOff>7221120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>
          <a:spLocks noChangeShapeType="1"/>
        </xdr:cNvSpPr>
      </xdr:nvSpPr>
      <xdr:spPr bwMode="auto">
        <a:xfrm flipH="1">
          <a:off x="213360" y="491490"/>
          <a:ext cx="892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19050</xdr:colOff>
      <xdr:row>1</xdr:row>
      <xdr:rowOff>133350</xdr:rowOff>
    </xdr:from>
    <xdr:to>
      <xdr:col>4</xdr:col>
      <xdr:colOff>114299</xdr:colOff>
      <xdr:row>2</xdr:row>
      <xdr:rowOff>84449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4E5667C-B280-4B69-AEE7-447371D00F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7621</xdr:colOff>
      <xdr:row>6</xdr:row>
      <xdr:rowOff>3810</xdr:rowOff>
    </xdr:from>
    <xdr:to>
      <xdr:col>4</xdr:col>
      <xdr:colOff>7038975</xdr:colOff>
      <xdr:row>25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3</xdr:row>
      <xdr:rowOff>26670</xdr:rowOff>
    </xdr:from>
    <xdr:to>
      <xdr:col>4</xdr:col>
      <xdr:colOff>7221120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>
          <a:spLocks noChangeShapeType="1"/>
        </xdr:cNvSpPr>
      </xdr:nvSpPr>
      <xdr:spPr bwMode="auto">
        <a:xfrm flipH="1">
          <a:off x="213360" y="491490"/>
          <a:ext cx="892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19050</xdr:colOff>
      <xdr:row>1</xdr:row>
      <xdr:rowOff>123825</xdr:rowOff>
    </xdr:from>
    <xdr:to>
      <xdr:col>4</xdr:col>
      <xdr:colOff>114299</xdr:colOff>
      <xdr:row>2</xdr:row>
      <xdr:rowOff>74924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C71D35D-C21D-456B-880F-494E3B2DD0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0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13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14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B1:O25"/>
  <sheetViews>
    <sheetView showGridLines="0" showRowColHeaders="0" tabSelected="1" workbookViewId="0">
      <selection activeCell="B2" sqref="B2"/>
    </sheetView>
  </sheetViews>
  <sheetFormatPr baseColWidth="10" defaultColWidth="11.42578125" defaultRowHeight="12.75"/>
  <cols>
    <col min="1" max="1" width="0.42578125" style="130" customWidth="1"/>
    <col min="2" max="2" width="2.5703125" style="130" customWidth="1"/>
    <col min="3" max="3" width="16.42578125" style="130" customWidth="1"/>
    <col min="4" max="4" width="4.5703125" style="130" customWidth="1"/>
    <col min="5" max="5" width="95.5703125" style="130" customWidth="1"/>
    <col min="6" max="16384" width="11.42578125" style="130"/>
  </cols>
  <sheetData>
    <row r="1" spans="2:15" ht="0.75" customHeight="1"/>
    <row r="2" spans="2:15" ht="21" customHeight="1">
      <c r="B2" s="130" t="s">
        <v>65</v>
      </c>
      <c r="C2" s="131"/>
      <c r="D2" s="131"/>
      <c r="E2" s="100" t="s">
        <v>1</v>
      </c>
    </row>
    <row r="3" spans="2:15" ht="15" customHeight="1">
      <c r="C3" s="131"/>
      <c r="D3" s="131"/>
      <c r="E3" s="101" t="str">
        <f>Dat_01!A2</f>
        <v>Marzo 2024</v>
      </c>
    </row>
    <row r="4" spans="2:15" s="133" customFormat="1" ht="20.25" customHeight="1">
      <c r="B4" s="132"/>
      <c r="C4" s="99" t="s">
        <v>67</v>
      </c>
    </row>
    <row r="5" spans="2:15" s="133" customFormat="1" ht="8.25" customHeight="1">
      <c r="B5" s="132"/>
      <c r="C5" s="134"/>
    </row>
    <row r="6" spans="2:15" s="133" customFormat="1" ht="3" customHeight="1">
      <c r="B6" s="132"/>
      <c r="C6" s="134"/>
    </row>
    <row r="7" spans="2:15" s="133" customFormat="1" ht="7.5" customHeight="1">
      <c r="B7" s="132"/>
      <c r="C7" s="135"/>
      <c r="D7" s="136"/>
      <c r="E7" s="136"/>
    </row>
    <row r="8" spans="2:15" ht="12.6" customHeight="1">
      <c r="D8" s="137" t="s">
        <v>66</v>
      </c>
      <c r="E8" s="138" t="s">
        <v>78</v>
      </c>
    </row>
    <row r="9" spans="2:15" s="133" customFormat="1" ht="12.6" customHeight="1">
      <c r="B9" s="132"/>
      <c r="C9" s="139"/>
      <c r="D9" s="137" t="s">
        <v>66</v>
      </c>
      <c r="E9" s="138" t="str">
        <f>'P2'!C7</f>
        <v>Estructura de potencia instalada peninsular</v>
      </c>
      <c r="F9" s="130"/>
      <c r="G9" s="130"/>
      <c r="H9" s="130"/>
      <c r="I9" s="130"/>
      <c r="J9" s="130"/>
      <c r="K9" s="130"/>
      <c r="L9" s="130"/>
      <c r="M9" s="130"/>
      <c r="N9" s="130"/>
      <c r="O9" s="130"/>
    </row>
    <row r="10" spans="2:15" s="133" customFormat="1" ht="12.6" customHeight="1">
      <c r="B10" s="132"/>
      <c r="C10" s="139"/>
      <c r="D10" s="137" t="s">
        <v>66</v>
      </c>
      <c r="E10" s="138" t="str">
        <f>'P2'!C23</f>
        <v>Estructura de generación mensual peninsular</v>
      </c>
      <c r="F10" s="130"/>
      <c r="G10" s="130"/>
      <c r="H10" s="130"/>
      <c r="I10" s="130"/>
      <c r="J10" s="130"/>
      <c r="K10" s="130"/>
      <c r="L10" s="130"/>
      <c r="M10" s="130"/>
      <c r="N10" s="130"/>
      <c r="O10" s="130"/>
    </row>
    <row r="11" spans="2:15" ht="12.6" customHeight="1">
      <c r="D11" s="137" t="s">
        <v>66</v>
      </c>
      <c r="E11" s="138" t="str">
        <f>'P3'!C7</f>
        <v xml:space="preserve">Estructura de generación diaria del día de máxima generación de energía renovable peninsular
</v>
      </c>
    </row>
    <row r="12" spans="2:15" ht="12.6" customHeight="1">
      <c r="D12" s="137" t="s">
        <v>66</v>
      </c>
      <c r="E12" s="138" t="str">
        <f>'P4'!C7</f>
        <v>Evolución del peso de la generación renovable y no renovable peninsular</v>
      </c>
    </row>
    <row r="13" spans="2:15" ht="12.6" customHeight="1">
      <c r="D13" s="137" t="s">
        <v>66</v>
      </c>
      <c r="E13" s="138" t="str">
        <f>'P5'!C7</f>
        <v>Evolución de las emisiones de CO2 equivalente y peso de la generación libre de CO2 peninsular</v>
      </c>
    </row>
    <row r="14" spans="2:15" ht="12.6" customHeight="1">
      <c r="D14" s="137" t="s">
        <v>66</v>
      </c>
      <c r="E14" s="138" t="str">
        <f>'P6'!C7</f>
        <v xml:space="preserve">Evolución de la generación renovable peninsular </v>
      </c>
    </row>
    <row r="15" spans="2:15" ht="12.6" customHeight="1">
      <c r="D15" s="137" t="s">
        <v>66</v>
      </c>
      <c r="E15" s="138" t="str">
        <f>'P7'!C7</f>
        <v xml:space="preserve">Evolución de la generación no renovable peninsular </v>
      </c>
    </row>
    <row r="16" spans="2:15" ht="12.6" customHeight="1">
      <c r="D16" s="137" t="s">
        <v>66</v>
      </c>
      <c r="E16" s="138" t="str">
        <f>'P8'!C7</f>
        <v>Generación eólica diaria peninsular</v>
      </c>
    </row>
    <row r="17" spans="2:5" ht="12.6" customHeight="1">
      <c r="D17" s="137" t="s">
        <v>66</v>
      </c>
      <c r="E17" s="138" t="str">
        <f>'P9'!C7</f>
        <v>Máximos de generación de energía eólica peninsular</v>
      </c>
    </row>
    <row r="18" spans="2:5" ht="12.6" customHeight="1">
      <c r="D18" s="137" t="s">
        <v>66</v>
      </c>
      <c r="E18" s="138" t="str">
        <f>'P10'!C7</f>
        <v>Energía producible eólica comparada con el producible eólico medio histórico</v>
      </c>
    </row>
    <row r="19" spans="2:5" ht="12.6" customHeight="1">
      <c r="D19" s="137" t="s">
        <v>66</v>
      </c>
      <c r="E19" s="138" t="str">
        <f>'P11'!C7</f>
        <v>Generación solar fotovoltaica diaria peninsular</v>
      </c>
    </row>
    <row r="20" spans="2:5" ht="12.6" customHeight="1">
      <c r="D20" s="137" t="s">
        <v>66</v>
      </c>
      <c r="E20" s="138" t="str">
        <f>'P12'!C7</f>
        <v>Máximos de generación de energía solar fotovoltaica peninsular</v>
      </c>
    </row>
    <row r="21" spans="2:5" ht="12.6" customHeight="1">
      <c r="D21" s="137" t="s">
        <v>66</v>
      </c>
      <c r="E21" s="138" t="str">
        <f>'P13'!C7</f>
        <v>Energía producible solar fotovoltaica comparada con el producible solar fotovoltaico medio histórico</v>
      </c>
    </row>
    <row r="22" spans="2:5" ht="12.6" customHeight="1">
      <c r="D22" s="137" t="s">
        <v>66</v>
      </c>
      <c r="E22" s="138" t="str">
        <f>P14_old!B7</f>
        <v>Energía producible hidráulica diaria comparada con el producible medio histórico</v>
      </c>
    </row>
    <row r="23" spans="2:5" ht="12.6" customHeight="1">
      <c r="D23" s="137" t="s">
        <v>66</v>
      </c>
      <c r="E23" s="138" t="str">
        <f>P15_OLD!B7</f>
        <v>Reservas hidroeléctricas</v>
      </c>
    </row>
    <row r="24" spans="2:5" ht="12.6" customHeight="1">
      <c r="D24" s="137" t="s">
        <v>66</v>
      </c>
      <c r="E24" s="138" t="str">
        <f>'P16'!C7</f>
        <v>Reservas hidroeléctricas a finales de mes por cuencas hidrográficas</v>
      </c>
    </row>
    <row r="25" spans="2:5" s="133" customFormat="1" ht="7.5" customHeight="1">
      <c r="B25" s="132"/>
      <c r="C25" s="135"/>
      <c r="D25" s="136"/>
      <c r="E25" s="136"/>
    </row>
  </sheetData>
  <hyperlinks>
    <hyperlink ref="E10" location="'P2'!A1" display="'P2'!A1" xr:uid="{00000000-0004-0000-0000-000000000000}"/>
    <hyperlink ref="E12" location="'P4'!A1" display="'P4'!A1" xr:uid="{00000000-0004-0000-0000-000001000000}"/>
    <hyperlink ref="E11" location="'P3'!A1" display="'P3'!A1" xr:uid="{00000000-0004-0000-0000-000002000000}"/>
    <hyperlink ref="E9" location="'P2'!A1" display="'P2'!A1" xr:uid="{00000000-0004-0000-0000-000003000000}"/>
    <hyperlink ref="E8" location="'P1'!A1" display="'P1'!A1" xr:uid="{00000000-0004-0000-0000-000004000000}"/>
    <hyperlink ref="E13" location="'P5'!A1" display="'P5'!A1" xr:uid="{00000000-0004-0000-0000-000005000000}"/>
    <hyperlink ref="E14" location="'P6 '!A1" display="'P6 '!A1" xr:uid="{00000000-0004-0000-0000-000006000000}"/>
    <hyperlink ref="E15" location="'P7'!A1" display="'P7'!A1" xr:uid="{00000000-0004-0000-0000-000007000000}"/>
    <hyperlink ref="E16" location="'P8'!A1" display="'P8'!A1" xr:uid="{00000000-0004-0000-0000-000008000000}"/>
    <hyperlink ref="E17" location="'P9'!A1" display="'P9'!A1" xr:uid="{00000000-0004-0000-0000-000009000000}"/>
    <hyperlink ref="E18" location="'P10'!A1" display="'P10'!A1" xr:uid="{00000000-0004-0000-0000-00000A000000}"/>
    <hyperlink ref="E19" location="'P11'!A1" display="'P11'!A1" xr:uid="{00000000-0004-0000-0000-00000B000000}"/>
    <hyperlink ref="E23" location="'P12'!A1" display="'P12'!A1" xr:uid="{00000000-0004-0000-0000-00000C000000}"/>
    <hyperlink ref="E24" location="'P13'!A1" display="'P13'!A1" xr:uid="{00000000-0004-0000-0000-00000D000000}"/>
    <hyperlink ref="E20" location="'P9'!A1" display="'P9'!A1" xr:uid="{496CADB2-97FB-46B7-8BFC-0C9899AB4CAD}"/>
    <hyperlink ref="E21" location="'P10'!A1" display="'P10'!A1" xr:uid="{5D974B15-FD20-432C-AA15-7FB85CB73D5B}"/>
    <hyperlink ref="E22" location="'P11'!A1" display="'P11'!A1" xr:uid="{C8CAE280-F896-4679-BC65-839CC803C5DE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9"/>
  <dimension ref="C1:AA39"/>
  <sheetViews>
    <sheetView showGridLines="0" showRowColHeaders="0" topLeftCell="A2" workbookViewId="0">
      <selection activeCell="B2" sqref="B2"/>
    </sheetView>
  </sheetViews>
  <sheetFormatPr baseColWidth="10" defaultRowHeight="12.75"/>
  <cols>
    <col min="1" max="1" width="0.42578125" customWidth="1"/>
    <col min="2" max="2" width="2.5703125" customWidth="1"/>
    <col min="3" max="3" width="23.5703125" customWidth="1"/>
    <col min="4" max="4" width="1.42578125" customWidth="1"/>
    <col min="5" max="5" width="105.5703125" customWidth="1"/>
    <col min="10" max="10" width="17" customWidth="1"/>
  </cols>
  <sheetData>
    <row r="1" spans="3:27" ht="0.6" customHeight="1"/>
    <row r="2" spans="3:27" ht="21" customHeight="1">
      <c r="E2" s="100" t="s">
        <v>1</v>
      </c>
    </row>
    <row r="3" spans="3:27" ht="15" customHeight="1">
      <c r="E3" s="109" t="str">
        <f>Indice!E3</f>
        <v>Marzo 2024</v>
      </c>
    </row>
    <row r="4" spans="3:27" ht="20.100000000000001" customHeight="1">
      <c r="C4" s="99" t="s">
        <v>67</v>
      </c>
    </row>
    <row r="5" spans="3:27" ht="12.6" customHeight="1">
      <c r="K5" s="3"/>
      <c r="L5" s="3"/>
      <c r="M5" s="3"/>
    </row>
    <row r="6" spans="3:27"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</row>
    <row r="7" spans="3:27" ht="12.75" customHeight="1">
      <c r="C7" s="312" t="s">
        <v>24</v>
      </c>
      <c r="E7" s="4"/>
      <c r="K7" s="2"/>
      <c r="L7" s="2"/>
      <c r="M7" s="2"/>
      <c r="N7" s="2"/>
      <c r="O7" s="2"/>
      <c r="P7" s="2"/>
      <c r="Q7" s="2"/>
      <c r="R7" s="2"/>
      <c r="S7" s="2"/>
    </row>
    <row r="8" spans="3:27">
      <c r="C8" s="312"/>
      <c r="E8" s="4"/>
      <c r="K8" s="2"/>
      <c r="L8" s="2"/>
      <c r="M8" s="2"/>
      <c r="N8" s="2"/>
      <c r="O8" s="2"/>
      <c r="P8" s="2"/>
      <c r="Q8" s="2"/>
      <c r="R8" s="2"/>
      <c r="S8" s="2"/>
    </row>
    <row r="9" spans="3:27">
      <c r="C9" s="114"/>
      <c r="E9" s="4"/>
      <c r="K9" s="2"/>
      <c r="L9" s="2"/>
      <c r="M9" s="2"/>
      <c r="N9" s="2"/>
      <c r="O9" s="2"/>
      <c r="P9" s="2"/>
      <c r="Q9" s="2"/>
      <c r="R9" s="2"/>
      <c r="S9" s="2"/>
    </row>
    <row r="10" spans="3:27">
      <c r="E10" s="4"/>
      <c r="K10" s="2"/>
      <c r="L10" s="2"/>
      <c r="M10" s="2"/>
      <c r="N10" s="2"/>
      <c r="O10" s="2"/>
      <c r="P10" s="2"/>
      <c r="Q10" s="2"/>
      <c r="R10" s="2"/>
      <c r="S10" s="2"/>
    </row>
    <row r="11" spans="3:27">
      <c r="E11" s="4"/>
      <c r="K11" s="2"/>
      <c r="L11" s="2"/>
      <c r="M11" s="2"/>
      <c r="N11" s="2"/>
      <c r="O11" s="2"/>
      <c r="P11" s="2"/>
      <c r="Q11" s="2"/>
      <c r="R11" s="2"/>
      <c r="S11" s="2"/>
    </row>
    <row r="12" spans="3:27">
      <c r="E12" s="4"/>
      <c r="K12" s="2"/>
      <c r="L12" s="2"/>
      <c r="M12" s="2"/>
      <c r="N12" s="2"/>
      <c r="O12" s="2"/>
      <c r="P12" s="2"/>
      <c r="Q12" s="2"/>
      <c r="R12" s="2"/>
      <c r="S12" s="2"/>
    </row>
    <row r="13" spans="3:27">
      <c r="E13" s="4"/>
      <c r="K13" s="2"/>
      <c r="L13" s="2"/>
      <c r="M13" s="2"/>
      <c r="N13" s="2"/>
      <c r="O13" s="2"/>
      <c r="P13" s="2"/>
      <c r="Q13" s="2"/>
      <c r="R13" s="2"/>
      <c r="S13" s="2"/>
    </row>
    <row r="14" spans="3:27">
      <c r="E14" s="4"/>
      <c r="K14" s="2"/>
      <c r="L14" s="2"/>
      <c r="M14" s="2"/>
      <c r="N14" s="2"/>
      <c r="O14" s="2"/>
      <c r="P14" s="2"/>
      <c r="Q14" s="2"/>
      <c r="R14" s="2"/>
      <c r="S14" s="2"/>
    </row>
    <row r="15" spans="3:27">
      <c r="E15" s="4"/>
      <c r="K15" s="2"/>
      <c r="L15" s="2"/>
      <c r="M15" s="2"/>
      <c r="N15" s="2"/>
      <c r="O15" s="2"/>
      <c r="P15" s="2"/>
      <c r="Q15" s="2"/>
      <c r="R15" s="2"/>
      <c r="S15" s="2"/>
    </row>
    <row r="16" spans="3:27">
      <c r="E16" s="4"/>
      <c r="K16" s="2"/>
      <c r="L16" s="2"/>
      <c r="M16" s="2"/>
      <c r="N16" s="2"/>
      <c r="O16" s="2"/>
      <c r="P16" s="2"/>
      <c r="Q16" s="2"/>
      <c r="R16" s="2"/>
      <c r="S16" s="2"/>
      <c r="U16" s="2"/>
      <c r="V16" s="2"/>
      <c r="W16" s="2"/>
      <c r="X16" s="2"/>
      <c r="Y16" s="2"/>
      <c r="Z16" s="2"/>
    </row>
    <row r="17" spans="5:27">
      <c r="E17" s="4"/>
      <c r="K17" s="2"/>
      <c r="L17" s="2"/>
      <c r="M17" s="2"/>
      <c r="N17" s="2"/>
      <c r="O17" s="2"/>
      <c r="P17" s="2"/>
      <c r="Q17" s="2"/>
      <c r="R17" s="2"/>
      <c r="S17" s="2"/>
    </row>
    <row r="18" spans="5:27">
      <c r="E18" s="4"/>
      <c r="K18" s="2"/>
      <c r="L18" s="2"/>
      <c r="M18" s="2"/>
      <c r="N18" s="2"/>
      <c r="O18" s="2"/>
      <c r="P18" s="2"/>
      <c r="Q18" s="2"/>
      <c r="R18" s="2"/>
      <c r="S18" s="2"/>
    </row>
    <row r="19" spans="5:27">
      <c r="E19" s="4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5:27">
      <c r="E20" s="4"/>
      <c r="K20" s="2"/>
      <c r="L20" s="2"/>
      <c r="M20" s="2"/>
      <c r="N20" s="2"/>
      <c r="O20" s="2"/>
      <c r="P20" s="2"/>
      <c r="Q20" s="2"/>
      <c r="R20" s="2"/>
      <c r="S20" s="2"/>
    </row>
    <row r="21" spans="5:27">
      <c r="E21" s="4"/>
      <c r="K21" s="2"/>
      <c r="L21" s="2"/>
      <c r="M21" s="2"/>
      <c r="N21" s="2"/>
      <c r="O21" s="2"/>
      <c r="P21" s="2"/>
      <c r="Q21" s="2"/>
      <c r="R21" s="2"/>
      <c r="S21" s="2"/>
    </row>
    <row r="22" spans="5:27"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5" spans="5:27">
      <c r="E25" s="110"/>
    </row>
    <row r="39" spans="5:5">
      <c r="E39" s="41"/>
    </row>
  </sheetData>
  <mergeCells count="1">
    <mergeCell ref="C7:C8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0"/>
  <dimension ref="C1:AF40"/>
  <sheetViews>
    <sheetView showGridLines="0" showRowColHeaders="0" topLeftCell="A2" workbookViewId="0">
      <selection activeCell="B2" sqref="B2"/>
    </sheetView>
  </sheetViews>
  <sheetFormatPr baseColWidth="10" defaultRowHeight="12.75"/>
  <cols>
    <col min="1" max="1" width="0.42578125" customWidth="1"/>
    <col min="2" max="2" width="2.5703125" customWidth="1"/>
    <col min="3" max="3" width="23.5703125" customWidth="1"/>
    <col min="4" max="4" width="1.42578125" customWidth="1"/>
    <col min="5" max="5" width="24" bestFit="1" customWidth="1"/>
    <col min="6" max="6" width="6.5703125" bestFit="1" customWidth="1"/>
    <col min="7" max="7" width="24.5703125" customWidth="1"/>
    <col min="8" max="8" width="6.5703125" customWidth="1"/>
    <col min="9" max="9" width="24.5703125" customWidth="1"/>
  </cols>
  <sheetData>
    <row r="1" spans="3:32" ht="0.6" customHeight="1"/>
    <row r="2" spans="3:32" ht="21" customHeight="1">
      <c r="I2" s="100" t="s">
        <v>1</v>
      </c>
    </row>
    <row r="3" spans="3:32" ht="15" customHeight="1">
      <c r="I3" s="109" t="str">
        <f>Indice!E3</f>
        <v>Marzo 2024</v>
      </c>
    </row>
    <row r="4" spans="3:32" ht="20.100000000000001" customHeight="1">
      <c r="C4" s="99" t="s">
        <v>67</v>
      </c>
    </row>
    <row r="5" spans="3:32" ht="12.6" customHeight="1">
      <c r="H5" s="3"/>
      <c r="I5" s="49"/>
      <c r="J5" s="3"/>
      <c r="K5" s="3"/>
      <c r="L5" s="3"/>
      <c r="M5" s="3"/>
      <c r="N5" s="3"/>
      <c r="O5" s="3"/>
      <c r="P5" s="3"/>
      <c r="Q5" s="3"/>
      <c r="R5" s="3"/>
    </row>
    <row r="6" spans="3:32">
      <c r="I6" s="49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</row>
    <row r="7" spans="3:32" ht="12.75" customHeight="1">
      <c r="C7" s="312" t="s">
        <v>25</v>
      </c>
      <c r="E7" s="111"/>
      <c r="F7" s="313" t="str">
        <f>Dat_01!A2</f>
        <v>Marzo 2024</v>
      </c>
      <c r="G7" s="314"/>
      <c r="H7" s="315" t="s">
        <v>27</v>
      </c>
      <c r="I7" s="315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3:32" ht="12.75" customHeight="1">
      <c r="C8" s="312"/>
      <c r="E8" s="112" t="s">
        <v>28</v>
      </c>
      <c r="F8" s="267">
        <v>16587</v>
      </c>
      <c r="G8" s="268" t="s">
        <v>251</v>
      </c>
      <c r="H8" s="267">
        <v>20897</v>
      </c>
      <c r="I8" s="268" t="s">
        <v>212</v>
      </c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3:32" ht="12.75" customHeight="1">
      <c r="C9" s="114"/>
      <c r="E9" s="113" t="s">
        <v>29</v>
      </c>
      <c r="F9" s="249">
        <v>66.5</v>
      </c>
      <c r="G9" s="250" t="s">
        <v>252</v>
      </c>
      <c r="H9" s="246">
        <v>83.6</v>
      </c>
      <c r="I9" s="250" t="s">
        <v>183</v>
      </c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3:32">
      <c r="E10" s="4"/>
      <c r="G10" s="46"/>
      <c r="H10" s="247"/>
      <c r="I10" s="248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3:32">
      <c r="E11" s="4"/>
      <c r="G11" s="46"/>
      <c r="H11" s="251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3:32">
      <c r="E12" s="4"/>
      <c r="G12" s="46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3:32">
      <c r="E13" s="4"/>
      <c r="G13" s="46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3:32">
      <c r="E14" s="4"/>
      <c r="G14" s="46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3:32">
      <c r="E15" s="4"/>
      <c r="G15" s="46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3:32">
      <c r="E16" s="4"/>
      <c r="G16" s="46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Z16" s="2"/>
      <c r="AA16" s="2"/>
      <c r="AB16" s="2"/>
      <c r="AC16" s="2"/>
      <c r="AD16" s="2"/>
      <c r="AE16" s="2"/>
    </row>
    <row r="17" spans="5:32">
      <c r="E17" s="4"/>
      <c r="G17" s="48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5:32">
      <c r="E18" s="4"/>
      <c r="G18" s="46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5:32">
      <c r="E19" s="4"/>
      <c r="G19" s="46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</row>
    <row r="20" spans="5:32">
      <c r="E20" s="4"/>
      <c r="G20" s="46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5:32">
      <c r="E21" s="4"/>
      <c r="G21" s="46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5:32">
      <c r="E22" s="41"/>
      <c r="G22" s="46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</row>
    <row r="23" spans="5:32">
      <c r="G23" s="46"/>
      <c r="I23" s="2"/>
    </row>
    <row r="24" spans="5:32">
      <c r="G24" s="46"/>
      <c r="I24" s="2"/>
    </row>
    <row r="25" spans="5:32">
      <c r="G25" s="46"/>
      <c r="I25" s="2"/>
    </row>
    <row r="26" spans="5:32">
      <c r="G26" s="48"/>
      <c r="I26" s="2"/>
    </row>
    <row r="27" spans="5:32">
      <c r="G27" s="46"/>
      <c r="I27" s="2"/>
    </row>
    <row r="28" spans="5:32">
      <c r="G28" s="46"/>
      <c r="I28" s="2"/>
    </row>
    <row r="29" spans="5:32">
      <c r="G29" s="46"/>
      <c r="I29" s="2"/>
    </row>
    <row r="30" spans="5:32">
      <c r="G30" s="46"/>
      <c r="I30" s="2"/>
    </row>
    <row r="31" spans="5:32">
      <c r="G31" s="46"/>
      <c r="I31" s="2"/>
    </row>
    <row r="32" spans="5:32">
      <c r="G32" s="46"/>
      <c r="I32" s="2"/>
    </row>
    <row r="33" spans="5:9">
      <c r="G33" s="46"/>
      <c r="I33" s="2"/>
    </row>
    <row r="34" spans="5:9">
      <c r="G34" s="46"/>
      <c r="I34" s="2"/>
    </row>
    <row r="35" spans="5:9">
      <c r="G35" s="46"/>
      <c r="I35" s="2"/>
    </row>
    <row r="36" spans="5:9">
      <c r="G36" s="46"/>
      <c r="I36" s="2"/>
    </row>
    <row r="37" spans="5:9">
      <c r="G37" s="46"/>
      <c r="I37" s="2"/>
    </row>
    <row r="38" spans="5:9">
      <c r="G38" s="47"/>
      <c r="I38" s="2"/>
    </row>
    <row r="39" spans="5:9">
      <c r="E39" s="41"/>
    </row>
    <row r="40" spans="5:9">
      <c r="H40" s="2"/>
    </row>
  </sheetData>
  <mergeCells count="3">
    <mergeCell ref="F7:G7"/>
    <mergeCell ref="H7:I7"/>
    <mergeCell ref="C7:C8"/>
  </mergeCell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C9C087-9B57-48AF-83AC-249D2D6F8ACD}">
  <sheetPr codeName="Hoja24"/>
  <dimension ref="C1:AH30"/>
  <sheetViews>
    <sheetView showGridLines="0" showRowColHeaders="0" topLeftCell="A2" workbookViewId="0">
      <selection activeCell="B2" sqref="B2"/>
    </sheetView>
  </sheetViews>
  <sheetFormatPr baseColWidth="10" defaultRowHeight="12.75"/>
  <cols>
    <col min="1" max="1" width="0.42578125" customWidth="1"/>
    <col min="2" max="2" width="2.5703125" customWidth="1"/>
    <col min="3" max="3" width="23.5703125" customWidth="1"/>
    <col min="4" max="4" width="1.42578125" customWidth="1"/>
    <col min="5" max="5" width="105.5703125" customWidth="1"/>
    <col min="7" max="7" width="30.42578125" bestFit="1" customWidth="1"/>
  </cols>
  <sheetData>
    <row r="1" spans="3:34" ht="0.6" customHeight="1"/>
    <row r="2" spans="3:34" ht="21" customHeight="1">
      <c r="E2" s="100" t="s">
        <v>1</v>
      </c>
    </row>
    <row r="3" spans="3:34" ht="15" customHeight="1">
      <c r="E3" s="109" t="str">
        <f>Indice!E3</f>
        <v>Marzo 2024</v>
      </c>
    </row>
    <row r="4" spans="3:34" ht="20.100000000000001" customHeight="1">
      <c r="C4" s="99" t="s">
        <v>67</v>
      </c>
    </row>
    <row r="5" spans="3:34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3:34">
      <c r="AG6" s="42"/>
      <c r="AH6" s="42"/>
    </row>
    <row r="7" spans="3:34" ht="12.75" customHeight="1">
      <c r="C7" s="312" t="s">
        <v>175</v>
      </c>
      <c r="E7" s="4"/>
    </row>
    <row r="8" spans="3:34">
      <c r="C8" s="312"/>
      <c r="E8" s="4"/>
    </row>
    <row r="9" spans="3:34">
      <c r="C9" s="312"/>
      <c r="E9" s="4"/>
    </row>
    <row r="10" spans="3:34">
      <c r="C10" s="312"/>
      <c r="E10" s="4"/>
    </row>
    <row r="11" spans="3:34">
      <c r="E11" s="4"/>
    </row>
    <row r="12" spans="3:34">
      <c r="C12" s="114"/>
      <c r="E12" s="4"/>
    </row>
    <row r="13" spans="3:34">
      <c r="E13" s="4"/>
    </row>
    <row r="14" spans="3:34">
      <c r="E14" s="4"/>
    </row>
    <row r="15" spans="3:34">
      <c r="E15" s="4"/>
    </row>
    <row r="16" spans="3:34">
      <c r="E16" s="4"/>
    </row>
    <row r="17" spans="3:32">
      <c r="E17" s="4"/>
    </row>
    <row r="18" spans="3:32">
      <c r="E18" s="4"/>
    </row>
    <row r="19" spans="3:32">
      <c r="E19" s="4"/>
    </row>
    <row r="20" spans="3:32">
      <c r="E20" s="4"/>
    </row>
    <row r="21" spans="3:32">
      <c r="E21" s="4"/>
    </row>
    <row r="24" spans="3:32">
      <c r="C24" s="114"/>
    </row>
    <row r="25" spans="3:32">
      <c r="C25" s="114"/>
      <c r="E25" s="110"/>
    </row>
    <row r="26" spans="3:32">
      <c r="C26" s="114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</row>
    <row r="27" spans="3:32">
      <c r="C27" s="114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</row>
    <row r="28" spans="3:32">
      <c r="C28" s="114"/>
    </row>
    <row r="29" spans="3:32">
      <c r="C29" s="11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</row>
    <row r="30" spans="3:32"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</row>
  </sheetData>
  <mergeCells count="1">
    <mergeCell ref="C7:C10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2B8A74-F091-4CFF-9A8D-CB0531EE6308}">
  <dimension ref="C1:AA39"/>
  <sheetViews>
    <sheetView showGridLines="0" showRowColHeaders="0" topLeftCell="A2" workbookViewId="0">
      <selection activeCell="B2" sqref="B2"/>
    </sheetView>
  </sheetViews>
  <sheetFormatPr baseColWidth="10" defaultRowHeight="12.75"/>
  <cols>
    <col min="1" max="1" width="0.42578125" customWidth="1"/>
    <col min="2" max="2" width="2.5703125" customWidth="1"/>
    <col min="3" max="3" width="23.5703125" customWidth="1"/>
    <col min="4" max="4" width="1.42578125" customWidth="1"/>
    <col min="5" max="5" width="105.5703125" customWidth="1"/>
    <col min="10" max="10" width="17" customWidth="1"/>
  </cols>
  <sheetData>
    <row r="1" spans="3:27" ht="0.6" customHeight="1"/>
    <row r="2" spans="3:27" ht="21" customHeight="1">
      <c r="E2" s="100" t="s">
        <v>1</v>
      </c>
    </row>
    <row r="3" spans="3:27" ht="15" customHeight="1">
      <c r="E3" s="109" t="str">
        <f>Indice!E3</f>
        <v>Marzo 2024</v>
      </c>
    </row>
    <row r="4" spans="3:27" ht="20.100000000000001" customHeight="1">
      <c r="C4" s="99" t="s">
        <v>67</v>
      </c>
    </row>
    <row r="5" spans="3:27" ht="12.6" customHeight="1">
      <c r="K5" s="3"/>
      <c r="L5" s="3"/>
      <c r="M5" s="3"/>
    </row>
    <row r="6" spans="3:27"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</row>
    <row r="7" spans="3:27" ht="12.75" customHeight="1">
      <c r="C7" s="312" t="s">
        <v>218</v>
      </c>
      <c r="E7" s="4"/>
      <c r="K7" s="2"/>
      <c r="L7" s="2"/>
      <c r="M7" s="2"/>
      <c r="N7" s="2"/>
      <c r="O7" s="2"/>
      <c r="P7" s="2"/>
      <c r="Q7" s="2"/>
      <c r="R7" s="2"/>
      <c r="S7" s="2"/>
    </row>
    <row r="8" spans="3:27">
      <c r="C8" s="312"/>
      <c r="E8" s="4"/>
      <c r="K8" s="2"/>
      <c r="L8" s="2"/>
      <c r="M8" s="2"/>
      <c r="N8" s="2"/>
      <c r="O8" s="2"/>
      <c r="P8" s="2"/>
      <c r="Q8" s="2"/>
      <c r="R8" s="2"/>
      <c r="S8" s="2"/>
    </row>
    <row r="9" spans="3:27">
      <c r="C9" s="114"/>
      <c r="E9" s="4"/>
      <c r="K9" s="2"/>
      <c r="L9" s="2"/>
      <c r="M9" s="2"/>
      <c r="N9" s="2"/>
      <c r="O9" s="2"/>
      <c r="P9" s="2"/>
      <c r="Q9" s="2"/>
      <c r="R9" s="2"/>
      <c r="S9" s="2"/>
    </row>
    <row r="10" spans="3:27">
      <c r="E10" s="4"/>
      <c r="K10" s="2"/>
      <c r="L10" s="2"/>
      <c r="M10" s="2"/>
      <c r="N10" s="2"/>
      <c r="O10" s="2"/>
      <c r="P10" s="2"/>
      <c r="Q10" s="2"/>
      <c r="R10" s="2"/>
      <c r="S10" s="2"/>
    </row>
    <row r="11" spans="3:27">
      <c r="E11" s="4"/>
      <c r="K11" s="2"/>
      <c r="L11" s="2"/>
      <c r="M11" s="2"/>
      <c r="N11" s="2"/>
      <c r="O11" s="2"/>
      <c r="P11" s="2"/>
      <c r="Q11" s="2"/>
      <c r="R11" s="2"/>
      <c r="S11" s="2"/>
    </row>
    <row r="12" spans="3:27">
      <c r="E12" s="4"/>
      <c r="K12" s="2"/>
      <c r="L12" s="2"/>
      <c r="M12" s="2"/>
      <c r="N12" s="2"/>
      <c r="O12" s="2"/>
      <c r="P12" s="2"/>
      <c r="Q12" s="2"/>
      <c r="R12" s="2"/>
      <c r="S12" s="2"/>
    </row>
    <row r="13" spans="3:27">
      <c r="E13" s="4"/>
      <c r="K13" s="2"/>
      <c r="L13" s="2"/>
      <c r="M13" s="2"/>
      <c r="N13" s="2"/>
      <c r="O13" s="2"/>
      <c r="P13" s="2"/>
      <c r="Q13" s="2"/>
      <c r="R13" s="2"/>
      <c r="S13" s="2"/>
    </row>
    <row r="14" spans="3:27">
      <c r="E14" s="4"/>
      <c r="K14" s="2"/>
      <c r="L14" s="2"/>
      <c r="M14" s="2"/>
      <c r="N14" s="2"/>
      <c r="O14" s="2"/>
      <c r="P14" s="2"/>
      <c r="Q14" s="2"/>
      <c r="R14" s="2"/>
      <c r="S14" s="2"/>
    </row>
    <row r="15" spans="3:27">
      <c r="E15" s="4"/>
      <c r="K15" s="2"/>
      <c r="L15" s="2"/>
      <c r="M15" s="2"/>
      <c r="N15" s="2"/>
      <c r="O15" s="2"/>
      <c r="P15" s="2"/>
      <c r="Q15" s="2"/>
      <c r="R15" s="2"/>
      <c r="S15" s="2"/>
    </row>
    <row r="16" spans="3:27">
      <c r="E16" s="4"/>
      <c r="K16" s="2"/>
      <c r="L16" s="2"/>
      <c r="M16" s="2"/>
      <c r="N16" s="2"/>
      <c r="O16" s="2"/>
      <c r="P16" s="2"/>
      <c r="Q16" s="2"/>
      <c r="R16" s="2"/>
      <c r="S16" s="2"/>
      <c r="U16" s="2"/>
      <c r="V16" s="2"/>
      <c r="W16" s="2"/>
      <c r="X16" s="2"/>
      <c r="Y16" s="2"/>
      <c r="Z16" s="2"/>
    </row>
    <row r="17" spans="5:27">
      <c r="E17" s="4"/>
      <c r="K17" s="2"/>
      <c r="L17" s="2"/>
      <c r="M17" s="2"/>
      <c r="N17" s="2"/>
      <c r="O17" s="2"/>
      <c r="P17" s="2"/>
      <c r="Q17" s="2"/>
      <c r="R17" s="2"/>
      <c r="S17" s="2"/>
    </row>
    <row r="18" spans="5:27">
      <c r="E18" s="4"/>
      <c r="K18" s="2"/>
      <c r="L18" s="2"/>
      <c r="M18" s="2"/>
      <c r="N18" s="2"/>
      <c r="O18" s="2"/>
      <c r="P18" s="2"/>
      <c r="Q18" s="2"/>
      <c r="R18" s="2"/>
      <c r="S18" s="2"/>
    </row>
    <row r="19" spans="5:27">
      <c r="E19" s="4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5:27">
      <c r="E20" s="4"/>
      <c r="K20" s="2"/>
      <c r="L20" s="2"/>
      <c r="M20" s="2"/>
      <c r="N20" s="2"/>
      <c r="O20" s="2"/>
      <c r="P20" s="2"/>
      <c r="Q20" s="2"/>
      <c r="R20" s="2"/>
      <c r="S20" s="2"/>
    </row>
    <row r="21" spans="5:27">
      <c r="E21" s="4"/>
      <c r="K21" s="2"/>
      <c r="L21" s="2"/>
      <c r="M21" s="2"/>
      <c r="N21" s="2"/>
      <c r="O21" s="2"/>
      <c r="P21" s="2"/>
      <c r="Q21" s="2"/>
      <c r="R21" s="2"/>
      <c r="S21" s="2"/>
    </row>
    <row r="22" spans="5:27"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5" spans="5:27">
      <c r="E25" s="110"/>
    </row>
    <row r="39" spans="5:5">
      <c r="E39" s="41"/>
    </row>
  </sheetData>
  <mergeCells count="1">
    <mergeCell ref="C7:C8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00D245-D9AF-4A08-AD60-7280E4611B93}">
  <dimension ref="C1:AF40"/>
  <sheetViews>
    <sheetView showGridLines="0" showRowColHeaders="0" topLeftCell="A2" workbookViewId="0">
      <selection activeCell="B2" sqref="B2"/>
    </sheetView>
  </sheetViews>
  <sheetFormatPr baseColWidth="10" defaultRowHeight="12.75"/>
  <cols>
    <col min="1" max="1" width="0.42578125" customWidth="1"/>
    <col min="2" max="2" width="2.5703125" customWidth="1"/>
    <col min="3" max="3" width="23.5703125" customWidth="1"/>
    <col min="4" max="4" width="1.42578125" customWidth="1"/>
    <col min="5" max="5" width="24" bestFit="1" customWidth="1"/>
    <col min="6" max="6" width="6.5703125" bestFit="1" customWidth="1"/>
    <col min="7" max="7" width="24.5703125" customWidth="1"/>
    <col min="8" max="8" width="6.5703125" customWidth="1"/>
    <col min="9" max="9" width="24.5703125" customWidth="1"/>
  </cols>
  <sheetData>
    <row r="1" spans="3:32" ht="0.6" customHeight="1"/>
    <row r="2" spans="3:32" ht="21" customHeight="1">
      <c r="I2" s="100" t="s">
        <v>1</v>
      </c>
    </row>
    <row r="3" spans="3:32" ht="15" customHeight="1">
      <c r="I3" s="109" t="str">
        <f>Indice!E3</f>
        <v>Marzo 2024</v>
      </c>
    </row>
    <row r="4" spans="3:32" ht="20.100000000000001" customHeight="1">
      <c r="C4" s="99" t="s">
        <v>67</v>
      </c>
    </row>
    <row r="5" spans="3:32" ht="12.6" customHeight="1">
      <c r="H5" s="3"/>
      <c r="I5" s="49"/>
      <c r="J5" s="3"/>
      <c r="K5" s="3"/>
      <c r="L5" s="3"/>
      <c r="M5" s="3"/>
      <c r="N5" s="3"/>
      <c r="O5" s="3"/>
      <c r="P5" s="3"/>
      <c r="Q5" s="3"/>
      <c r="R5" s="3"/>
    </row>
    <row r="6" spans="3:32">
      <c r="I6" s="49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</row>
    <row r="7" spans="3:32" ht="12.75" customHeight="1">
      <c r="C7" s="312" t="s">
        <v>219</v>
      </c>
      <c r="E7" s="111"/>
      <c r="F7" s="313" t="str">
        <f>Dat_01!A2</f>
        <v>Marzo 2024</v>
      </c>
      <c r="G7" s="314"/>
      <c r="H7" s="315" t="s">
        <v>27</v>
      </c>
      <c r="I7" s="315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3:32" ht="12.75" customHeight="1">
      <c r="C8" s="312"/>
      <c r="E8" s="112" t="s">
        <v>28</v>
      </c>
      <c r="F8" s="267">
        <v>16845</v>
      </c>
      <c r="G8" s="268" t="s">
        <v>253</v>
      </c>
      <c r="H8" s="267">
        <v>15788</v>
      </c>
      <c r="I8" s="268" t="s">
        <v>226</v>
      </c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3:32" ht="12.75" customHeight="1">
      <c r="C9" s="312"/>
      <c r="E9" s="113" t="s">
        <v>29</v>
      </c>
      <c r="F9" s="249">
        <v>67.78</v>
      </c>
      <c r="G9" s="250" t="s">
        <v>254</v>
      </c>
      <c r="H9" s="246">
        <v>70.099999999999994</v>
      </c>
      <c r="I9" s="250" t="s">
        <v>222</v>
      </c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3:32">
      <c r="E10" s="4"/>
      <c r="G10" s="46"/>
      <c r="H10" s="247"/>
      <c r="I10" s="248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3:32">
      <c r="E11" s="4"/>
      <c r="G11" s="46"/>
      <c r="H11" s="251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3:32">
      <c r="E12" s="4"/>
      <c r="G12" s="46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3:32">
      <c r="E13" s="4"/>
      <c r="G13" s="46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3:32">
      <c r="E14" s="4"/>
      <c r="G14" s="46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3:32">
      <c r="E15" s="4"/>
      <c r="G15" s="46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3:32">
      <c r="E16" s="4"/>
      <c r="G16" s="46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Z16" s="2"/>
      <c r="AA16" s="2"/>
      <c r="AB16" s="2"/>
      <c r="AC16" s="2"/>
      <c r="AD16" s="2"/>
      <c r="AE16" s="2"/>
    </row>
    <row r="17" spans="5:32">
      <c r="E17" s="4"/>
      <c r="G17" s="48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5:32">
      <c r="E18" s="4"/>
      <c r="G18" s="46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5:32">
      <c r="E19" s="4"/>
      <c r="G19" s="46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</row>
    <row r="20" spans="5:32">
      <c r="E20" s="4"/>
      <c r="G20" s="46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5:32">
      <c r="E21" s="4"/>
      <c r="G21" s="46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5:32">
      <c r="E22" s="41"/>
      <c r="G22" s="46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</row>
    <row r="23" spans="5:32">
      <c r="G23" s="46"/>
      <c r="I23" s="2"/>
    </row>
    <row r="24" spans="5:32">
      <c r="G24" s="46"/>
      <c r="I24" s="2"/>
    </row>
    <row r="25" spans="5:32">
      <c r="G25" s="46"/>
      <c r="I25" s="2"/>
    </row>
    <row r="26" spans="5:32">
      <c r="G26" s="48"/>
      <c r="I26" s="2"/>
    </row>
    <row r="27" spans="5:32">
      <c r="G27" s="46"/>
      <c r="I27" s="2"/>
    </row>
    <row r="28" spans="5:32">
      <c r="G28" s="46"/>
      <c r="I28" s="2"/>
    </row>
    <row r="29" spans="5:32">
      <c r="G29" s="46"/>
      <c r="I29" s="2"/>
    </row>
    <row r="30" spans="5:32">
      <c r="G30" s="46"/>
      <c r="I30" s="2"/>
    </row>
    <row r="31" spans="5:32">
      <c r="G31" s="46"/>
      <c r="I31" s="2"/>
    </row>
    <row r="32" spans="5:32">
      <c r="G32" s="46"/>
      <c r="I32" s="2"/>
    </row>
    <row r="33" spans="5:9">
      <c r="G33" s="46"/>
      <c r="I33" s="2"/>
    </row>
    <row r="34" spans="5:9">
      <c r="G34" s="46"/>
      <c r="I34" s="2"/>
    </row>
    <row r="35" spans="5:9">
      <c r="G35" s="46"/>
      <c r="I35" s="2"/>
    </row>
    <row r="36" spans="5:9">
      <c r="G36" s="46"/>
      <c r="I36" s="2"/>
    </row>
    <row r="37" spans="5:9">
      <c r="G37" s="46"/>
      <c r="I37" s="2"/>
    </row>
    <row r="38" spans="5:9">
      <c r="G38" s="47"/>
      <c r="I38" s="2"/>
    </row>
    <row r="39" spans="5:9">
      <c r="E39" s="41"/>
    </row>
    <row r="40" spans="5:9">
      <c r="H40" s="2"/>
    </row>
  </sheetData>
  <mergeCells count="3">
    <mergeCell ref="F7:G7"/>
    <mergeCell ref="H7:I7"/>
    <mergeCell ref="C7:C9"/>
  </mergeCells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89D7C2-2ED0-40C3-B2C7-3312C1975BBC}">
  <dimension ref="C1:AH30"/>
  <sheetViews>
    <sheetView showGridLines="0" showRowColHeaders="0" topLeftCell="A2" workbookViewId="0">
      <selection activeCell="B2" sqref="B2"/>
    </sheetView>
  </sheetViews>
  <sheetFormatPr baseColWidth="10" defaultRowHeight="12.75"/>
  <cols>
    <col min="1" max="1" width="0.42578125" customWidth="1"/>
    <col min="2" max="2" width="2.5703125" customWidth="1"/>
    <col min="3" max="3" width="23.5703125" customWidth="1"/>
    <col min="4" max="4" width="1.42578125" customWidth="1"/>
    <col min="5" max="5" width="105.5703125" customWidth="1"/>
    <col min="7" max="7" width="30.42578125" bestFit="1" customWidth="1"/>
  </cols>
  <sheetData>
    <row r="1" spans="3:34" ht="0.6" customHeight="1"/>
    <row r="2" spans="3:34" ht="21" customHeight="1">
      <c r="E2" s="100" t="s">
        <v>1</v>
      </c>
    </row>
    <row r="3" spans="3:34" ht="15" customHeight="1">
      <c r="E3" s="109" t="str">
        <f>Indice!E3</f>
        <v>Marzo 2024</v>
      </c>
    </row>
    <row r="4" spans="3:34" ht="20.100000000000001" customHeight="1">
      <c r="C4" s="99" t="s">
        <v>67</v>
      </c>
    </row>
    <row r="5" spans="3:34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3:34">
      <c r="AG6" s="42"/>
      <c r="AH6" s="42"/>
    </row>
    <row r="7" spans="3:34" ht="12.75" customHeight="1">
      <c r="C7" s="312" t="s">
        <v>220</v>
      </c>
      <c r="E7" s="4"/>
    </row>
    <row r="8" spans="3:34">
      <c r="C8" s="312"/>
      <c r="E8" s="4"/>
    </row>
    <row r="9" spans="3:34">
      <c r="C9" s="312"/>
      <c r="E9" s="4"/>
    </row>
    <row r="10" spans="3:34">
      <c r="C10" s="312"/>
      <c r="E10" s="4"/>
    </row>
    <row r="11" spans="3:34">
      <c r="E11" s="4"/>
    </row>
    <row r="12" spans="3:34">
      <c r="C12" s="114"/>
      <c r="E12" s="4"/>
    </row>
    <row r="13" spans="3:34">
      <c r="E13" s="4"/>
    </row>
    <row r="14" spans="3:34">
      <c r="E14" s="4"/>
    </row>
    <row r="15" spans="3:34">
      <c r="E15" s="4"/>
    </row>
    <row r="16" spans="3:34">
      <c r="E16" s="4"/>
    </row>
    <row r="17" spans="3:32">
      <c r="E17" s="4"/>
    </row>
    <row r="18" spans="3:32">
      <c r="E18" s="4"/>
    </row>
    <row r="19" spans="3:32">
      <c r="E19" s="4"/>
    </row>
    <row r="20" spans="3:32">
      <c r="E20" s="4"/>
    </row>
    <row r="21" spans="3:32">
      <c r="E21" s="4"/>
    </row>
    <row r="24" spans="3:32">
      <c r="C24" s="114"/>
    </row>
    <row r="25" spans="3:32">
      <c r="C25" s="114"/>
      <c r="E25" s="110"/>
    </row>
    <row r="26" spans="3:32">
      <c r="C26" s="114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</row>
    <row r="27" spans="3:32">
      <c r="C27" s="114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</row>
    <row r="28" spans="3:32">
      <c r="C28" s="114"/>
    </row>
    <row r="29" spans="3:32">
      <c r="C29" s="11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</row>
    <row r="30" spans="3:32"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</row>
  </sheetData>
  <mergeCells count="1">
    <mergeCell ref="C7:C10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20"/>
  <dimension ref="A1:AA427"/>
  <sheetViews>
    <sheetView topLeftCell="A2" workbookViewId="0">
      <selection activeCell="D29" sqref="D29"/>
    </sheetView>
  </sheetViews>
  <sheetFormatPr baseColWidth="10" defaultRowHeight="12.75"/>
  <cols>
    <col min="1" max="1" width="2.5703125" customWidth="1"/>
    <col min="2" max="2" width="23.5703125" customWidth="1"/>
    <col min="3" max="3" width="1.42578125" customWidth="1"/>
    <col min="4" max="4" width="105.5703125" customWidth="1"/>
    <col min="5" max="5" width="11.42578125" style="50"/>
    <col min="6" max="6" width="13.42578125" style="50" customWidth="1"/>
    <col min="7" max="7" width="13.42578125" style="50" bestFit="1" customWidth="1"/>
    <col min="8" max="8" width="11.42578125" style="50"/>
    <col min="9" max="9" width="14.5703125" style="50" customWidth="1"/>
    <col min="10" max="20" width="13.5703125" style="50" customWidth="1"/>
    <col min="21" max="260" width="11.42578125" style="50"/>
    <col min="261" max="261" width="4.42578125" style="50" customWidth="1"/>
    <col min="262" max="262" width="13.42578125" style="50" customWidth="1"/>
    <col min="263" max="267" width="11.42578125" style="50"/>
    <col min="268" max="268" width="4" style="50" bestFit="1" customWidth="1"/>
    <col min="269" max="269" width="4.42578125" style="50" bestFit="1" customWidth="1"/>
    <col min="270" max="270" width="4.5703125" style="50" customWidth="1"/>
    <col min="271" max="516" width="11.42578125" style="50"/>
    <col min="517" max="517" width="4.42578125" style="50" customWidth="1"/>
    <col min="518" max="518" width="13.42578125" style="50" customWidth="1"/>
    <col min="519" max="523" width="11.42578125" style="50"/>
    <col min="524" max="524" width="4" style="50" bestFit="1" customWidth="1"/>
    <col min="525" max="525" width="4.42578125" style="50" bestFit="1" customWidth="1"/>
    <col min="526" max="526" width="4.5703125" style="50" customWidth="1"/>
    <col min="527" max="772" width="11.42578125" style="50"/>
    <col min="773" max="773" width="4.42578125" style="50" customWidth="1"/>
    <col min="774" max="774" width="13.42578125" style="50" customWidth="1"/>
    <col min="775" max="779" width="11.42578125" style="50"/>
    <col min="780" max="780" width="4" style="50" bestFit="1" customWidth="1"/>
    <col min="781" max="781" width="4.42578125" style="50" bestFit="1" customWidth="1"/>
    <col min="782" max="782" width="4.5703125" style="50" customWidth="1"/>
    <col min="783" max="1028" width="11.42578125" style="50"/>
    <col min="1029" max="1029" width="4.42578125" style="50" customWidth="1"/>
    <col min="1030" max="1030" width="13.42578125" style="50" customWidth="1"/>
    <col min="1031" max="1035" width="11.42578125" style="50"/>
    <col min="1036" max="1036" width="4" style="50" bestFit="1" customWidth="1"/>
    <col min="1037" max="1037" width="4.42578125" style="50" bestFit="1" customWidth="1"/>
    <col min="1038" max="1038" width="4.5703125" style="50" customWidth="1"/>
    <col min="1039" max="1284" width="11.42578125" style="50"/>
    <col min="1285" max="1285" width="4.42578125" style="50" customWidth="1"/>
    <col min="1286" max="1286" width="13.42578125" style="50" customWidth="1"/>
    <col min="1287" max="1291" width="11.42578125" style="50"/>
    <col min="1292" max="1292" width="4" style="50" bestFit="1" customWidth="1"/>
    <col min="1293" max="1293" width="4.42578125" style="50" bestFit="1" customWidth="1"/>
    <col min="1294" max="1294" width="4.5703125" style="50" customWidth="1"/>
    <col min="1295" max="1540" width="11.42578125" style="50"/>
    <col min="1541" max="1541" width="4.42578125" style="50" customWidth="1"/>
    <col min="1542" max="1542" width="13.42578125" style="50" customWidth="1"/>
    <col min="1543" max="1547" width="11.42578125" style="50"/>
    <col min="1548" max="1548" width="4" style="50" bestFit="1" customWidth="1"/>
    <col min="1549" max="1549" width="4.42578125" style="50" bestFit="1" customWidth="1"/>
    <col min="1550" max="1550" width="4.5703125" style="50" customWidth="1"/>
    <col min="1551" max="1796" width="11.42578125" style="50"/>
    <col min="1797" max="1797" width="4.42578125" style="50" customWidth="1"/>
    <col min="1798" max="1798" width="13.42578125" style="50" customWidth="1"/>
    <col min="1799" max="1803" width="11.42578125" style="50"/>
    <col min="1804" max="1804" width="4" style="50" bestFit="1" customWidth="1"/>
    <col min="1805" max="1805" width="4.42578125" style="50" bestFit="1" customWidth="1"/>
    <col min="1806" max="1806" width="4.5703125" style="50" customWidth="1"/>
    <col min="1807" max="2052" width="11.42578125" style="50"/>
    <col min="2053" max="2053" width="4.42578125" style="50" customWidth="1"/>
    <col min="2054" max="2054" width="13.42578125" style="50" customWidth="1"/>
    <col min="2055" max="2059" width="11.42578125" style="50"/>
    <col min="2060" max="2060" width="4" style="50" bestFit="1" customWidth="1"/>
    <col min="2061" max="2061" width="4.42578125" style="50" bestFit="1" customWidth="1"/>
    <col min="2062" max="2062" width="4.5703125" style="50" customWidth="1"/>
    <col min="2063" max="2308" width="11.42578125" style="50"/>
    <col min="2309" max="2309" width="4.42578125" style="50" customWidth="1"/>
    <col min="2310" max="2310" width="13.42578125" style="50" customWidth="1"/>
    <col min="2311" max="2315" width="11.42578125" style="50"/>
    <col min="2316" max="2316" width="4" style="50" bestFit="1" customWidth="1"/>
    <col min="2317" max="2317" width="4.42578125" style="50" bestFit="1" customWidth="1"/>
    <col min="2318" max="2318" width="4.5703125" style="50" customWidth="1"/>
    <col min="2319" max="2564" width="11.42578125" style="50"/>
    <col min="2565" max="2565" width="4.42578125" style="50" customWidth="1"/>
    <col min="2566" max="2566" width="13.42578125" style="50" customWidth="1"/>
    <col min="2567" max="2571" width="11.42578125" style="50"/>
    <col min="2572" max="2572" width="4" style="50" bestFit="1" customWidth="1"/>
    <col min="2573" max="2573" width="4.42578125" style="50" bestFit="1" customWidth="1"/>
    <col min="2574" max="2574" width="4.5703125" style="50" customWidth="1"/>
    <col min="2575" max="2820" width="11.42578125" style="50"/>
    <col min="2821" max="2821" width="4.42578125" style="50" customWidth="1"/>
    <col min="2822" max="2822" width="13.42578125" style="50" customWidth="1"/>
    <col min="2823" max="2827" width="11.42578125" style="50"/>
    <col min="2828" max="2828" width="4" style="50" bestFit="1" customWidth="1"/>
    <col min="2829" max="2829" width="4.42578125" style="50" bestFit="1" customWidth="1"/>
    <col min="2830" max="2830" width="4.5703125" style="50" customWidth="1"/>
    <col min="2831" max="3076" width="11.42578125" style="50"/>
    <col min="3077" max="3077" width="4.42578125" style="50" customWidth="1"/>
    <col min="3078" max="3078" width="13.42578125" style="50" customWidth="1"/>
    <col min="3079" max="3083" width="11.42578125" style="50"/>
    <col min="3084" max="3084" width="4" style="50" bestFit="1" customWidth="1"/>
    <col min="3085" max="3085" width="4.42578125" style="50" bestFit="1" customWidth="1"/>
    <col min="3086" max="3086" width="4.5703125" style="50" customWidth="1"/>
    <col min="3087" max="3332" width="11.42578125" style="50"/>
    <col min="3333" max="3333" width="4.42578125" style="50" customWidth="1"/>
    <col min="3334" max="3334" width="13.42578125" style="50" customWidth="1"/>
    <col min="3335" max="3339" width="11.42578125" style="50"/>
    <col min="3340" max="3340" width="4" style="50" bestFit="1" customWidth="1"/>
    <col min="3341" max="3341" width="4.42578125" style="50" bestFit="1" customWidth="1"/>
    <col min="3342" max="3342" width="4.5703125" style="50" customWidth="1"/>
    <col min="3343" max="3588" width="11.42578125" style="50"/>
    <col min="3589" max="3589" width="4.42578125" style="50" customWidth="1"/>
    <col min="3590" max="3590" width="13.42578125" style="50" customWidth="1"/>
    <col min="3591" max="3595" width="11.42578125" style="50"/>
    <col min="3596" max="3596" width="4" style="50" bestFit="1" customWidth="1"/>
    <col min="3597" max="3597" width="4.42578125" style="50" bestFit="1" customWidth="1"/>
    <col min="3598" max="3598" width="4.5703125" style="50" customWidth="1"/>
    <col min="3599" max="3844" width="11.42578125" style="50"/>
    <col min="3845" max="3845" width="4.42578125" style="50" customWidth="1"/>
    <col min="3846" max="3846" width="13.42578125" style="50" customWidth="1"/>
    <col min="3847" max="3851" width="11.42578125" style="50"/>
    <col min="3852" max="3852" width="4" style="50" bestFit="1" customWidth="1"/>
    <col min="3853" max="3853" width="4.42578125" style="50" bestFit="1" customWidth="1"/>
    <col min="3854" max="3854" width="4.5703125" style="50" customWidth="1"/>
    <col min="3855" max="4100" width="11.42578125" style="50"/>
    <col min="4101" max="4101" width="4.42578125" style="50" customWidth="1"/>
    <col min="4102" max="4102" width="13.42578125" style="50" customWidth="1"/>
    <col min="4103" max="4107" width="11.42578125" style="50"/>
    <col min="4108" max="4108" width="4" style="50" bestFit="1" customWidth="1"/>
    <col min="4109" max="4109" width="4.42578125" style="50" bestFit="1" customWidth="1"/>
    <col min="4110" max="4110" width="4.5703125" style="50" customWidth="1"/>
    <col min="4111" max="4356" width="11.42578125" style="50"/>
    <col min="4357" max="4357" width="4.42578125" style="50" customWidth="1"/>
    <col min="4358" max="4358" width="13.42578125" style="50" customWidth="1"/>
    <col min="4359" max="4363" width="11.42578125" style="50"/>
    <col min="4364" max="4364" width="4" style="50" bestFit="1" customWidth="1"/>
    <col min="4365" max="4365" width="4.42578125" style="50" bestFit="1" customWidth="1"/>
    <col min="4366" max="4366" width="4.5703125" style="50" customWidth="1"/>
    <col min="4367" max="4612" width="11.42578125" style="50"/>
    <col min="4613" max="4613" width="4.42578125" style="50" customWidth="1"/>
    <col min="4614" max="4614" width="13.42578125" style="50" customWidth="1"/>
    <col min="4615" max="4619" width="11.42578125" style="50"/>
    <col min="4620" max="4620" width="4" style="50" bestFit="1" customWidth="1"/>
    <col min="4621" max="4621" width="4.42578125" style="50" bestFit="1" customWidth="1"/>
    <col min="4622" max="4622" width="4.5703125" style="50" customWidth="1"/>
    <col min="4623" max="4868" width="11.42578125" style="50"/>
    <col min="4869" max="4869" width="4.42578125" style="50" customWidth="1"/>
    <col min="4870" max="4870" width="13.42578125" style="50" customWidth="1"/>
    <col min="4871" max="4875" width="11.42578125" style="50"/>
    <col min="4876" max="4876" width="4" style="50" bestFit="1" customWidth="1"/>
    <col min="4877" max="4877" width="4.42578125" style="50" bestFit="1" customWidth="1"/>
    <col min="4878" max="4878" width="4.5703125" style="50" customWidth="1"/>
    <col min="4879" max="5124" width="11.42578125" style="50"/>
    <col min="5125" max="5125" width="4.42578125" style="50" customWidth="1"/>
    <col min="5126" max="5126" width="13.42578125" style="50" customWidth="1"/>
    <col min="5127" max="5131" width="11.42578125" style="50"/>
    <col min="5132" max="5132" width="4" style="50" bestFit="1" customWidth="1"/>
    <col min="5133" max="5133" width="4.42578125" style="50" bestFit="1" customWidth="1"/>
    <col min="5134" max="5134" width="4.5703125" style="50" customWidth="1"/>
    <col min="5135" max="5380" width="11.42578125" style="50"/>
    <col min="5381" max="5381" width="4.42578125" style="50" customWidth="1"/>
    <col min="5382" max="5382" width="13.42578125" style="50" customWidth="1"/>
    <col min="5383" max="5387" width="11.42578125" style="50"/>
    <col min="5388" max="5388" width="4" style="50" bestFit="1" customWidth="1"/>
    <col min="5389" max="5389" width="4.42578125" style="50" bestFit="1" customWidth="1"/>
    <col min="5390" max="5390" width="4.5703125" style="50" customWidth="1"/>
    <col min="5391" max="5636" width="11.42578125" style="50"/>
    <col min="5637" max="5637" width="4.42578125" style="50" customWidth="1"/>
    <col min="5638" max="5638" width="13.42578125" style="50" customWidth="1"/>
    <col min="5639" max="5643" width="11.42578125" style="50"/>
    <col min="5644" max="5644" width="4" style="50" bestFit="1" customWidth="1"/>
    <col min="5645" max="5645" width="4.42578125" style="50" bestFit="1" customWidth="1"/>
    <col min="5646" max="5646" width="4.5703125" style="50" customWidth="1"/>
    <col min="5647" max="5892" width="11.42578125" style="50"/>
    <col min="5893" max="5893" width="4.42578125" style="50" customWidth="1"/>
    <col min="5894" max="5894" width="13.42578125" style="50" customWidth="1"/>
    <col min="5895" max="5899" width="11.42578125" style="50"/>
    <col min="5900" max="5900" width="4" style="50" bestFit="1" customWidth="1"/>
    <col min="5901" max="5901" width="4.42578125" style="50" bestFit="1" customWidth="1"/>
    <col min="5902" max="5902" width="4.5703125" style="50" customWidth="1"/>
    <col min="5903" max="6148" width="11.42578125" style="50"/>
    <col min="6149" max="6149" width="4.42578125" style="50" customWidth="1"/>
    <col min="6150" max="6150" width="13.42578125" style="50" customWidth="1"/>
    <col min="6151" max="6155" width="11.42578125" style="50"/>
    <col min="6156" max="6156" width="4" style="50" bestFit="1" customWidth="1"/>
    <col min="6157" max="6157" width="4.42578125" style="50" bestFit="1" customWidth="1"/>
    <col min="6158" max="6158" width="4.5703125" style="50" customWidth="1"/>
    <col min="6159" max="6404" width="11.42578125" style="50"/>
    <col min="6405" max="6405" width="4.42578125" style="50" customWidth="1"/>
    <col min="6406" max="6406" width="13.42578125" style="50" customWidth="1"/>
    <col min="6407" max="6411" width="11.42578125" style="50"/>
    <col min="6412" max="6412" width="4" style="50" bestFit="1" customWidth="1"/>
    <col min="6413" max="6413" width="4.42578125" style="50" bestFit="1" customWidth="1"/>
    <col min="6414" max="6414" width="4.5703125" style="50" customWidth="1"/>
    <col min="6415" max="6660" width="11.42578125" style="50"/>
    <col min="6661" max="6661" width="4.42578125" style="50" customWidth="1"/>
    <col min="6662" max="6662" width="13.42578125" style="50" customWidth="1"/>
    <col min="6663" max="6667" width="11.42578125" style="50"/>
    <col min="6668" max="6668" width="4" style="50" bestFit="1" customWidth="1"/>
    <col min="6669" max="6669" width="4.42578125" style="50" bestFit="1" customWidth="1"/>
    <col min="6670" max="6670" width="4.5703125" style="50" customWidth="1"/>
    <col min="6671" max="6916" width="11.42578125" style="50"/>
    <col min="6917" max="6917" width="4.42578125" style="50" customWidth="1"/>
    <col min="6918" max="6918" width="13.42578125" style="50" customWidth="1"/>
    <col min="6919" max="6923" width="11.42578125" style="50"/>
    <col min="6924" max="6924" width="4" style="50" bestFit="1" customWidth="1"/>
    <col min="6925" max="6925" width="4.42578125" style="50" bestFit="1" customWidth="1"/>
    <col min="6926" max="6926" width="4.5703125" style="50" customWidth="1"/>
    <col min="6927" max="7172" width="11.42578125" style="50"/>
    <col min="7173" max="7173" width="4.42578125" style="50" customWidth="1"/>
    <col min="7174" max="7174" width="13.42578125" style="50" customWidth="1"/>
    <col min="7175" max="7179" width="11.42578125" style="50"/>
    <col min="7180" max="7180" width="4" style="50" bestFit="1" customWidth="1"/>
    <col min="7181" max="7181" width="4.42578125" style="50" bestFit="1" customWidth="1"/>
    <col min="7182" max="7182" width="4.5703125" style="50" customWidth="1"/>
    <col min="7183" max="7428" width="11.42578125" style="50"/>
    <col min="7429" max="7429" width="4.42578125" style="50" customWidth="1"/>
    <col min="7430" max="7430" width="13.42578125" style="50" customWidth="1"/>
    <col min="7431" max="7435" width="11.42578125" style="50"/>
    <col min="7436" max="7436" width="4" style="50" bestFit="1" customWidth="1"/>
    <col min="7437" max="7437" width="4.42578125" style="50" bestFit="1" customWidth="1"/>
    <col min="7438" max="7438" width="4.5703125" style="50" customWidth="1"/>
    <col min="7439" max="7684" width="11.42578125" style="50"/>
    <col min="7685" max="7685" width="4.42578125" style="50" customWidth="1"/>
    <col min="7686" max="7686" width="13.42578125" style="50" customWidth="1"/>
    <col min="7687" max="7691" width="11.42578125" style="50"/>
    <col min="7692" max="7692" width="4" style="50" bestFit="1" customWidth="1"/>
    <col min="7693" max="7693" width="4.42578125" style="50" bestFit="1" customWidth="1"/>
    <col min="7694" max="7694" width="4.5703125" style="50" customWidth="1"/>
    <col min="7695" max="7940" width="11.42578125" style="50"/>
    <col min="7941" max="7941" width="4.42578125" style="50" customWidth="1"/>
    <col min="7942" max="7942" width="13.42578125" style="50" customWidth="1"/>
    <col min="7943" max="7947" width="11.42578125" style="50"/>
    <col min="7948" max="7948" width="4" style="50" bestFit="1" customWidth="1"/>
    <col min="7949" max="7949" width="4.42578125" style="50" bestFit="1" customWidth="1"/>
    <col min="7950" max="7950" width="4.5703125" style="50" customWidth="1"/>
    <col min="7951" max="8196" width="11.42578125" style="50"/>
    <col min="8197" max="8197" width="4.42578125" style="50" customWidth="1"/>
    <col min="8198" max="8198" width="13.42578125" style="50" customWidth="1"/>
    <col min="8199" max="8203" width="11.42578125" style="50"/>
    <col min="8204" max="8204" width="4" style="50" bestFit="1" customWidth="1"/>
    <col min="8205" max="8205" width="4.42578125" style="50" bestFit="1" customWidth="1"/>
    <col min="8206" max="8206" width="4.5703125" style="50" customWidth="1"/>
    <col min="8207" max="8452" width="11.42578125" style="50"/>
    <col min="8453" max="8453" width="4.42578125" style="50" customWidth="1"/>
    <col min="8454" max="8454" width="13.42578125" style="50" customWidth="1"/>
    <col min="8455" max="8459" width="11.42578125" style="50"/>
    <col min="8460" max="8460" width="4" style="50" bestFit="1" customWidth="1"/>
    <col min="8461" max="8461" width="4.42578125" style="50" bestFit="1" customWidth="1"/>
    <col min="8462" max="8462" width="4.5703125" style="50" customWidth="1"/>
    <col min="8463" max="8708" width="11.42578125" style="50"/>
    <col min="8709" max="8709" width="4.42578125" style="50" customWidth="1"/>
    <col min="8710" max="8710" width="13.42578125" style="50" customWidth="1"/>
    <col min="8711" max="8715" width="11.42578125" style="50"/>
    <col min="8716" max="8716" width="4" style="50" bestFit="1" customWidth="1"/>
    <col min="8717" max="8717" width="4.42578125" style="50" bestFit="1" customWidth="1"/>
    <col min="8718" max="8718" width="4.5703125" style="50" customWidth="1"/>
    <col min="8719" max="8964" width="11.42578125" style="50"/>
    <col min="8965" max="8965" width="4.42578125" style="50" customWidth="1"/>
    <col min="8966" max="8966" width="13.42578125" style="50" customWidth="1"/>
    <col min="8967" max="8971" width="11.42578125" style="50"/>
    <col min="8972" max="8972" width="4" style="50" bestFit="1" customWidth="1"/>
    <col min="8973" max="8973" width="4.42578125" style="50" bestFit="1" customWidth="1"/>
    <col min="8974" max="8974" width="4.5703125" style="50" customWidth="1"/>
    <col min="8975" max="9220" width="11.42578125" style="50"/>
    <col min="9221" max="9221" width="4.42578125" style="50" customWidth="1"/>
    <col min="9222" max="9222" width="13.42578125" style="50" customWidth="1"/>
    <col min="9223" max="9227" width="11.42578125" style="50"/>
    <col min="9228" max="9228" width="4" style="50" bestFit="1" customWidth="1"/>
    <col min="9229" max="9229" width="4.42578125" style="50" bestFit="1" customWidth="1"/>
    <col min="9230" max="9230" width="4.5703125" style="50" customWidth="1"/>
    <col min="9231" max="9476" width="11.42578125" style="50"/>
    <col min="9477" max="9477" width="4.42578125" style="50" customWidth="1"/>
    <col min="9478" max="9478" width="13.42578125" style="50" customWidth="1"/>
    <col min="9479" max="9483" width="11.42578125" style="50"/>
    <col min="9484" max="9484" width="4" style="50" bestFit="1" customWidth="1"/>
    <col min="9485" max="9485" width="4.42578125" style="50" bestFit="1" customWidth="1"/>
    <col min="9486" max="9486" width="4.5703125" style="50" customWidth="1"/>
    <col min="9487" max="9732" width="11.42578125" style="50"/>
    <col min="9733" max="9733" width="4.42578125" style="50" customWidth="1"/>
    <col min="9734" max="9734" width="13.42578125" style="50" customWidth="1"/>
    <col min="9735" max="9739" width="11.42578125" style="50"/>
    <col min="9740" max="9740" width="4" style="50" bestFit="1" customWidth="1"/>
    <col min="9741" max="9741" width="4.42578125" style="50" bestFit="1" customWidth="1"/>
    <col min="9742" max="9742" width="4.5703125" style="50" customWidth="1"/>
    <col min="9743" max="9988" width="11.42578125" style="50"/>
    <col min="9989" max="9989" width="4.42578125" style="50" customWidth="1"/>
    <col min="9990" max="9990" width="13.42578125" style="50" customWidth="1"/>
    <col min="9991" max="9995" width="11.42578125" style="50"/>
    <col min="9996" max="9996" width="4" style="50" bestFit="1" customWidth="1"/>
    <col min="9997" max="9997" width="4.42578125" style="50" bestFit="1" customWidth="1"/>
    <col min="9998" max="9998" width="4.5703125" style="50" customWidth="1"/>
    <col min="9999" max="10244" width="11.42578125" style="50"/>
    <col min="10245" max="10245" width="4.42578125" style="50" customWidth="1"/>
    <col min="10246" max="10246" width="13.42578125" style="50" customWidth="1"/>
    <col min="10247" max="10251" width="11.42578125" style="50"/>
    <col min="10252" max="10252" width="4" style="50" bestFit="1" customWidth="1"/>
    <col min="10253" max="10253" width="4.42578125" style="50" bestFit="1" customWidth="1"/>
    <col min="10254" max="10254" width="4.5703125" style="50" customWidth="1"/>
    <col min="10255" max="10500" width="11.42578125" style="50"/>
    <col min="10501" max="10501" width="4.42578125" style="50" customWidth="1"/>
    <col min="10502" max="10502" width="13.42578125" style="50" customWidth="1"/>
    <col min="10503" max="10507" width="11.42578125" style="50"/>
    <col min="10508" max="10508" width="4" style="50" bestFit="1" customWidth="1"/>
    <col min="10509" max="10509" width="4.42578125" style="50" bestFit="1" customWidth="1"/>
    <col min="10510" max="10510" width="4.5703125" style="50" customWidth="1"/>
    <col min="10511" max="10756" width="11.42578125" style="50"/>
    <col min="10757" max="10757" width="4.42578125" style="50" customWidth="1"/>
    <col min="10758" max="10758" width="13.42578125" style="50" customWidth="1"/>
    <col min="10759" max="10763" width="11.42578125" style="50"/>
    <col min="10764" max="10764" width="4" style="50" bestFit="1" customWidth="1"/>
    <col min="10765" max="10765" width="4.42578125" style="50" bestFit="1" customWidth="1"/>
    <col min="10766" max="10766" width="4.5703125" style="50" customWidth="1"/>
    <col min="10767" max="11012" width="11.42578125" style="50"/>
    <col min="11013" max="11013" width="4.42578125" style="50" customWidth="1"/>
    <col min="11014" max="11014" width="13.42578125" style="50" customWidth="1"/>
    <col min="11015" max="11019" width="11.42578125" style="50"/>
    <col min="11020" max="11020" width="4" style="50" bestFit="1" customWidth="1"/>
    <col min="11021" max="11021" width="4.42578125" style="50" bestFit="1" customWidth="1"/>
    <col min="11022" max="11022" width="4.5703125" style="50" customWidth="1"/>
    <col min="11023" max="11268" width="11.42578125" style="50"/>
    <col min="11269" max="11269" width="4.42578125" style="50" customWidth="1"/>
    <col min="11270" max="11270" width="13.42578125" style="50" customWidth="1"/>
    <col min="11271" max="11275" width="11.42578125" style="50"/>
    <col min="11276" max="11276" width="4" style="50" bestFit="1" customWidth="1"/>
    <col min="11277" max="11277" width="4.42578125" style="50" bestFit="1" customWidth="1"/>
    <col min="11278" max="11278" width="4.5703125" style="50" customWidth="1"/>
    <col min="11279" max="11524" width="11.42578125" style="50"/>
    <col min="11525" max="11525" width="4.42578125" style="50" customWidth="1"/>
    <col min="11526" max="11526" width="13.42578125" style="50" customWidth="1"/>
    <col min="11527" max="11531" width="11.42578125" style="50"/>
    <col min="11532" max="11532" width="4" style="50" bestFit="1" customWidth="1"/>
    <col min="11533" max="11533" width="4.42578125" style="50" bestFit="1" customWidth="1"/>
    <col min="11534" max="11534" width="4.5703125" style="50" customWidth="1"/>
    <col min="11535" max="11780" width="11.42578125" style="50"/>
    <col min="11781" max="11781" width="4.42578125" style="50" customWidth="1"/>
    <col min="11782" max="11782" width="13.42578125" style="50" customWidth="1"/>
    <col min="11783" max="11787" width="11.42578125" style="50"/>
    <col min="11788" max="11788" width="4" style="50" bestFit="1" customWidth="1"/>
    <col min="11789" max="11789" width="4.42578125" style="50" bestFit="1" customWidth="1"/>
    <col min="11790" max="11790" width="4.5703125" style="50" customWidth="1"/>
    <col min="11791" max="12036" width="11.42578125" style="50"/>
    <col min="12037" max="12037" width="4.42578125" style="50" customWidth="1"/>
    <col min="12038" max="12038" width="13.42578125" style="50" customWidth="1"/>
    <col min="12039" max="12043" width="11.42578125" style="50"/>
    <col min="12044" max="12044" width="4" style="50" bestFit="1" customWidth="1"/>
    <col min="12045" max="12045" width="4.42578125" style="50" bestFit="1" customWidth="1"/>
    <col min="12046" max="12046" width="4.5703125" style="50" customWidth="1"/>
    <col min="12047" max="12292" width="11.42578125" style="50"/>
    <col min="12293" max="12293" width="4.42578125" style="50" customWidth="1"/>
    <col min="12294" max="12294" width="13.42578125" style="50" customWidth="1"/>
    <col min="12295" max="12299" width="11.42578125" style="50"/>
    <col min="12300" max="12300" width="4" style="50" bestFit="1" customWidth="1"/>
    <col min="12301" max="12301" width="4.42578125" style="50" bestFit="1" customWidth="1"/>
    <col min="12302" max="12302" width="4.5703125" style="50" customWidth="1"/>
    <col min="12303" max="12548" width="11.42578125" style="50"/>
    <col min="12549" max="12549" width="4.42578125" style="50" customWidth="1"/>
    <col min="12550" max="12550" width="13.42578125" style="50" customWidth="1"/>
    <col min="12551" max="12555" width="11.42578125" style="50"/>
    <col min="12556" max="12556" width="4" style="50" bestFit="1" customWidth="1"/>
    <col min="12557" max="12557" width="4.42578125" style="50" bestFit="1" customWidth="1"/>
    <col min="12558" max="12558" width="4.5703125" style="50" customWidth="1"/>
    <col min="12559" max="12804" width="11.42578125" style="50"/>
    <col min="12805" max="12805" width="4.42578125" style="50" customWidth="1"/>
    <col min="12806" max="12806" width="13.42578125" style="50" customWidth="1"/>
    <col min="12807" max="12811" width="11.42578125" style="50"/>
    <col min="12812" max="12812" width="4" style="50" bestFit="1" customWidth="1"/>
    <col min="12813" max="12813" width="4.42578125" style="50" bestFit="1" customWidth="1"/>
    <col min="12814" max="12814" width="4.5703125" style="50" customWidth="1"/>
    <col min="12815" max="13060" width="11.42578125" style="50"/>
    <col min="13061" max="13061" width="4.42578125" style="50" customWidth="1"/>
    <col min="13062" max="13062" width="13.42578125" style="50" customWidth="1"/>
    <col min="13063" max="13067" width="11.42578125" style="50"/>
    <col min="13068" max="13068" width="4" style="50" bestFit="1" customWidth="1"/>
    <col min="13069" max="13069" width="4.42578125" style="50" bestFit="1" customWidth="1"/>
    <col min="13070" max="13070" width="4.5703125" style="50" customWidth="1"/>
    <col min="13071" max="13316" width="11.42578125" style="50"/>
    <col min="13317" max="13317" width="4.42578125" style="50" customWidth="1"/>
    <col min="13318" max="13318" width="13.42578125" style="50" customWidth="1"/>
    <col min="13319" max="13323" width="11.42578125" style="50"/>
    <col min="13324" max="13324" width="4" style="50" bestFit="1" customWidth="1"/>
    <col min="13325" max="13325" width="4.42578125" style="50" bestFit="1" customWidth="1"/>
    <col min="13326" max="13326" width="4.5703125" style="50" customWidth="1"/>
    <col min="13327" max="13572" width="11.42578125" style="50"/>
    <col min="13573" max="13573" width="4.42578125" style="50" customWidth="1"/>
    <col min="13574" max="13574" width="13.42578125" style="50" customWidth="1"/>
    <col min="13575" max="13579" width="11.42578125" style="50"/>
    <col min="13580" max="13580" width="4" style="50" bestFit="1" customWidth="1"/>
    <col min="13581" max="13581" width="4.42578125" style="50" bestFit="1" customWidth="1"/>
    <col min="13582" max="13582" width="4.5703125" style="50" customWidth="1"/>
    <col min="13583" max="13828" width="11.42578125" style="50"/>
    <col min="13829" max="13829" width="4.42578125" style="50" customWidth="1"/>
    <col min="13830" max="13830" width="13.42578125" style="50" customWidth="1"/>
    <col min="13831" max="13835" width="11.42578125" style="50"/>
    <col min="13836" max="13836" width="4" style="50" bestFit="1" customWidth="1"/>
    <col min="13837" max="13837" width="4.42578125" style="50" bestFit="1" customWidth="1"/>
    <col min="13838" max="13838" width="4.5703125" style="50" customWidth="1"/>
    <col min="13839" max="14084" width="11.42578125" style="50"/>
    <col min="14085" max="14085" width="4.42578125" style="50" customWidth="1"/>
    <col min="14086" max="14086" width="13.42578125" style="50" customWidth="1"/>
    <col min="14087" max="14091" width="11.42578125" style="50"/>
    <col min="14092" max="14092" width="4" style="50" bestFit="1" customWidth="1"/>
    <col min="14093" max="14093" width="4.42578125" style="50" bestFit="1" customWidth="1"/>
    <col min="14094" max="14094" width="4.5703125" style="50" customWidth="1"/>
    <col min="14095" max="14340" width="11.42578125" style="50"/>
    <col min="14341" max="14341" width="4.42578125" style="50" customWidth="1"/>
    <col min="14342" max="14342" width="13.42578125" style="50" customWidth="1"/>
    <col min="14343" max="14347" width="11.42578125" style="50"/>
    <col min="14348" max="14348" width="4" style="50" bestFit="1" customWidth="1"/>
    <col min="14349" max="14349" width="4.42578125" style="50" bestFit="1" customWidth="1"/>
    <col min="14350" max="14350" width="4.5703125" style="50" customWidth="1"/>
    <col min="14351" max="14596" width="11.42578125" style="50"/>
    <col min="14597" max="14597" width="4.42578125" style="50" customWidth="1"/>
    <col min="14598" max="14598" width="13.42578125" style="50" customWidth="1"/>
    <col min="14599" max="14603" width="11.42578125" style="50"/>
    <col min="14604" max="14604" width="4" style="50" bestFit="1" customWidth="1"/>
    <col min="14605" max="14605" width="4.42578125" style="50" bestFit="1" customWidth="1"/>
    <col min="14606" max="14606" width="4.5703125" style="50" customWidth="1"/>
    <col min="14607" max="14852" width="11.42578125" style="50"/>
    <col min="14853" max="14853" width="4.42578125" style="50" customWidth="1"/>
    <col min="14854" max="14854" width="13.42578125" style="50" customWidth="1"/>
    <col min="14855" max="14859" width="11.42578125" style="50"/>
    <col min="14860" max="14860" width="4" style="50" bestFit="1" customWidth="1"/>
    <col min="14861" max="14861" width="4.42578125" style="50" bestFit="1" customWidth="1"/>
    <col min="14862" max="14862" width="4.5703125" style="50" customWidth="1"/>
    <col min="14863" max="15108" width="11.42578125" style="50"/>
    <col min="15109" max="15109" width="4.42578125" style="50" customWidth="1"/>
    <col min="15110" max="15110" width="13.42578125" style="50" customWidth="1"/>
    <col min="15111" max="15115" width="11.42578125" style="50"/>
    <col min="15116" max="15116" width="4" style="50" bestFit="1" customWidth="1"/>
    <col min="15117" max="15117" width="4.42578125" style="50" bestFit="1" customWidth="1"/>
    <col min="15118" max="15118" width="4.5703125" style="50" customWidth="1"/>
    <col min="15119" max="15364" width="11.42578125" style="50"/>
    <col min="15365" max="15365" width="4.42578125" style="50" customWidth="1"/>
    <col min="15366" max="15366" width="13.42578125" style="50" customWidth="1"/>
    <col min="15367" max="15371" width="11.42578125" style="50"/>
    <col min="15372" max="15372" width="4" style="50" bestFit="1" customWidth="1"/>
    <col min="15373" max="15373" width="4.42578125" style="50" bestFit="1" customWidth="1"/>
    <col min="15374" max="15374" width="4.5703125" style="50" customWidth="1"/>
    <col min="15375" max="15620" width="11.42578125" style="50"/>
    <col min="15621" max="15621" width="4.42578125" style="50" customWidth="1"/>
    <col min="15622" max="15622" width="13.42578125" style="50" customWidth="1"/>
    <col min="15623" max="15627" width="11.42578125" style="50"/>
    <col min="15628" max="15628" width="4" style="50" bestFit="1" customWidth="1"/>
    <col min="15629" max="15629" width="4.42578125" style="50" bestFit="1" customWidth="1"/>
    <col min="15630" max="15630" width="4.5703125" style="50" customWidth="1"/>
    <col min="15631" max="15876" width="11.42578125" style="50"/>
    <col min="15877" max="15877" width="4.42578125" style="50" customWidth="1"/>
    <col min="15878" max="15878" width="13.42578125" style="50" customWidth="1"/>
    <col min="15879" max="15883" width="11.42578125" style="50"/>
    <col min="15884" max="15884" width="4" style="50" bestFit="1" customWidth="1"/>
    <col min="15885" max="15885" width="4.42578125" style="50" bestFit="1" customWidth="1"/>
    <col min="15886" max="15886" width="4.5703125" style="50" customWidth="1"/>
    <col min="15887" max="16132" width="11.42578125" style="50"/>
    <col min="16133" max="16133" width="4.42578125" style="50" customWidth="1"/>
    <col min="16134" max="16134" width="13.42578125" style="50" customWidth="1"/>
    <col min="16135" max="16139" width="11.42578125" style="50"/>
    <col min="16140" max="16140" width="4" style="50" bestFit="1" customWidth="1"/>
    <col min="16141" max="16141" width="4.42578125" style="50" bestFit="1" customWidth="1"/>
    <col min="16142" max="16142" width="4.5703125" style="50" customWidth="1"/>
    <col min="16143" max="16384" width="11.42578125" style="50"/>
  </cols>
  <sheetData>
    <row r="1" spans="2:22" hidden="1">
      <c r="F1" s="51"/>
    </row>
    <row r="2" spans="2:22" ht="21" customHeight="1">
      <c r="D2" s="100" t="s">
        <v>1</v>
      </c>
    </row>
    <row r="3" spans="2:22" ht="15" customHeight="1">
      <c r="D3" s="109" t="str">
        <f>Indice!E3</f>
        <v>Marzo 2024</v>
      </c>
    </row>
    <row r="4" spans="2:22" ht="20.100000000000001" customHeight="1">
      <c r="B4" s="99" t="s">
        <v>148</v>
      </c>
      <c r="V4" s="54"/>
    </row>
    <row r="5" spans="2:22">
      <c r="V5" s="54"/>
    </row>
    <row r="6" spans="2:22">
      <c r="V6" s="54"/>
    </row>
    <row r="7" spans="2:22">
      <c r="B7" s="312" t="s">
        <v>26</v>
      </c>
      <c r="V7" s="54"/>
    </row>
    <row r="8" spans="2:22">
      <c r="B8" s="312"/>
      <c r="V8" s="54"/>
    </row>
    <row r="9" spans="2:22">
      <c r="B9" s="312"/>
      <c r="V9" s="54"/>
    </row>
    <row r="10" spans="2:22">
      <c r="B10" s="102"/>
      <c r="D10" s="4"/>
      <c r="V10" s="54"/>
    </row>
    <row r="11" spans="2:22">
      <c r="D11" s="4"/>
      <c r="V11" s="54"/>
    </row>
    <row r="12" spans="2:22">
      <c r="D12" s="4"/>
      <c r="V12" s="54"/>
    </row>
    <row r="13" spans="2:22">
      <c r="D13" s="4"/>
      <c r="V13" s="54"/>
    </row>
    <row r="14" spans="2:22">
      <c r="D14" s="4"/>
      <c r="V14" s="54"/>
    </row>
    <row r="15" spans="2:22">
      <c r="D15" s="4"/>
      <c r="V15" s="54"/>
    </row>
    <row r="16" spans="2:22">
      <c r="D16" s="4"/>
      <c r="V16" s="54"/>
    </row>
    <row r="17" spans="4:27">
      <c r="D17" s="4"/>
      <c r="V17" s="54"/>
    </row>
    <row r="18" spans="4:27">
      <c r="D18" s="4"/>
      <c r="V18" s="54"/>
    </row>
    <row r="19" spans="4:27">
      <c r="D19" s="4"/>
      <c r="V19" s="54"/>
    </row>
    <row r="20" spans="4:27">
      <c r="D20" s="4"/>
      <c r="V20" s="54"/>
    </row>
    <row r="21" spans="4:27">
      <c r="D21" s="4"/>
      <c r="V21" s="54"/>
    </row>
    <row r="22" spans="4:27">
      <c r="D22" s="41"/>
      <c r="V22" s="54"/>
    </row>
    <row r="23" spans="4:27">
      <c r="V23" s="54"/>
    </row>
    <row r="24" spans="4:27">
      <c r="V24" s="54"/>
    </row>
    <row r="25" spans="4:27">
      <c r="V25" s="54"/>
    </row>
    <row r="26" spans="4:27">
      <c r="V26" s="54"/>
    </row>
    <row r="27" spans="4:27">
      <c r="V27" s="54"/>
    </row>
    <row r="28" spans="4:27">
      <c r="V28" s="54"/>
    </row>
    <row r="29" spans="4:27">
      <c r="V29" s="54"/>
    </row>
    <row r="30" spans="4:27">
      <c r="V30" s="54"/>
    </row>
    <row r="31" spans="4:27">
      <c r="V31" s="54"/>
      <c r="Y31" s="55"/>
      <c r="Z31" s="55"/>
      <c r="AA31" s="56"/>
    </row>
    <row r="32" spans="4:27">
      <c r="V32" s="54"/>
      <c r="Y32" s="55"/>
      <c r="Z32" s="55"/>
      <c r="AA32" s="56"/>
    </row>
    <row r="33" spans="22:27">
      <c r="V33" s="54"/>
      <c r="Y33" s="55"/>
      <c r="Z33" s="55"/>
      <c r="AA33" s="56"/>
    </row>
    <row r="34" spans="22:27">
      <c r="V34" s="54"/>
      <c r="Y34" s="55"/>
      <c r="Z34" s="55"/>
      <c r="AA34" s="56"/>
    </row>
    <row r="35" spans="22:27">
      <c r="V35" s="54"/>
      <c r="Y35" s="55"/>
      <c r="Z35" s="55"/>
      <c r="AA35" s="56"/>
    </row>
    <row r="36" spans="22:27">
      <c r="V36" s="54"/>
      <c r="Y36" s="55"/>
      <c r="Z36" s="55"/>
      <c r="AA36" s="56"/>
    </row>
    <row r="37" spans="22:27">
      <c r="V37" s="54"/>
      <c r="Y37" s="55"/>
      <c r="Z37" s="55"/>
      <c r="AA37" s="56"/>
    </row>
    <row r="38" spans="22:27">
      <c r="V38" s="54"/>
      <c r="Y38" s="55"/>
      <c r="Z38" s="55"/>
      <c r="AA38" s="56"/>
    </row>
    <row r="39" spans="22:27">
      <c r="V39" s="54"/>
      <c r="Y39" s="55"/>
      <c r="Z39" s="55"/>
      <c r="AA39" s="56"/>
    </row>
    <row r="40" spans="22:27">
      <c r="V40" s="54"/>
      <c r="Y40" s="55"/>
      <c r="Z40" s="55"/>
      <c r="AA40" s="56"/>
    </row>
    <row r="41" spans="22:27">
      <c r="V41" s="54"/>
      <c r="Y41" s="55"/>
      <c r="Z41" s="55"/>
      <c r="AA41" s="56"/>
    </row>
    <row r="42" spans="22:27">
      <c r="V42" s="54"/>
      <c r="Y42" s="55"/>
      <c r="Z42" s="55"/>
      <c r="AA42" s="56"/>
    </row>
    <row r="43" spans="22:27">
      <c r="V43" s="54"/>
      <c r="Y43" s="55"/>
      <c r="Z43" s="55"/>
      <c r="AA43" s="56"/>
    </row>
    <row r="44" spans="22:27">
      <c r="V44" s="54"/>
      <c r="Y44" s="55"/>
      <c r="Z44" s="55"/>
      <c r="AA44" s="56"/>
    </row>
    <row r="45" spans="22:27">
      <c r="V45" s="54"/>
      <c r="Y45" s="55"/>
      <c r="Z45" s="55"/>
      <c r="AA45" s="56"/>
    </row>
    <row r="46" spans="22:27">
      <c r="V46" s="54"/>
      <c r="Y46" s="55"/>
      <c r="Z46" s="55"/>
      <c r="AA46" s="56"/>
    </row>
    <row r="47" spans="22:27">
      <c r="V47" s="54"/>
      <c r="Y47" s="55"/>
      <c r="Z47" s="55"/>
      <c r="AA47" s="56"/>
    </row>
    <row r="48" spans="22:27">
      <c r="V48" s="54"/>
      <c r="Y48" s="55"/>
      <c r="Z48" s="55"/>
      <c r="AA48" s="56"/>
    </row>
    <row r="49" spans="22:27">
      <c r="V49" s="54"/>
      <c r="Y49" s="55"/>
      <c r="Z49" s="55"/>
      <c r="AA49" s="56"/>
    </row>
    <row r="50" spans="22:27">
      <c r="V50" s="54"/>
      <c r="Y50" s="55"/>
      <c r="Z50" s="55"/>
      <c r="AA50" s="56"/>
    </row>
    <row r="51" spans="22:27">
      <c r="V51" s="54"/>
      <c r="Y51" s="55"/>
      <c r="Z51" s="55"/>
      <c r="AA51" s="56"/>
    </row>
    <row r="52" spans="22:27">
      <c r="V52" s="54"/>
      <c r="Y52" s="55"/>
      <c r="Z52" s="55"/>
      <c r="AA52" s="56"/>
    </row>
    <row r="53" spans="22:27">
      <c r="V53" s="54"/>
      <c r="Y53" s="55"/>
      <c r="Z53" s="55"/>
      <c r="AA53" s="56"/>
    </row>
    <row r="54" spans="22:27">
      <c r="V54" s="54"/>
      <c r="Y54" s="55"/>
      <c r="Z54" s="55"/>
      <c r="AA54" s="56"/>
    </row>
    <row r="55" spans="22:27">
      <c r="V55" s="54"/>
      <c r="Y55" s="55"/>
      <c r="Z55" s="55"/>
      <c r="AA55" s="56"/>
    </row>
    <row r="56" spans="22:27">
      <c r="V56" s="54"/>
      <c r="Y56" s="55"/>
      <c r="Z56" s="55"/>
      <c r="AA56" s="56"/>
    </row>
    <row r="57" spans="22:27">
      <c r="V57" s="54"/>
      <c r="Y57" s="55"/>
      <c r="Z57" s="55"/>
      <c r="AA57" s="56"/>
    </row>
    <row r="58" spans="22:27">
      <c r="V58" s="54"/>
      <c r="Y58" s="55"/>
      <c r="Z58" s="55"/>
      <c r="AA58" s="56"/>
    </row>
    <row r="59" spans="22:27">
      <c r="V59" s="54"/>
      <c r="Y59" s="55"/>
      <c r="Z59" s="55"/>
      <c r="AA59" s="56"/>
    </row>
    <row r="60" spans="22:27">
      <c r="V60" s="54"/>
      <c r="Y60" s="55"/>
      <c r="Z60" s="55"/>
      <c r="AA60" s="56"/>
    </row>
    <row r="61" spans="22:27">
      <c r="V61" s="54"/>
      <c r="Y61" s="55"/>
      <c r="Z61" s="55"/>
      <c r="AA61" s="56"/>
    </row>
    <row r="62" spans="22:27">
      <c r="V62" s="54"/>
      <c r="Y62" s="55"/>
      <c r="Z62" s="55"/>
      <c r="AA62" s="56"/>
    </row>
    <row r="63" spans="22:27">
      <c r="V63" s="54"/>
      <c r="Y63" s="55"/>
      <c r="Z63" s="55"/>
      <c r="AA63" s="56"/>
    </row>
    <row r="64" spans="22:27">
      <c r="V64" s="54"/>
      <c r="Y64" s="55"/>
      <c r="Z64" s="55"/>
      <c r="AA64" s="56"/>
    </row>
    <row r="65" spans="22:27">
      <c r="V65" s="54"/>
      <c r="Y65" s="55"/>
      <c r="Z65" s="55"/>
      <c r="AA65" s="56"/>
    </row>
    <row r="66" spans="22:27">
      <c r="V66" s="54"/>
      <c r="Y66" s="55"/>
      <c r="Z66" s="55"/>
      <c r="AA66" s="56"/>
    </row>
    <row r="67" spans="22:27">
      <c r="V67" s="54"/>
      <c r="Y67" s="55"/>
      <c r="Z67" s="55"/>
      <c r="AA67" s="56"/>
    </row>
    <row r="68" spans="22:27">
      <c r="V68" s="54"/>
      <c r="Y68" s="55"/>
      <c r="Z68" s="55"/>
      <c r="AA68" s="56"/>
    </row>
    <row r="69" spans="22:27">
      <c r="V69" s="54"/>
      <c r="Y69" s="55"/>
      <c r="Z69" s="55"/>
      <c r="AA69" s="56"/>
    </row>
    <row r="70" spans="22:27">
      <c r="V70" s="54"/>
      <c r="Y70" s="55"/>
      <c r="Z70" s="55"/>
      <c r="AA70" s="56"/>
    </row>
    <row r="71" spans="22:27">
      <c r="V71" s="54"/>
      <c r="Y71" s="55"/>
      <c r="Z71" s="55"/>
      <c r="AA71" s="56"/>
    </row>
    <row r="72" spans="22:27">
      <c r="V72" s="54"/>
      <c r="Y72" s="55"/>
      <c r="Z72" s="55"/>
      <c r="AA72" s="56"/>
    </row>
    <row r="73" spans="22:27">
      <c r="V73" s="54"/>
      <c r="Y73" s="55"/>
      <c r="Z73" s="55"/>
      <c r="AA73" s="56"/>
    </row>
    <row r="74" spans="22:27">
      <c r="V74" s="54"/>
      <c r="Y74" s="55"/>
      <c r="Z74" s="55"/>
      <c r="AA74" s="56"/>
    </row>
    <row r="75" spans="22:27">
      <c r="V75" s="54"/>
      <c r="Y75" s="55"/>
      <c r="Z75" s="55"/>
      <c r="AA75" s="56"/>
    </row>
    <row r="76" spans="22:27">
      <c r="V76" s="54"/>
      <c r="Y76" s="55"/>
      <c r="Z76" s="55"/>
      <c r="AA76" s="56"/>
    </row>
    <row r="77" spans="22:27">
      <c r="V77" s="54"/>
      <c r="Y77" s="55"/>
      <c r="Z77" s="55"/>
      <c r="AA77" s="56"/>
    </row>
    <row r="78" spans="22:27">
      <c r="V78" s="54"/>
      <c r="Y78" s="55"/>
      <c r="Z78" s="55"/>
      <c r="AA78" s="56"/>
    </row>
    <row r="79" spans="22:27">
      <c r="V79" s="54"/>
      <c r="Y79" s="55"/>
      <c r="Z79" s="55"/>
      <c r="AA79" s="56"/>
    </row>
    <row r="80" spans="22:27">
      <c r="V80" s="54"/>
      <c r="Y80" s="55"/>
      <c r="Z80" s="55"/>
      <c r="AA80" s="56"/>
    </row>
    <row r="81" spans="22:27">
      <c r="V81" s="54"/>
      <c r="Y81" s="55"/>
      <c r="Z81" s="55"/>
      <c r="AA81" s="56"/>
    </row>
    <row r="82" spans="22:27">
      <c r="V82" s="54"/>
      <c r="Y82" s="55"/>
      <c r="Z82" s="55"/>
      <c r="AA82" s="56"/>
    </row>
    <row r="83" spans="22:27">
      <c r="V83" s="54"/>
      <c r="Y83" s="55"/>
      <c r="Z83" s="55"/>
      <c r="AA83" s="56"/>
    </row>
    <row r="84" spans="22:27">
      <c r="V84" s="54"/>
      <c r="Y84" s="55"/>
      <c r="Z84" s="55"/>
      <c r="AA84" s="56"/>
    </row>
    <row r="85" spans="22:27">
      <c r="V85" s="54"/>
      <c r="Y85" s="55"/>
      <c r="Z85" s="55"/>
      <c r="AA85" s="56"/>
    </row>
    <row r="86" spans="22:27">
      <c r="V86" s="54"/>
      <c r="Y86" s="55"/>
      <c r="Z86" s="55"/>
      <c r="AA86" s="56"/>
    </row>
    <row r="87" spans="22:27">
      <c r="V87" s="54"/>
      <c r="Y87" s="55"/>
      <c r="Z87" s="55"/>
      <c r="AA87" s="56"/>
    </row>
    <row r="88" spans="22:27">
      <c r="V88" s="54"/>
      <c r="Y88" s="55"/>
      <c r="Z88" s="55"/>
      <c r="AA88" s="56"/>
    </row>
    <row r="89" spans="22:27">
      <c r="V89" s="54"/>
      <c r="Y89" s="55"/>
      <c r="Z89" s="55"/>
      <c r="AA89" s="56"/>
    </row>
    <row r="90" spans="22:27">
      <c r="V90" s="54"/>
      <c r="Y90" s="55"/>
      <c r="Z90" s="55"/>
      <c r="AA90" s="56"/>
    </row>
    <row r="91" spans="22:27">
      <c r="V91" s="54"/>
      <c r="Y91" s="55"/>
      <c r="Z91" s="55"/>
      <c r="AA91" s="56"/>
    </row>
    <row r="92" spans="22:27">
      <c r="V92" s="54"/>
      <c r="Y92" s="55"/>
      <c r="Z92" s="55"/>
      <c r="AA92" s="56"/>
    </row>
    <row r="93" spans="22:27">
      <c r="V93" s="54"/>
      <c r="Y93" s="55"/>
      <c r="Z93" s="55"/>
      <c r="AA93" s="56"/>
    </row>
    <row r="94" spans="22:27">
      <c r="V94" s="54"/>
      <c r="Y94" s="55"/>
      <c r="Z94" s="55"/>
      <c r="AA94" s="56"/>
    </row>
    <row r="95" spans="22:27">
      <c r="V95" s="54"/>
      <c r="Y95" s="55"/>
      <c r="Z95" s="55"/>
      <c r="AA95" s="56"/>
    </row>
    <row r="96" spans="22:27">
      <c r="V96" s="54"/>
      <c r="Y96" s="55"/>
      <c r="Z96" s="55"/>
      <c r="AA96" s="56"/>
    </row>
    <row r="97" spans="22:27">
      <c r="V97" s="54"/>
      <c r="Y97" s="55"/>
      <c r="Z97" s="55"/>
      <c r="AA97" s="56"/>
    </row>
    <row r="98" spans="22:27">
      <c r="V98" s="54"/>
      <c r="Y98" s="55"/>
      <c r="Z98" s="55"/>
      <c r="AA98" s="56"/>
    </row>
    <row r="99" spans="22:27">
      <c r="V99" s="54"/>
      <c r="Y99" s="55"/>
      <c r="Z99" s="55"/>
      <c r="AA99" s="56"/>
    </row>
    <row r="100" spans="22:27">
      <c r="V100" s="54"/>
      <c r="Y100" s="55"/>
      <c r="Z100" s="55"/>
      <c r="AA100" s="56"/>
    </row>
    <row r="101" spans="22:27">
      <c r="V101" s="54"/>
      <c r="Y101" s="55"/>
      <c r="Z101" s="55"/>
      <c r="AA101" s="56"/>
    </row>
    <row r="102" spans="22:27">
      <c r="V102" s="54"/>
      <c r="Y102" s="55"/>
      <c r="Z102" s="55"/>
      <c r="AA102" s="56"/>
    </row>
    <row r="103" spans="22:27">
      <c r="V103" s="54"/>
      <c r="Y103" s="55"/>
      <c r="Z103" s="55"/>
      <c r="AA103" s="56"/>
    </row>
    <row r="104" spans="22:27">
      <c r="V104" s="54"/>
      <c r="Y104" s="55"/>
      <c r="Z104" s="55"/>
      <c r="AA104" s="56"/>
    </row>
    <row r="105" spans="22:27">
      <c r="V105" s="54"/>
      <c r="Y105" s="55"/>
      <c r="Z105" s="55"/>
      <c r="AA105" s="56"/>
    </row>
    <row r="106" spans="22:27">
      <c r="V106" s="54"/>
      <c r="Y106" s="55"/>
      <c r="Z106" s="55"/>
      <c r="AA106" s="56"/>
    </row>
    <row r="107" spans="22:27">
      <c r="V107" s="54"/>
      <c r="Y107" s="55"/>
      <c r="Z107" s="55"/>
      <c r="AA107" s="56"/>
    </row>
    <row r="108" spans="22:27">
      <c r="V108" s="54"/>
      <c r="Y108" s="55"/>
      <c r="Z108" s="55"/>
      <c r="AA108" s="56"/>
    </row>
    <row r="109" spans="22:27">
      <c r="V109" s="54"/>
      <c r="Y109" s="55"/>
      <c r="Z109" s="55"/>
      <c r="AA109" s="56"/>
    </row>
    <row r="110" spans="22:27">
      <c r="V110" s="54"/>
      <c r="Y110" s="55"/>
      <c r="Z110" s="55"/>
      <c r="AA110" s="56"/>
    </row>
    <row r="111" spans="22:27">
      <c r="V111" s="54"/>
      <c r="Y111" s="55"/>
      <c r="Z111" s="55"/>
      <c r="AA111" s="56"/>
    </row>
    <row r="112" spans="22:27">
      <c r="V112" s="54"/>
      <c r="Y112" s="55"/>
      <c r="Z112" s="55"/>
      <c r="AA112" s="56"/>
    </row>
    <row r="113" spans="22:27">
      <c r="V113" s="54"/>
      <c r="Y113" s="55"/>
      <c r="Z113" s="55"/>
      <c r="AA113" s="56"/>
    </row>
    <row r="114" spans="22:27">
      <c r="V114" s="54"/>
      <c r="Y114" s="55"/>
      <c r="Z114" s="55"/>
      <c r="AA114" s="56"/>
    </row>
    <row r="115" spans="22:27">
      <c r="V115" s="54"/>
      <c r="Y115" s="55"/>
      <c r="Z115" s="55"/>
      <c r="AA115" s="56"/>
    </row>
    <row r="116" spans="22:27">
      <c r="V116" s="54"/>
      <c r="Y116" s="55"/>
      <c r="Z116" s="55"/>
      <c r="AA116" s="56"/>
    </row>
    <row r="117" spans="22:27">
      <c r="V117" s="54"/>
      <c r="Y117" s="55"/>
      <c r="Z117" s="55"/>
      <c r="AA117" s="56"/>
    </row>
    <row r="118" spans="22:27">
      <c r="V118" s="54"/>
      <c r="Y118" s="55"/>
      <c r="Z118" s="55"/>
      <c r="AA118" s="56"/>
    </row>
    <row r="119" spans="22:27">
      <c r="V119" s="54"/>
      <c r="Y119" s="55"/>
      <c r="Z119" s="55"/>
      <c r="AA119" s="56"/>
    </row>
    <row r="120" spans="22:27">
      <c r="V120" s="54"/>
      <c r="Y120" s="55"/>
      <c r="Z120" s="55"/>
      <c r="AA120" s="56"/>
    </row>
    <row r="121" spans="22:27">
      <c r="V121" s="54"/>
      <c r="Y121" s="55"/>
      <c r="Z121" s="55"/>
      <c r="AA121" s="56"/>
    </row>
    <row r="122" spans="22:27">
      <c r="V122" s="54"/>
      <c r="Y122" s="55"/>
      <c r="Z122" s="55"/>
      <c r="AA122" s="56"/>
    </row>
    <row r="123" spans="22:27">
      <c r="V123" s="54"/>
      <c r="Y123" s="55"/>
      <c r="Z123" s="55"/>
      <c r="AA123" s="56"/>
    </row>
    <row r="124" spans="22:27">
      <c r="V124" s="54"/>
      <c r="Y124" s="55"/>
      <c r="Z124" s="55"/>
      <c r="AA124" s="56"/>
    </row>
    <row r="125" spans="22:27">
      <c r="V125" s="54"/>
      <c r="Y125" s="55"/>
      <c r="Z125" s="55"/>
      <c r="AA125" s="56"/>
    </row>
    <row r="126" spans="22:27">
      <c r="V126" s="54"/>
      <c r="Y126" s="55"/>
      <c r="Z126" s="55"/>
      <c r="AA126" s="56"/>
    </row>
    <row r="127" spans="22:27">
      <c r="V127" s="54"/>
      <c r="Y127" s="55"/>
      <c r="Z127" s="55"/>
      <c r="AA127" s="56"/>
    </row>
    <row r="128" spans="22:27">
      <c r="V128" s="54"/>
      <c r="Y128" s="55"/>
      <c r="Z128" s="55"/>
      <c r="AA128" s="56"/>
    </row>
    <row r="129" spans="22:27">
      <c r="V129" s="54"/>
      <c r="Y129" s="55"/>
      <c r="Z129" s="55"/>
      <c r="AA129" s="56"/>
    </row>
    <row r="130" spans="22:27">
      <c r="V130" s="54"/>
      <c r="Y130" s="55"/>
      <c r="Z130" s="55"/>
      <c r="AA130" s="56"/>
    </row>
    <row r="131" spans="22:27">
      <c r="V131" s="54"/>
      <c r="Y131" s="55"/>
      <c r="Z131" s="55"/>
      <c r="AA131" s="56"/>
    </row>
    <row r="132" spans="22:27">
      <c r="V132" s="54"/>
      <c r="Y132" s="55"/>
      <c r="Z132" s="55"/>
      <c r="AA132" s="56"/>
    </row>
    <row r="133" spans="22:27">
      <c r="V133" s="54"/>
      <c r="Y133" s="55"/>
      <c r="Z133" s="55"/>
      <c r="AA133" s="56"/>
    </row>
    <row r="134" spans="22:27">
      <c r="V134" s="54"/>
      <c r="Y134" s="55"/>
      <c r="Z134" s="55"/>
      <c r="AA134" s="56"/>
    </row>
    <row r="135" spans="22:27">
      <c r="V135" s="54"/>
      <c r="Y135" s="55"/>
      <c r="Z135" s="55"/>
      <c r="AA135" s="56"/>
    </row>
    <row r="136" spans="22:27">
      <c r="V136" s="54"/>
      <c r="Y136" s="55"/>
      <c r="Z136" s="55"/>
      <c r="AA136" s="56"/>
    </row>
    <row r="137" spans="22:27">
      <c r="V137" s="54"/>
      <c r="Y137" s="55"/>
      <c r="Z137" s="55"/>
      <c r="AA137" s="56"/>
    </row>
    <row r="138" spans="22:27">
      <c r="V138" s="54"/>
      <c r="Y138" s="55"/>
      <c r="Z138" s="55"/>
      <c r="AA138" s="56"/>
    </row>
    <row r="139" spans="22:27">
      <c r="V139" s="54"/>
      <c r="Y139" s="55"/>
      <c r="Z139" s="55"/>
      <c r="AA139" s="56"/>
    </row>
    <row r="140" spans="22:27">
      <c r="V140" s="54"/>
      <c r="Y140" s="55"/>
      <c r="Z140" s="55"/>
      <c r="AA140" s="56"/>
    </row>
    <row r="141" spans="22:27">
      <c r="V141" s="54"/>
      <c r="Y141" s="55"/>
      <c r="Z141" s="55"/>
      <c r="AA141" s="56"/>
    </row>
    <row r="142" spans="22:27">
      <c r="V142" s="54"/>
      <c r="Y142" s="55"/>
      <c r="Z142" s="55"/>
      <c r="AA142" s="56"/>
    </row>
    <row r="143" spans="22:27">
      <c r="V143" s="54"/>
      <c r="Y143" s="55"/>
      <c r="Z143" s="55"/>
      <c r="AA143" s="56"/>
    </row>
    <row r="144" spans="22:27">
      <c r="V144" s="54"/>
      <c r="Y144" s="55"/>
      <c r="Z144" s="55"/>
      <c r="AA144" s="56"/>
    </row>
    <row r="145" spans="22:27">
      <c r="V145" s="54"/>
      <c r="Y145" s="55"/>
      <c r="Z145" s="55"/>
      <c r="AA145" s="56"/>
    </row>
    <row r="146" spans="22:27">
      <c r="V146" s="54"/>
      <c r="Y146" s="55"/>
      <c r="Z146" s="55"/>
      <c r="AA146" s="56"/>
    </row>
    <row r="147" spans="22:27">
      <c r="V147" s="54"/>
      <c r="Y147" s="55"/>
      <c r="Z147" s="55"/>
      <c r="AA147" s="56"/>
    </row>
    <row r="148" spans="22:27">
      <c r="V148" s="54"/>
      <c r="Y148" s="55"/>
      <c r="Z148" s="55"/>
      <c r="AA148" s="56"/>
    </row>
    <row r="149" spans="22:27">
      <c r="V149" s="54"/>
      <c r="Y149" s="55"/>
      <c r="Z149" s="55"/>
      <c r="AA149" s="56"/>
    </row>
    <row r="150" spans="22:27">
      <c r="V150" s="54"/>
      <c r="Y150" s="55"/>
      <c r="Z150" s="55"/>
      <c r="AA150" s="56"/>
    </row>
    <row r="151" spans="22:27">
      <c r="V151" s="54"/>
      <c r="Y151" s="55"/>
      <c r="Z151" s="55"/>
      <c r="AA151" s="56"/>
    </row>
    <row r="152" spans="22:27">
      <c r="V152" s="54"/>
      <c r="Y152" s="55"/>
      <c r="Z152" s="55"/>
      <c r="AA152" s="56"/>
    </row>
    <row r="153" spans="22:27">
      <c r="V153" s="54"/>
      <c r="Y153" s="55"/>
      <c r="Z153" s="55"/>
      <c r="AA153" s="56"/>
    </row>
    <row r="154" spans="22:27">
      <c r="V154" s="54"/>
      <c r="Y154" s="55"/>
      <c r="Z154" s="55"/>
      <c r="AA154" s="56"/>
    </row>
    <row r="155" spans="22:27">
      <c r="V155" s="54"/>
      <c r="Y155" s="55"/>
      <c r="Z155" s="55"/>
      <c r="AA155" s="56"/>
    </row>
    <row r="156" spans="22:27">
      <c r="V156" s="54"/>
      <c r="Y156" s="55"/>
      <c r="Z156" s="55"/>
      <c r="AA156" s="56"/>
    </row>
    <row r="157" spans="22:27">
      <c r="V157" s="54"/>
      <c r="Y157" s="55"/>
      <c r="Z157" s="55"/>
      <c r="AA157" s="56"/>
    </row>
    <row r="158" spans="22:27">
      <c r="V158" s="54"/>
      <c r="Y158" s="55"/>
      <c r="Z158" s="55"/>
      <c r="AA158" s="56"/>
    </row>
    <row r="159" spans="22:27">
      <c r="V159" s="54"/>
      <c r="Y159" s="55"/>
      <c r="Z159" s="55"/>
      <c r="AA159" s="56"/>
    </row>
    <row r="160" spans="22:27">
      <c r="V160" s="54"/>
      <c r="Y160" s="55"/>
      <c r="Z160" s="55"/>
      <c r="AA160" s="56"/>
    </row>
    <row r="161" spans="22:27">
      <c r="V161" s="54"/>
      <c r="Y161" s="55"/>
      <c r="Z161" s="55"/>
      <c r="AA161" s="56"/>
    </row>
    <row r="162" spans="22:27">
      <c r="V162" s="54"/>
      <c r="Y162" s="55"/>
      <c r="Z162" s="55"/>
      <c r="AA162" s="56"/>
    </row>
    <row r="163" spans="22:27">
      <c r="V163" s="54"/>
      <c r="Y163" s="55"/>
      <c r="Z163" s="55"/>
      <c r="AA163" s="56"/>
    </row>
    <row r="164" spans="22:27">
      <c r="V164" s="54"/>
      <c r="Y164" s="55"/>
      <c r="Z164" s="55"/>
      <c r="AA164" s="56"/>
    </row>
    <row r="165" spans="22:27">
      <c r="V165" s="54"/>
      <c r="Y165" s="55"/>
      <c r="Z165" s="55"/>
      <c r="AA165" s="56"/>
    </row>
    <row r="166" spans="22:27">
      <c r="V166" s="54"/>
      <c r="Y166" s="55"/>
      <c r="Z166" s="55"/>
      <c r="AA166" s="56"/>
    </row>
    <row r="167" spans="22:27">
      <c r="V167" s="54"/>
      <c r="Y167" s="55"/>
      <c r="Z167" s="55"/>
      <c r="AA167" s="56"/>
    </row>
    <row r="168" spans="22:27">
      <c r="V168" s="54"/>
      <c r="Y168" s="55"/>
      <c r="Z168" s="55"/>
      <c r="AA168" s="56"/>
    </row>
    <row r="169" spans="22:27">
      <c r="V169" s="54"/>
      <c r="Y169" s="55"/>
      <c r="Z169" s="55"/>
      <c r="AA169" s="56"/>
    </row>
    <row r="170" spans="22:27">
      <c r="V170" s="54"/>
      <c r="Y170" s="55"/>
      <c r="Z170" s="55"/>
      <c r="AA170" s="56"/>
    </row>
    <row r="171" spans="22:27">
      <c r="V171" s="54"/>
      <c r="Y171" s="55"/>
      <c r="Z171" s="55"/>
      <c r="AA171" s="56"/>
    </row>
    <row r="172" spans="22:27">
      <c r="V172" s="54"/>
      <c r="Y172" s="55"/>
      <c r="Z172" s="55"/>
      <c r="AA172" s="56"/>
    </row>
    <row r="173" spans="22:27">
      <c r="V173" s="54"/>
      <c r="Y173" s="55"/>
      <c r="Z173" s="55"/>
      <c r="AA173" s="56"/>
    </row>
    <row r="174" spans="22:27">
      <c r="V174" s="54"/>
      <c r="Y174" s="55"/>
      <c r="Z174" s="55"/>
      <c r="AA174" s="56"/>
    </row>
    <row r="175" spans="22:27">
      <c r="V175" s="54"/>
      <c r="Y175" s="55"/>
      <c r="Z175" s="55"/>
      <c r="AA175" s="56"/>
    </row>
    <row r="176" spans="22:27">
      <c r="V176" s="54"/>
      <c r="Y176" s="55"/>
      <c r="Z176" s="55"/>
      <c r="AA176" s="56"/>
    </row>
    <row r="177" spans="22:27">
      <c r="V177" s="54"/>
      <c r="Y177" s="55"/>
      <c r="Z177" s="55"/>
      <c r="AA177" s="56"/>
    </row>
    <row r="178" spans="22:27">
      <c r="V178" s="54"/>
      <c r="Y178" s="55"/>
      <c r="Z178" s="55"/>
      <c r="AA178" s="56"/>
    </row>
    <row r="179" spans="22:27">
      <c r="V179" s="54"/>
      <c r="Y179" s="55"/>
      <c r="Z179" s="55"/>
      <c r="AA179" s="56"/>
    </row>
    <row r="180" spans="22:27">
      <c r="V180" s="54"/>
      <c r="Y180" s="55"/>
      <c r="Z180" s="55"/>
      <c r="AA180" s="56"/>
    </row>
    <row r="181" spans="22:27">
      <c r="V181" s="54"/>
      <c r="Y181" s="55"/>
      <c r="Z181" s="55"/>
      <c r="AA181" s="56"/>
    </row>
    <row r="182" spans="22:27">
      <c r="V182" s="54"/>
      <c r="Y182" s="55"/>
      <c r="Z182" s="55"/>
      <c r="AA182" s="56"/>
    </row>
    <row r="183" spans="22:27">
      <c r="V183" s="54"/>
      <c r="Y183" s="55"/>
      <c r="Z183" s="55"/>
      <c r="AA183" s="56"/>
    </row>
    <row r="184" spans="22:27">
      <c r="V184" s="54"/>
      <c r="Y184" s="55"/>
      <c r="Z184" s="55"/>
      <c r="AA184" s="56"/>
    </row>
    <row r="185" spans="22:27">
      <c r="V185" s="54"/>
      <c r="Y185" s="55"/>
      <c r="Z185" s="55"/>
      <c r="AA185" s="56"/>
    </row>
    <row r="186" spans="22:27">
      <c r="V186" s="54"/>
      <c r="Y186" s="55"/>
      <c r="Z186" s="55"/>
      <c r="AA186" s="56"/>
    </row>
    <row r="187" spans="22:27">
      <c r="V187" s="54"/>
      <c r="Y187" s="55"/>
      <c r="Z187" s="55"/>
      <c r="AA187" s="56"/>
    </row>
    <row r="188" spans="22:27">
      <c r="V188" s="54"/>
      <c r="Y188" s="55"/>
      <c r="Z188" s="55"/>
      <c r="AA188" s="56"/>
    </row>
    <row r="189" spans="22:27">
      <c r="V189" s="54"/>
      <c r="Y189" s="55"/>
      <c r="Z189" s="55"/>
      <c r="AA189" s="56"/>
    </row>
    <row r="190" spans="22:27">
      <c r="V190" s="54"/>
      <c r="Y190" s="55"/>
      <c r="Z190" s="55"/>
      <c r="AA190" s="56"/>
    </row>
    <row r="191" spans="22:27">
      <c r="V191" s="54"/>
      <c r="Y191" s="55"/>
      <c r="Z191" s="55"/>
      <c r="AA191" s="56"/>
    </row>
    <row r="192" spans="22:27">
      <c r="V192" s="54"/>
      <c r="Y192" s="55"/>
      <c r="Z192" s="55"/>
      <c r="AA192" s="56"/>
    </row>
    <row r="193" spans="22:27">
      <c r="V193" s="54"/>
      <c r="Y193" s="55"/>
      <c r="Z193" s="55"/>
      <c r="AA193" s="56"/>
    </row>
    <row r="194" spans="22:27">
      <c r="V194" s="54"/>
      <c r="Y194" s="55"/>
      <c r="Z194" s="55"/>
      <c r="AA194" s="56"/>
    </row>
    <row r="195" spans="22:27">
      <c r="V195" s="54"/>
      <c r="Y195" s="55"/>
      <c r="Z195" s="55"/>
      <c r="AA195" s="56"/>
    </row>
    <row r="196" spans="22:27">
      <c r="V196" s="54"/>
      <c r="Y196" s="55"/>
      <c r="Z196" s="55"/>
      <c r="AA196" s="56"/>
    </row>
    <row r="197" spans="22:27">
      <c r="V197" s="54"/>
      <c r="Y197" s="55"/>
      <c r="Z197" s="55"/>
      <c r="AA197" s="56"/>
    </row>
    <row r="198" spans="22:27">
      <c r="V198" s="54"/>
      <c r="Y198" s="55"/>
      <c r="Z198" s="55"/>
      <c r="AA198" s="56"/>
    </row>
    <row r="199" spans="22:27">
      <c r="V199" s="54"/>
      <c r="Y199" s="55"/>
      <c r="Z199" s="55"/>
      <c r="AA199" s="56"/>
    </row>
    <row r="200" spans="22:27">
      <c r="V200" s="54"/>
      <c r="Y200" s="55"/>
      <c r="Z200" s="55"/>
      <c r="AA200" s="56"/>
    </row>
    <row r="201" spans="22:27">
      <c r="V201" s="54"/>
      <c r="Y201" s="55"/>
      <c r="Z201" s="55"/>
      <c r="AA201" s="56"/>
    </row>
    <row r="202" spans="22:27">
      <c r="V202" s="54"/>
      <c r="Y202" s="55"/>
      <c r="Z202" s="55"/>
      <c r="AA202" s="56"/>
    </row>
    <row r="203" spans="22:27">
      <c r="V203" s="54"/>
      <c r="Y203" s="55"/>
      <c r="Z203" s="55"/>
      <c r="AA203" s="56"/>
    </row>
    <row r="204" spans="22:27">
      <c r="V204" s="54"/>
      <c r="Y204" s="55"/>
      <c r="Z204" s="55"/>
      <c r="AA204" s="56"/>
    </row>
    <row r="205" spans="22:27">
      <c r="V205" s="54"/>
      <c r="Y205" s="55"/>
      <c r="Z205" s="55"/>
      <c r="AA205" s="56"/>
    </row>
    <row r="206" spans="22:27">
      <c r="V206" s="54"/>
      <c r="Y206" s="55"/>
      <c r="Z206" s="55"/>
      <c r="AA206" s="56"/>
    </row>
    <row r="207" spans="22:27">
      <c r="V207" s="54"/>
      <c r="Y207" s="55"/>
      <c r="Z207" s="55"/>
      <c r="AA207" s="56"/>
    </row>
    <row r="208" spans="22:27">
      <c r="V208" s="54"/>
      <c r="Y208" s="55"/>
      <c r="Z208" s="55"/>
      <c r="AA208" s="56"/>
    </row>
    <row r="209" spans="22:27">
      <c r="V209" s="54"/>
      <c r="Y209" s="55"/>
      <c r="Z209" s="55"/>
      <c r="AA209" s="56"/>
    </row>
    <row r="210" spans="22:27">
      <c r="V210" s="54"/>
      <c r="Y210" s="55"/>
      <c r="Z210" s="55"/>
      <c r="AA210" s="56"/>
    </row>
    <row r="211" spans="22:27">
      <c r="V211" s="54"/>
      <c r="Y211" s="55"/>
      <c r="Z211" s="55"/>
      <c r="AA211" s="56"/>
    </row>
    <row r="212" spans="22:27">
      <c r="V212" s="54"/>
      <c r="Y212" s="55"/>
      <c r="Z212" s="55"/>
      <c r="AA212" s="56"/>
    </row>
    <row r="213" spans="22:27">
      <c r="V213" s="54"/>
      <c r="Y213" s="55"/>
      <c r="Z213" s="55"/>
      <c r="AA213" s="56"/>
    </row>
    <row r="214" spans="22:27">
      <c r="V214" s="54"/>
      <c r="Y214" s="55"/>
      <c r="Z214" s="55"/>
      <c r="AA214" s="56"/>
    </row>
    <row r="215" spans="22:27">
      <c r="V215" s="54"/>
      <c r="Y215" s="55"/>
      <c r="Z215" s="55"/>
      <c r="AA215" s="56"/>
    </row>
    <row r="216" spans="22:27">
      <c r="V216" s="54"/>
      <c r="Y216" s="55"/>
      <c r="Z216" s="55"/>
      <c r="AA216" s="56"/>
    </row>
    <row r="217" spans="22:27">
      <c r="V217" s="54"/>
      <c r="Y217" s="55"/>
      <c r="Z217" s="55"/>
      <c r="AA217" s="56"/>
    </row>
    <row r="218" spans="22:27">
      <c r="V218" s="54"/>
      <c r="Y218" s="55"/>
      <c r="Z218" s="55"/>
      <c r="AA218" s="56"/>
    </row>
    <row r="219" spans="22:27">
      <c r="V219" s="54"/>
      <c r="Y219" s="55"/>
      <c r="Z219" s="55"/>
      <c r="AA219" s="56"/>
    </row>
    <row r="220" spans="22:27">
      <c r="V220" s="54"/>
      <c r="Y220" s="55"/>
      <c r="Z220" s="55"/>
      <c r="AA220" s="56"/>
    </row>
    <row r="221" spans="22:27">
      <c r="V221" s="54"/>
      <c r="Y221" s="55"/>
      <c r="Z221" s="55"/>
      <c r="AA221" s="56"/>
    </row>
    <row r="222" spans="22:27">
      <c r="V222" s="54"/>
      <c r="Y222" s="55"/>
      <c r="Z222" s="55"/>
      <c r="AA222" s="56"/>
    </row>
    <row r="223" spans="22:27">
      <c r="V223" s="54"/>
      <c r="Y223" s="55"/>
      <c r="Z223" s="55"/>
      <c r="AA223" s="56"/>
    </row>
    <row r="224" spans="22:27">
      <c r="V224" s="54"/>
      <c r="Y224" s="55"/>
      <c r="Z224" s="55"/>
      <c r="AA224" s="56"/>
    </row>
    <row r="225" spans="22:27">
      <c r="V225" s="54"/>
      <c r="Y225" s="55"/>
      <c r="Z225" s="55"/>
      <c r="AA225" s="56"/>
    </row>
    <row r="226" spans="22:27">
      <c r="V226" s="54"/>
      <c r="Y226" s="55"/>
      <c r="Z226" s="55"/>
      <c r="AA226" s="56"/>
    </row>
    <row r="227" spans="22:27">
      <c r="V227" s="54"/>
      <c r="Y227" s="55"/>
      <c r="Z227" s="55"/>
      <c r="AA227" s="56"/>
    </row>
    <row r="228" spans="22:27">
      <c r="V228" s="54"/>
      <c r="Y228" s="55"/>
      <c r="Z228" s="55"/>
      <c r="AA228" s="56"/>
    </row>
    <row r="229" spans="22:27">
      <c r="V229" s="54"/>
      <c r="Y229" s="55"/>
      <c r="Z229" s="55"/>
      <c r="AA229" s="56"/>
    </row>
    <row r="230" spans="22:27">
      <c r="V230" s="54"/>
      <c r="Y230" s="55"/>
      <c r="Z230" s="55"/>
      <c r="AA230" s="56"/>
    </row>
    <row r="231" spans="22:27">
      <c r="V231" s="54"/>
      <c r="Y231" s="55"/>
      <c r="Z231" s="55"/>
      <c r="AA231" s="56"/>
    </row>
    <row r="232" spans="22:27">
      <c r="V232" s="54"/>
      <c r="Y232" s="55"/>
      <c r="Z232" s="55"/>
      <c r="AA232" s="56"/>
    </row>
    <row r="233" spans="22:27">
      <c r="V233" s="54"/>
      <c r="Y233" s="55"/>
      <c r="Z233" s="55"/>
      <c r="AA233" s="56"/>
    </row>
    <row r="234" spans="22:27">
      <c r="V234" s="54"/>
      <c r="Y234" s="55"/>
      <c r="Z234" s="55"/>
      <c r="AA234" s="56"/>
    </row>
    <row r="235" spans="22:27">
      <c r="V235" s="54"/>
      <c r="Y235" s="55"/>
      <c r="Z235" s="55"/>
      <c r="AA235" s="56"/>
    </row>
    <row r="236" spans="22:27">
      <c r="V236" s="54"/>
      <c r="Y236" s="55"/>
      <c r="Z236" s="55"/>
      <c r="AA236" s="56"/>
    </row>
    <row r="237" spans="22:27">
      <c r="V237" s="54"/>
      <c r="Y237" s="55"/>
      <c r="Z237" s="55"/>
      <c r="AA237" s="56"/>
    </row>
    <row r="238" spans="22:27">
      <c r="V238" s="54"/>
      <c r="Y238" s="55"/>
      <c r="Z238" s="55"/>
      <c r="AA238" s="56"/>
    </row>
    <row r="239" spans="22:27">
      <c r="V239" s="54"/>
      <c r="Y239" s="55"/>
      <c r="Z239" s="55"/>
      <c r="AA239" s="56"/>
    </row>
    <row r="240" spans="22:27">
      <c r="V240" s="54"/>
      <c r="Y240" s="55"/>
      <c r="Z240" s="55"/>
      <c r="AA240" s="56"/>
    </row>
    <row r="241" spans="22:27">
      <c r="V241" s="54"/>
      <c r="Y241" s="55"/>
      <c r="Z241" s="55"/>
      <c r="AA241" s="56"/>
    </row>
    <row r="242" spans="22:27">
      <c r="V242" s="54"/>
      <c r="Y242" s="55"/>
      <c r="Z242" s="55"/>
      <c r="AA242" s="56"/>
    </row>
    <row r="243" spans="22:27">
      <c r="V243" s="54"/>
      <c r="Y243" s="55"/>
      <c r="Z243" s="55"/>
      <c r="AA243" s="56"/>
    </row>
    <row r="244" spans="22:27">
      <c r="V244" s="54"/>
      <c r="Y244" s="55"/>
      <c r="Z244" s="55"/>
      <c r="AA244" s="56"/>
    </row>
    <row r="245" spans="22:27">
      <c r="V245" s="54"/>
      <c r="Y245" s="55"/>
      <c r="Z245" s="55"/>
      <c r="AA245" s="56"/>
    </row>
    <row r="246" spans="22:27">
      <c r="V246" s="54"/>
      <c r="Y246" s="55"/>
      <c r="Z246" s="55"/>
      <c r="AA246" s="56"/>
    </row>
    <row r="247" spans="22:27">
      <c r="V247" s="54"/>
      <c r="Y247" s="55"/>
      <c r="Z247" s="55"/>
      <c r="AA247" s="56"/>
    </row>
    <row r="248" spans="22:27">
      <c r="V248" s="54"/>
      <c r="Y248" s="55"/>
      <c r="Z248" s="55"/>
      <c r="AA248" s="56"/>
    </row>
    <row r="249" spans="22:27">
      <c r="V249" s="54"/>
      <c r="Y249" s="55"/>
      <c r="Z249" s="55"/>
      <c r="AA249" s="56"/>
    </row>
    <row r="250" spans="22:27">
      <c r="V250" s="54"/>
      <c r="Y250" s="55"/>
      <c r="Z250" s="55"/>
      <c r="AA250" s="56"/>
    </row>
    <row r="251" spans="22:27">
      <c r="V251" s="54"/>
      <c r="Y251" s="55"/>
      <c r="Z251" s="55"/>
      <c r="AA251" s="56"/>
    </row>
    <row r="252" spans="22:27">
      <c r="V252" s="54"/>
      <c r="Y252" s="55"/>
      <c r="Z252" s="55"/>
      <c r="AA252" s="56"/>
    </row>
    <row r="253" spans="22:27">
      <c r="V253" s="54"/>
      <c r="Y253" s="55"/>
      <c r="Z253" s="55"/>
      <c r="AA253" s="56"/>
    </row>
    <row r="254" spans="22:27">
      <c r="V254" s="54"/>
      <c r="Y254" s="55"/>
      <c r="Z254" s="55"/>
      <c r="AA254" s="56"/>
    </row>
    <row r="255" spans="22:27">
      <c r="V255" s="54"/>
      <c r="Y255" s="55"/>
      <c r="Z255" s="55"/>
      <c r="AA255" s="56"/>
    </row>
    <row r="256" spans="22:27">
      <c r="V256" s="54"/>
      <c r="Y256" s="55"/>
      <c r="Z256" s="55"/>
      <c r="AA256" s="56"/>
    </row>
    <row r="257" spans="22:27">
      <c r="V257" s="54"/>
      <c r="Y257" s="55"/>
      <c r="Z257" s="55"/>
      <c r="AA257" s="56"/>
    </row>
    <row r="258" spans="22:27">
      <c r="V258" s="54"/>
      <c r="Y258" s="55"/>
      <c r="Z258" s="55"/>
      <c r="AA258" s="56"/>
    </row>
    <row r="259" spans="22:27">
      <c r="V259" s="54"/>
      <c r="Y259" s="55"/>
      <c r="Z259" s="55"/>
      <c r="AA259" s="56"/>
    </row>
    <row r="260" spans="22:27">
      <c r="V260" s="54"/>
      <c r="Y260" s="55"/>
      <c r="Z260" s="55"/>
      <c r="AA260" s="56"/>
    </row>
    <row r="261" spans="22:27">
      <c r="V261" s="54"/>
      <c r="Y261" s="55"/>
      <c r="Z261" s="55"/>
      <c r="AA261" s="56"/>
    </row>
    <row r="262" spans="22:27">
      <c r="V262" s="54"/>
      <c r="Y262" s="55"/>
      <c r="Z262" s="55"/>
      <c r="AA262" s="56"/>
    </row>
    <row r="263" spans="22:27">
      <c r="V263" s="54"/>
      <c r="Y263" s="55"/>
      <c r="Z263" s="55"/>
      <c r="AA263" s="56"/>
    </row>
    <row r="264" spans="22:27">
      <c r="V264" s="54"/>
      <c r="Y264" s="55"/>
      <c r="Z264" s="55"/>
      <c r="AA264" s="56"/>
    </row>
    <row r="265" spans="22:27">
      <c r="V265" s="54"/>
      <c r="Y265" s="55"/>
      <c r="Z265" s="55"/>
      <c r="AA265" s="56"/>
    </row>
    <row r="266" spans="22:27">
      <c r="V266" s="54"/>
      <c r="Y266" s="55"/>
      <c r="Z266" s="55"/>
      <c r="AA266" s="56"/>
    </row>
    <row r="267" spans="22:27">
      <c r="V267" s="54"/>
      <c r="Y267" s="55"/>
      <c r="Z267" s="55"/>
      <c r="AA267" s="56"/>
    </row>
    <row r="268" spans="22:27">
      <c r="V268" s="54"/>
      <c r="Y268" s="55"/>
      <c r="Z268" s="55"/>
      <c r="AA268" s="56"/>
    </row>
    <row r="269" spans="22:27">
      <c r="V269" s="54"/>
      <c r="Y269" s="55"/>
      <c r="Z269" s="55"/>
      <c r="AA269" s="56"/>
    </row>
    <row r="270" spans="22:27">
      <c r="V270" s="54"/>
      <c r="Y270" s="55"/>
      <c r="Z270" s="55"/>
      <c r="AA270" s="56"/>
    </row>
    <row r="271" spans="22:27">
      <c r="V271" s="54"/>
      <c r="Y271" s="55"/>
      <c r="Z271" s="55"/>
      <c r="AA271" s="56"/>
    </row>
    <row r="272" spans="22:27">
      <c r="V272" s="54"/>
      <c r="Y272" s="55"/>
      <c r="Z272" s="55"/>
      <c r="AA272" s="56"/>
    </row>
    <row r="273" spans="22:27">
      <c r="V273" s="54"/>
      <c r="Y273" s="55"/>
      <c r="Z273" s="55"/>
      <c r="AA273" s="56"/>
    </row>
    <row r="274" spans="22:27">
      <c r="V274" s="54"/>
      <c r="Y274" s="55"/>
      <c r="Z274" s="55"/>
      <c r="AA274" s="56"/>
    </row>
    <row r="275" spans="22:27">
      <c r="V275" s="54"/>
      <c r="Y275" s="55"/>
      <c r="Z275" s="55"/>
      <c r="AA275" s="56"/>
    </row>
    <row r="276" spans="22:27">
      <c r="V276" s="54"/>
      <c r="Y276" s="55"/>
      <c r="Z276" s="55"/>
      <c r="AA276" s="56"/>
    </row>
    <row r="277" spans="22:27">
      <c r="V277" s="54"/>
      <c r="Y277" s="55"/>
      <c r="Z277" s="55"/>
      <c r="AA277" s="56"/>
    </row>
    <row r="278" spans="22:27">
      <c r="V278" s="54"/>
      <c r="Y278" s="55"/>
      <c r="Z278" s="55"/>
      <c r="AA278" s="56"/>
    </row>
    <row r="279" spans="22:27">
      <c r="V279" s="54"/>
      <c r="Y279" s="55"/>
      <c r="Z279" s="55"/>
      <c r="AA279" s="56"/>
    </row>
    <row r="280" spans="22:27">
      <c r="V280" s="54"/>
      <c r="Y280" s="55"/>
      <c r="Z280" s="55"/>
      <c r="AA280" s="56"/>
    </row>
    <row r="281" spans="22:27">
      <c r="V281" s="54"/>
      <c r="Y281" s="55"/>
      <c r="Z281" s="55"/>
      <c r="AA281" s="56"/>
    </row>
    <row r="282" spans="22:27">
      <c r="V282" s="54"/>
      <c r="Y282" s="55"/>
      <c r="Z282" s="55"/>
      <c r="AA282" s="56"/>
    </row>
    <row r="283" spans="22:27">
      <c r="V283" s="54"/>
      <c r="Y283" s="55"/>
      <c r="Z283" s="55"/>
      <c r="AA283" s="56"/>
    </row>
    <row r="284" spans="22:27">
      <c r="V284" s="54"/>
      <c r="Y284" s="55"/>
      <c r="Z284" s="55"/>
      <c r="AA284" s="56"/>
    </row>
    <row r="285" spans="22:27">
      <c r="V285" s="54"/>
      <c r="Y285" s="55"/>
      <c r="Z285" s="55"/>
      <c r="AA285" s="56"/>
    </row>
    <row r="286" spans="22:27">
      <c r="V286" s="54"/>
      <c r="Y286" s="55"/>
      <c r="Z286" s="55"/>
      <c r="AA286" s="56"/>
    </row>
    <row r="287" spans="22:27">
      <c r="V287" s="54"/>
      <c r="Y287" s="55"/>
      <c r="Z287" s="55"/>
      <c r="AA287" s="56"/>
    </row>
    <row r="288" spans="22:27">
      <c r="V288" s="54"/>
      <c r="Y288" s="55"/>
      <c r="Z288" s="55"/>
      <c r="AA288" s="56"/>
    </row>
    <row r="289" spans="22:27">
      <c r="V289" s="54"/>
      <c r="Y289" s="55"/>
      <c r="Z289" s="55"/>
      <c r="AA289" s="56"/>
    </row>
    <row r="290" spans="22:27">
      <c r="V290" s="54"/>
      <c r="Y290" s="55"/>
      <c r="Z290" s="55"/>
      <c r="AA290" s="56"/>
    </row>
    <row r="291" spans="22:27">
      <c r="V291" s="54"/>
      <c r="Y291" s="55"/>
      <c r="Z291" s="55"/>
      <c r="AA291" s="56"/>
    </row>
    <row r="292" spans="22:27">
      <c r="V292" s="54"/>
      <c r="Y292" s="55"/>
      <c r="Z292" s="55"/>
      <c r="AA292" s="56"/>
    </row>
    <row r="293" spans="22:27">
      <c r="V293" s="54"/>
      <c r="Y293" s="55"/>
      <c r="Z293" s="55"/>
      <c r="AA293" s="56"/>
    </row>
    <row r="294" spans="22:27">
      <c r="V294" s="54"/>
      <c r="Y294" s="55"/>
      <c r="Z294" s="55"/>
      <c r="AA294" s="56"/>
    </row>
    <row r="295" spans="22:27">
      <c r="V295" s="54"/>
      <c r="Y295" s="55"/>
      <c r="Z295" s="55"/>
      <c r="AA295" s="56"/>
    </row>
    <row r="296" spans="22:27">
      <c r="V296" s="54"/>
      <c r="Y296" s="55"/>
      <c r="Z296" s="55"/>
      <c r="AA296" s="56"/>
    </row>
    <row r="297" spans="22:27">
      <c r="V297" s="54"/>
      <c r="Y297" s="55"/>
      <c r="Z297" s="55"/>
      <c r="AA297" s="56"/>
    </row>
    <row r="298" spans="22:27">
      <c r="V298" s="54"/>
      <c r="Y298" s="55"/>
      <c r="Z298" s="55"/>
      <c r="AA298" s="56"/>
    </row>
    <row r="299" spans="22:27">
      <c r="V299" s="54"/>
      <c r="Y299" s="55"/>
      <c r="Z299" s="55"/>
      <c r="AA299" s="56"/>
    </row>
    <row r="300" spans="22:27">
      <c r="V300" s="54"/>
      <c r="Y300" s="55"/>
      <c r="Z300" s="55"/>
      <c r="AA300" s="56"/>
    </row>
    <row r="301" spans="22:27">
      <c r="V301" s="54"/>
      <c r="Y301" s="55"/>
      <c r="Z301" s="55"/>
      <c r="AA301" s="56"/>
    </row>
    <row r="302" spans="22:27">
      <c r="V302" s="54"/>
      <c r="Y302" s="55"/>
      <c r="Z302" s="55"/>
      <c r="AA302" s="56"/>
    </row>
    <row r="303" spans="22:27">
      <c r="V303" s="54"/>
      <c r="Y303" s="55"/>
      <c r="Z303" s="55"/>
      <c r="AA303" s="56"/>
    </row>
    <row r="304" spans="22:27">
      <c r="V304" s="54"/>
      <c r="Y304" s="55"/>
      <c r="Z304" s="55"/>
      <c r="AA304" s="56"/>
    </row>
    <row r="305" spans="22:27">
      <c r="V305" s="54"/>
      <c r="Y305" s="55"/>
      <c r="Z305" s="55"/>
      <c r="AA305" s="56"/>
    </row>
    <row r="306" spans="22:27">
      <c r="V306" s="54"/>
      <c r="Y306" s="55"/>
      <c r="Z306" s="55"/>
      <c r="AA306" s="56"/>
    </row>
    <row r="307" spans="22:27">
      <c r="V307" s="54"/>
      <c r="Y307" s="55"/>
      <c r="Z307" s="55"/>
      <c r="AA307" s="56"/>
    </row>
    <row r="308" spans="22:27">
      <c r="V308" s="54"/>
      <c r="Y308" s="55"/>
      <c r="Z308" s="55"/>
      <c r="AA308" s="56"/>
    </row>
    <row r="309" spans="22:27">
      <c r="V309" s="54"/>
      <c r="Y309" s="55"/>
      <c r="Z309" s="55"/>
      <c r="AA309" s="56"/>
    </row>
    <row r="310" spans="22:27">
      <c r="V310" s="54"/>
      <c r="Y310" s="55"/>
      <c r="Z310" s="55"/>
      <c r="AA310" s="56"/>
    </row>
    <row r="311" spans="22:27">
      <c r="V311" s="54"/>
      <c r="Y311" s="55"/>
      <c r="Z311" s="55"/>
      <c r="AA311" s="56"/>
    </row>
    <row r="312" spans="22:27">
      <c r="V312" s="54"/>
      <c r="Y312" s="55"/>
      <c r="Z312" s="55"/>
      <c r="AA312" s="56"/>
    </row>
    <row r="313" spans="22:27">
      <c r="V313" s="54"/>
      <c r="Y313" s="55"/>
      <c r="Z313" s="55"/>
      <c r="AA313" s="56"/>
    </row>
    <row r="314" spans="22:27">
      <c r="V314" s="54"/>
      <c r="Y314" s="55"/>
      <c r="Z314" s="55"/>
      <c r="AA314" s="56"/>
    </row>
    <row r="315" spans="22:27">
      <c r="V315" s="54"/>
      <c r="Y315" s="55"/>
      <c r="Z315" s="55"/>
      <c r="AA315" s="56"/>
    </row>
    <row r="316" spans="22:27">
      <c r="V316" s="54"/>
      <c r="Y316" s="55"/>
      <c r="Z316" s="55"/>
      <c r="AA316" s="56"/>
    </row>
    <row r="317" spans="22:27">
      <c r="V317" s="54"/>
      <c r="Y317" s="55"/>
      <c r="Z317" s="55"/>
      <c r="AA317" s="56"/>
    </row>
    <row r="318" spans="22:27">
      <c r="V318" s="54"/>
      <c r="Y318" s="55"/>
      <c r="Z318" s="55"/>
      <c r="AA318" s="56"/>
    </row>
    <row r="319" spans="22:27">
      <c r="V319" s="54"/>
      <c r="Y319" s="55"/>
      <c r="Z319" s="55"/>
      <c r="AA319" s="56"/>
    </row>
    <row r="320" spans="22:27">
      <c r="V320" s="54"/>
      <c r="Y320" s="55"/>
      <c r="Z320" s="55"/>
      <c r="AA320" s="56"/>
    </row>
    <row r="321" spans="22:27">
      <c r="V321" s="54"/>
      <c r="Y321" s="55"/>
      <c r="Z321" s="55"/>
      <c r="AA321" s="56"/>
    </row>
    <row r="322" spans="22:27">
      <c r="V322" s="54"/>
      <c r="Y322" s="55"/>
      <c r="Z322" s="55"/>
      <c r="AA322" s="56"/>
    </row>
    <row r="323" spans="22:27">
      <c r="V323" s="54"/>
      <c r="Y323" s="55"/>
      <c r="Z323" s="55"/>
      <c r="AA323" s="56"/>
    </row>
    <row r="324" spans="22:27">
      <c r="V324" s="54"/>
      <c r="Y324" s="55"/>
      <c r="Z324" s="55"/>
      <c r="AA324" s="56"/>
    </row>
    <row r="325" spans="22:27">
      <c r="V325" s="54"/>
      <c r="Y325" s="55"/>
      <c r="Z325" s="55"/>
      <c r="AA325" s="56"/>
    </row>
    <row r="326" spans="22:27">
      <c r="V326" s="54"/>
      <c r="Y326" s="55"/>
      <c r="Z326" s="55"/>
      <c r="AA326" s="56"/>
    </row>
    <row r="327" spans="22:27">
      <c r="V327" s="54"/>
      <c r="Y327" s="55"/>
      <c r="Z327" s="55"/>
      <c r="AA327" s="56"/>
    </row>
    <row r="328" spans="22:27">
      <c r="V328" s="54"/>
      <c r="Y328" s="55"/>
      <c r="Z328" s="55"/>
      <c r="AA328" s="56"/>
    </row>
    <row r="329" spans="22:27">
      <c r="V329" s="54"/>
      <c r="Y329" s="55"/>
      <c r="Z329" s="55"/>
      <c r="AA329" s="56"/>
    </row>
    <row r="330" spans="22:27">
      <c r="V330" s="54"/>
      <c r="Y330" s="55"/>
      <c r="Z330" s="55"/>
      <c r="AA330" s="56"/>
    </row>
    <row r="331" spans="22:27">
      <c r="V331" s="54"/>
      <c r="Y331" s="55"/>
      <c r="Z331" s="55"/>
      <c r="AA331" s="56"/>
    </row>
    <row r="332" spans="22:27">
      <c r="V332" s="54"/>
      <c r="Y332" s="55"/>
      <c r="Z332" s="55"/>
      <c r="AA332" s="56"/>
    </row>
    <row r="333" spans="22:27">
      <c r="V333" s="54"/>
      <c r="Y333" s="55"/>
      <c r="Z333" s="55"/>
      <c r="AA333" s="56"/>
    </row>
    <row r="334" spans="22:27">
      <c r="V334" s="54"/>
      <c r="Y334" s="55"/>
      <c r="Z334" s="55"/>
      <c r="AA334" s="56"/>
    </row>
    <row r="335" spans="22:27">
      <c r="V335" s="54"/>
      <c r="Y335" s="55"/>
      <c r="Z335" s="55"/>
      <c r="AA335" s="56"/>
    </row>
    <row r="336" spans="22:27">
      <c r="V336" s="54"/>
      <c r="Y336" s="55"/>
      <c r="Z336" s="55"/>
      <c r="AA336" s="56"/>
    </row>
    <row r="337" spans="22:27">
      <c r="V337" s="54"/>
      <c r="Y337" s="55"/>
      <c r="Z337" s="55"/>
      <c r="AA337" s="56"/>
    </row>
    <row r="338" spans="22:27">
      <c r="V338" s="54"/>
      <c r="Y338" s="55"/>
      <c r="Z338" s="55"/>
      <c r="AA338" s="56"/>
    </row>
    <row r="339" spans="22:27">
      <c r="V339" s="54"/>
      <c r="Y339" s="55"/>
      <c r="Z339" s="55"/>
      <c r="AA339" s="56"/>
    </row>
    <row r="340" spans="22:27">
      <c r="V340" s="54"/>
      <c r="Y340" s="55"/>
      <c r="Z340" s="55"/>
      <c r="AA340" s="56"/>
    </row>
    <row r="341" spans="22:27">
      <c r="V341" s="54"/>
      <c r="Y341" s="55"/>
      <c r="Z341" s="55"/>
      <c r="AA341" s="56"/>
    </row>
    <row r="342" spans="22:27">
      <c r="V342" s="54"/>
      <c r="Y342" s="55"/>
      <c r="Z342" s="55"/>
      <c r="AA342" s="56"/>
    </row>
    <row r="343" spans="22:27">
      <c r="V343" s="54"/>
      <c r="Y343" s="55"/>
      <c r="Z343" s="55"/>
      <c r="AA343" s="56"/>
    </row>
    <row r="344" spans="22:27">
      <c r="V344" s="54"/>
      <c r="Y344" s="55"/>
      <c r="Z344" s="55"/>
      <c r="AA344" s="56"/>
    </row>
    <row r="345" spans="22:27">
      <c r="V345" s="54"/>
      <c r="Y345" s="55"/>
      <c r="Z345" s="55"/>
      <c r="AA345" s="56"/>
    </row>
    <row r="346" spans="22:27">
      <c r="V346" s="54"/>
      <c r="Y346" s="55"/>
      <c r="Z346" s="55"/>
      <c r="AA346" s="56"/>
    </row>
    <row r="347" spans="22:27">
      <c r="V347" s="54"/>
      <c r="Y347" s="55"/>
      <c r="Z347" s="55"/>
      <c r="AA347" s="56"/>
    </row>
    <row r="348" spans="22:27">
      <c r="V348" s="54"/>
      <c r="Y348" s="55"/>
      <c r="Z348" s="55"/>
      <c r="AA348" s="56"/>
    </row>
    <row r="349" spans="22:27">
      <c r="V349" s="54"/>
      <c r="Y349" s="55"/>
      <c r="Z349" s="55"/>
      <c r="AA349" s="56"/>
    </row>
    <row r="350" spans="22:27">
      <c r="V350" s="54"/>
      <c r="Y350" s="55"/>
      <c r="Z350" s="55"/>
      <c r="AA350" s="56"/>
    </row>
    <row r="351" spans="22:27">
      <c r="V351" s="54"/>
      <c r="Y351" s="55"/>
      <c r="Z351" s="55"/>
      <c r="AA351" s="56"/>
    </row>
    <row r="352" spans="22:27">
      <c r="V352" s="54"/>
      <c r="Y352" s="55"/>
      <c r="Z352" s="55"/>
      <c r="AA352" s="56"/>
    </row>
    <row r="353" spans="22:27">
      <c r="V353" s="54"/>
      <c r="Y353" s="55"/>
      <c r="Z353" s="55"/>
      <c r="AA353" s="56"/>
    </row>
    <row r="354" spans="22:27">
      <c r="V354" s="54"/>
      <c r="Y354" s="55"/>
      <c r="Z354" s="55"/>
      <c r="AA354" s="56"/>
    </row>
    <row r="355" spans="22:27">
      <c r="V355" s="54"/>
      <c r="Y355" s="55"/>
      <c r="Z355" s="55"/>
      <c r="AA355" s="56"/>
    </row>
    <row r="356" spans="22:27">
      <c r="V356" s="54"/>
      <c r="Y356" s="55"/>
      <c r="Z356" s="55"/>
      <c r="AA356" s="56"/>
    </row>
    <row r="357" spans="22:27">
      <c r="V357" s="54"/>
      <c r="Y357" s="55"/>
      <c r="Z357" s="55"/>
      <c r="AA357" s="56"/>
    </row>
    <row r="358" spans="22:27">
      <c r="V358" s="54"/>
      <c r="Y358" s="55"/>
      <c r="Z358" s="55"/>
      <c r="AA358" s="56"/>
    </row>
    <row r="359" spans="22:27">
      <c r="V359" s="54"/>
      <c r="Y359" s="55"/>
      <c r="Z359" s="55"/>
      <c r="AA359" s="56"/>
    </row>
    <row r="360" spans="22:27">
      <c r="V360" s="54"/>
      <c r="Y360" s="55"/>
      <c r="Z360" s="55"/>
      <c r="AA360" s="56"/>
    </row>
    <row r="361" spans="22:27">
      <c r="V361" s="54"/>
      <c r="Y361" s="55"/>
      <c r="Z361" s="55"/>
      <c r="AA361" s="56"/>
    </row>
    <row r="362" spans="22:27">
      <c r="V362" s="54"/>
      <c r="Y362" s="55"/>
      <c r="Z362" s="55"/>
      <c r="AA362" s="56"/>
    </row>
    <row r="363" spans="22:27">
      <c r="V363" s="54"/>
      <c r="Y363" s="55"/>
      <c r="Z363" s="55"/>
      <c r="AA363" s="56"/>
    </row>
    <row r="364" spans="22:27">
      <c r="V364" s="54"/>
      <c r="Y364" s="55"/>
      <c r="Z364" s="55"/>
      <c r="AA364" s="56"/>
    </row>
    <row r="365" spans="22:27">
      <c r="V365" s="54"/>
      <c r="Y365" s="55"/>
      <c r="Z365" s="55"/>
      <c r="AA365" s="56"/>
    </row>
    <row r="366" spans="22:27">
      <c r="V366" s="54"/>
      <c r="Y366" s="55"/>
      <c r="Z366" s="55"/>
      <c r="AA366" s="56"/>
    </row>
    <row r="367" spans="22:27">
      <c r="V367" s="54"/>
      <c r="Y367" s="55"/>
      <c r="Z367" s="55"/>
      <c r="AA367" s="56"/>
    </row>
    <row r="368" spans="22:27">
      <c r="V368" s="54"/>
      <c r="Y368" s="55"/>
      <c r="Z368" s="55"/>
      <c r="AA368" s="56"/>
    </row>
    <row r="369" spans="22:27">
      <c r="V369" s="54"/>
      <c r="Y369" s="55"/>
      <c r="Z369" s="55"/>
      <c r="AA369" s="56"/>
    </row>
    <row r="370" spans="22:27">
      <c r="V370" s="54"/>
      <c r="Y370" s="55"/>
      <c r="Z370" s="55"/>
      <c r="AA370" s="56"/>
    </row>
    <row r="371" spans="22:27">
      <c r="V371" s="54"/>
      <c r="Y371" s="55"/>
      <c r="Z371" s="55"/>
      <c r="AA371" s="56"/>
    </row>
    <row r="372" spans="22:27">
      <c r="V372" s="54"/>
      <c r="Y372" s="55"/>
      <c r="Z372" s="55"/>
      <c r="AA372" s="56"/>
    </row>
    <row r="373" spans="22:27">
      <c r="V373" s="54"/>
      <c r="Y373" s="55"/>
      <c r="Z373" s="55"/>
      <c r="AA373" s="56"/>
    </row>
    <row r="374" spans="22:27">
      <c r="V374" s="54"/>
      <c r="Y374" s="55"/>
      <c r="Z374" s="55"/>
      <c r="AA374" s="56"/>
    </row>
    <row r="375" spans="22:27">
      <c r="V375" s="54"/>
      <c r="Y375" s="55"/>
      <c r="Z375" s="55"/>
      <c r="AA375" s="56"/>
    </row>
    <row r="376" spans="22:27">
      <c r="V376" s="54"/>
      <c r="Y376" s="55"/>
      <c r="Z376" s="55"/>
      <c r="AA376" s="56"/>
    </row>
    <row r="377" spans="22:27">
      <c r="V377" s="54"/>
      <c r="Y377" s="55"/>
      <c r="Z377" s="55"/>
      <c r="AA377" s="56"/>
    </row>
    <row r="378" spans="22:27">
      <c r="V378" s="54"/>
      <c r="Y378" s="55"/>
      <c r="Z378" s="55"/>
      <c r="AA378" s="56"/>
    </row>
    <row r="379" spans="22:27">
      <c r="V379" s="54"/>
      <c r="Y379" s="55"/>
      <c r="Z379" s="55"/>
      <c r="AA379" s="56"/>
    </row>
    <row r="380" spans="22:27">
      <c r="V380" s="54"/>
      <c r="Y380" s="55"/>
      <c r="Z380" s="55"/>
      <c r="AA380" s="56"/>
    </row>
    <row r="381" spans="22:27">
      <c r="V381" s="54"/>
      <c r="Y381" s="55"/>
      <c r="Z381" s="55"/>
      <c r="AA381" s="56"/>
    </row>
    <row r="382" spans="22:27">
      <c r="V382" s="54"/>
      <c r="Y382" s="55"/>
      <c r="Z382" s="55"/>
      <c r="AA382" s="56"/>
    </row>
    <row r="383" spans="22:27">
      <c r="V383" s="54"/>
      <c r="Y383" s="55"/>
      <c r="Z383" s="55"/>
      <c r="AA383" s="56"/>
    </row>
    <row r="384" spans="22:27">
      <c r="V384" s="54"/>
      <c r="Y384" s="55"/>
      <c r="Z384" s="55"/>
      <c r="AA384" s="56"/>
    </row>
    <row r="385" spans="22:27">
      <c r="V385" s="54"/>
      <c r="Y385" s="55"/>
      <c r="Z385" s="55"/>
      <c r="AA385" s="56"/>
    </row>
    <row r="386" spans="22:27">
      <c r="V386" s="54"/>
      <c r="Y386" s="55"/>
      <c r="Z386" s="55"/>
      <c r="AA386" s="56"/>
    </row>
    <row r="387" spans="22:27">
      <c r="V387" s="54"/>
      <c r="Y387" s="55"/>
      <c r="Z387" s="55"/>
      <c r="AA387" s="56"/>
    </row>
    <row r="388" spans="22:27">
      <c r="V388" s="54"/>
      <c r="Y388" s="55"/>
      <c r="Z388" s="55"/>
      <c r="AA388" s="56"/>
    </row>
    <row r="389" spans="22:27">
      <c r="V389" s="54"/>
      <c r="Y389" s="55"/>
      <c r="Z389" s="55"/>
      <c r="AA389" s="56"/>
    </row>
    <row r="390" spans="22:27">
      <c r="V390" s="54"/>
      <c r="Y390" s="55"/>
      <c r="Z390" s="55"/>
      <c r="AA390" s="56"/>
    </row>
    <row r="391" spans="22:27">
      <c r="V391" s="54"/>
      <c r="Y391" s="55"/>
      <c r="Z391" s="55"/>
      <c r="AA391" s="56"/>
    </row>
    <row r="392" spans="22:27">
      <c r="V392" s="54"/>
      <c r="Y392" s="55"/>
      <c r="Z392" s="55"/>
      <c r="AA392" s="56"/>
    </row>
    <row r="393" spans="22:27">
      <c r="V393" s="54"/>
      <c r="Y393" s="55"/>
      <c r="Z393" s="55"/>
      <c r="AA393" s="56"/>
    </row>
    <row r="394" spans="22:27">
      <c r="V394" s="54"/>
      <c r="Y394" s="55"/>
      <c r="Z394" s="55"/>
      <c r="AA394" s="56"/>
    </row>
    <row r="395" spans="22:27">
      <c r="V395" s="54"/>
      <c r="Y395" s="55"/>
      <c r="Z395" s="55"/>
      <c r="AA395" s="56"/>
    </row>
    <row r="396" spans="22:27">
      <c r="V396" s="54"/>
      <c r="Y396" s="55"/>
      <c r="Z396" s="55"/>
      <c r="AA396" s="56"/>
    </row>
    <row r="397" spans="22:27">
      <c r="V397" s="54"/>
      <c r="Y397" s="55"/>
      <c r="Z397" s="55"/>
      <c r="AA397" s="56"/>
    </row>
    <row r="398" spans="22:27">
      <c r="V398" s="54"/>
      <c r="Y398" s="55"/>
      <c r="Z398" s="55"/>
      <c r="AA398" s="56"/>
    </row>
    <row r="399" spans="22:27">
      <c r="V399" s="54"/>
      <c r="Y399" s="55"/>
      <c r="Z399" s="55"/>
      <c r="AA399" s="56"/>
    </row>
    <row r="400" spans="22:27">
      <c r="V400" s="54"/>
      <c r="Y400" s="55"/>
      <c r="Z400" s="55"/>
      <c r="AA400" s="56"/>
    </row>
    <row r="405" spans="10:16">
      <c r="J405" s="57"/>
      <c r="K405" s="57"/>
      <c r="L405" s="57"/>
      <c r="M405" s="57"/>
      <c r="N405" s="57"/>
      <c r="O405" s="57"/>
      <c r="P405" s="57"/>
    </row>
    <row r="406" spans="10:16">
      <c r="J406" s="57"/>
      <c r="K406" s="57"/>
      <c r="L406" s="57"/>
      <c r="M406" s="57"/>
      <c r="N406" s="57"/>
      <c r="O406" s="57"/>
      <c r="P406" s="57"/>
    </row>
    <row r="407" spans="10:16">
      <c r="J407" s="57"/>
      <c r="K407" s="57"/>
      <c r="L407" s="57"/>
      <c r="M407" s="57"/>
      <c r="N407" s="57"/>
      <c r="O407" s="57"/>
      <c r="P407" s="57"/>
    </row>
    <row r="408" spans="10:16">
      <c r="J408" s="57"/>
      <c r="K408" s="57"/>
      <c r="L408" s="57"/>
      <c r="M408" s="57"/>
      <c r="N408" s="57"/>
      <c r="O408" s="57"/>
      <c r="P408" s="57"/>
    </row>
    <row r="409" spans="10:16">
      <c r="J409" s="57"/>
      <c r="K409" s="57"/>
      <c r="L409" s="57"/>
      <c r="M409" s="57"/>
      <c r="N409" s="57"/>
      <c r="O409" s="57"/>
      <c r="P409" s="57"/>
    </row>
    <row r="410" spans="10:16">
      <c r="J410" s="57"/>
      <c r="K410" s="57"/>
      <c r="L410" s="57"/>
      <c r="M410" s="57"/>
      <c r="N410" s="57"/>
      <c r="O410" s="57"/>
      <c r="P410" s="57"/>
    </row>
    <row r="411" spans="10:16">
      <c r="J411" s="57"/>
      <c r="K411" s="57"/>
      <c r="L411" s="57"/>
      <c r="M411" s="57"/>
      <c r="N411" s="57"/>
      <c r="O411" s="57"/>
      <c r="P411" s="57"/>
    </row>
    <row r="412" spans="10:16">
      <c r="J412" s="57"/>
      <c r="K412" s="57"/>
      <c r="L412" s="57"/>
      <c r="M412" s="57"/>
      <c r="N412" s="57"/>
      <c r="O412" s="57"/>
      <c r="P412" s="57"/>
    </row>
    <row r="413" spans="10:16">
      <c r="J413" s="57"/>
      <c r="K413" s="57"/>
      <c r="L413" s="57"/>
      <c r="M413" s="57"/>
      <c r="N413" s="57"/>
      <c r="O413" s="57"/>
      <c r="P413" s="57"/>
    </row>
    <row r="414" spans="10:16">
      <c r="J414" s="57"/>
      <c r="K414" s="57"/>
      <c r="L414" s="57"/>
      <c r="M414" s="57"/>
      <c r="N414" s="57"/>
      <c r="O414" s="57"/>
      <c r="P414" s="57"/>
    </row>
    <row r="415" spans="10:16">
      <c r="J415" s="57"/>
      <c r="K415" s="57"/>
      <c r="L415" s="57"/>
      <c r="M415" s="57"/>
      <c r="N415" s="57"/>
      <c r="O415" s="57"/>
      <c r="P415" s="57"/>
    </row>
    <row r="416" spans="10:16">
      <c r="J416" s="57"/>
      <c r="K416" s="57"/>
      <c r="L416" s="57"/>
      <c r="M416" s="57"/>
      <c r="N416" s="57"/>
      <c r="O416" s="57"/>
      <c r="P416" s="57"/>
    </row>
    <row r="417" spans="10:16">
      <c r="J417" s="57"/>
      <c r="K417" s="57"/>
      <c r="L417" s="57"/>
      <c r="M417" s="57"/>
      <c r="N417" s="57"/>
      <c r="O417" s="57"/>
      <c r="P417" s="57"/>
    </row>
    <row r="418" spans="10:16">
      <c r="J418" s="57"/>
      <c r="K418" s="57"/>
      <c r="L418" s="57"/>
      <c r="M418" s="57"/>
      <c r="N418" s="57"/>
      <c r="O418" s="57"/>
      <c r="P418" s="57"/>
    </row>
    <row r="419" spans="10:16">
      <c r="J419" s="57"/>
      <c r="K419" s="57"/>
      <c r="L419" s="57"/>
      <c r="M419" s="57"/>
      <c r="N419" s="57"/>
      <c r="O419" s="57"/>
      <c r="P419" s="57"/>
    </row>
    <row r="420" spans="10:16">
      <c r="J420" s="57"/>
      <c r="K420" s="57"/>
      <c r="L420" s="57"/>
      <c r="M420" s="57"/>
      <c r="N420" s="57"/>
      <c r="O420" s="57"/>
      <c r="P420" s="57"/>
    </row>
    <row r="421" spans="10:16">
      <c r="J421" s="57"/>
      <c r="K421" s="57"/>
      <c r="L421" s="57"/>
      <c r="M421" s="57"/>
      <c r="N421" s="57"/>
      <c r="O421" s="57"/>
      <c r="P421" s="57"/>
    </row>
    <row r="422" spans="10:16">
      <c r="J422" s="57"/>
      <c r="K422" s="57"/>
      <c r="L422" s="57"/>
      <c r="M422" s="57"/>
      <c r="N422" s="57"/>
      <c r="O422" s="57"/>
      <c r="P422" s="57"/>
    </row>
    <row r="423" spans="10:16">
      <c r="J423" s="57"/>
      <c r="K423" s="57"/>
      <c r="L423" s="57"/>
      <c r="M423" s="57"/>
      <c r="N423" s="57"/>
      <c r="O423" s="57"/>
      <c r="P423" s="57"/>
    </row>
    <row r="424" spans="10:16">
      <c r="J424" s="57"/>
      <c r="K424" s="57"/>
      <c r="L424" s="57"/>
      <c r="M424" s="57"/>
      <c r="N424" s="57"/>
      <c r="O424" s="57"/>
      <c r="P424" s="57"/>
    </row>
    <row r="425" spans="10:16">
      <c r="J425" s="57"/>
      <c r="K425" s="57"/>
      <c r="L425" s="57"/>
      <c r="M425" s="57"/>
      <c r="N425" s="57"/>
      <c r="O425" s="57"/>
      <c r="P425" s="57"/>
    </row>
    <row r="426" spans="10:16">
      <c r="J426" s="57"/>
      <c r="K426" s="57"/>
      <c r="L426" s="57"/>
      <c r="M426" s="57"/>
      <c r="N426" s="57"/>
      <c r="O426" s="57"/>
      <c r="P426" s="57"/>
    </row>
    <row r="427" spans="10:16">
      <c r="J427" s="57"/>
      <c r="K427" s="57"/>
      <c r="L427" s="57"/>
      <c r="M427" s="57"/>
      <c r="N427" s="57"/>
      <c r="O427" s="57"/>
      <c r="P427" s="57"/>
    </row>
  </sheetData>
  <mergeCells count="1">
    <mergeCell ref="B7:B9"/>
  </mergeCells>
  <pageMargins left="0.75" right="0.75" top="1" bottom="1" header="0" footer="0"/>
  <pageSetup paperSize="9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1B1003-5A62-4821-81F1-D1FBA3F2970B}">
  <dimension ref="A1:AA427"/>
  <sheetViews>
    <sheetView showGridLines="0" showRowColHeaders="0" topLeftCell="A2" zoomScaleNormal="100" workbookViewId="0">
      <selection activeCell="A2" sqref="A2"/>
    </sheetView>
  </sheetViews>
  <sheetFormatPr baseColWidth="10" defaultRowHeight="12.75"/>
  <cols>
    <col min="1" max="1" width="2.5703125" customWidth="1"/>
    <col min="2" max="2" width="23.5703125" customWidth="1"/>
    <col min="3" max="3" width="1.42578125" customWidth="1"/>
    <col min="4" max="4" width="105.5703125" customWidth="1"/>
    <col min="5" max="5" width="11.42578125" style="50"/>
    <col min="6" max="6" width="13.42578125" style="50" customWidth="1"/>
    <col min="7" max="7" width="13.42578125" style="50" bestFit="1" customWidth="1"/>
    <col min="8" max="8" width="11.42578125" style="50"/>
    <col min="9" max="9" width="14.5703125" style="50" customWidth="1"/>
    <col min="10" max="20" width="13.5703125" style="50" customWidth="1"/>
    <col min="21" max="260" width="11.42578125" style="50"/>
    <col min="261" max="261" width="4.42578125" style="50" customWidth="1"/>
    <col min="262" max="262" width="13.42578125" style="50" customWidth="1"/>
    <col min="263" max="267" width="11.42578125" style="50"/>
    <col min="268" max="268" width="4" style="50" bestFit="1" customWidth="1"/>
    <col min="269" max="269" width="4.42578125" style="50" bestFit="1" customWidth="1"/>
    <col min="270" max="270" width="4.5703125" style="50" customWidth="1"/>
    <col min="271" max="516" width="11.42578125" style="50"/>
    <col min="517" max="517" width="4.42578125" style="50" customWidth="1"/>
    <col min="518" max="518" width="13.42578125" style="50" customWidth="1"/>
    <col min="519" max="523" width="11.42578125" style="50"/>
    <col min="524" max="524" width="4" style="50" bestFit="1" customWidth="1"/>
    <col min="525" max="525" width="4.42578125" style="50" bestFit="1" customWidth="1"/>
    <col min="526" max="526" width="4.5703125" style="50" customWidth="1"/>
    <col min="527" max="772" width="11.42578125" style="50"/>
    <col min="773" max="773" width="4.42578125" style="50" customWidth="1"/>
    <col min="774" max="774" width="13.42578125" style="50" customWidth="1"/>
    <col min="775" max="779" width="11.42578125" style="50"/>
    <col min="780" max="780" width="4" style="50" bestFit="1" customWidth="1"/>
    <col min="781" max="781" width="4.42578125" style="50" bestFit="1" customWidth="1"/>
    <col min="782" max="782" width="4.5703125" style="50" customWidth="1"/>
    <col min="783" max="1028" width="11.42578125" style="50"/>
    <col min="1029" max="1029" width="4.42578125" style="50" customWidth="1"/>
    <col min="1030" max="1030" width="13.42578125" style="50" customWidth="1"/>
    <col min="1031" max="1035" width="11.42578125" style="50"/>
    <col min="1036" max="1036" width="4" style="50" bestFit="1" customWidth="1"/>
    <col min="1037" max="1037" width="4.42578125" style="50" bestFit="1" customWidth="1"/>
    <col min="1038" max="1038" width="4.5703125" style="50" customWidth="1"/>
    <col min="1039" max="1284" width="11.42578125" style="50"/>
    <col min="1285" max="1285" width="4.42578125" style="50" customWidth="1"/>
    <col min="1286" max="1286" width="13.42578125" style="50" customWidth="1"/>
    <col min="1287" max="1291" width="11.42578125" style="50"/>
    <col min="1292" max="1292" width="4" style="50" bestFit="1" customWidth="1"/>
    <col min="1293" max="1293" width="4.42578125" style="50" bestFit="1" customWidth="1"/>
    <col min="1294" max="1294" width="4.5703125" style="50" customWidth="1"/>
    <col min="1295" max="1540" width="11.42578125" style="50"/>
    <col min="1541" max="1541" width="4.42578125" style="50" customWidth="1"/>
    <col min="1542" max="1542" width="13.42578125" style="50" customWidth="1"/>
    <col min="1543" max="1547" width="11.42578125" style="50"/>
    <col min="1548" max="1548" width="4" style="50" bestFit="1" customWidth="1"/>
    <col min="1549" max="1549" width="4.42578125" style="50" bestFit="1" customWidth="1"/>
    <col min="1550" max="1550" width="4.5703125" style="50" customWidth="1"/>
    <col min="1551" max="1796" width="11.42578125" style="50"/>
    <col min="1797" max="1797" width="4.42578125" style="50" customWidth="1"/>
    <col min="1798" max="1798" width="13.42578125" style="50" customWidth="1"/>
    <col min="1799" max="1803" width="11.42578125" style="50"/>
    <col min="1804" max="1804" width="4" style="50" bestFit="1" customWidth="1"/>
    <col min="1805" max="1805" width="4.42578125" style="50" bestFit="1" customWidth="1"/>
    <col min="1806" max="1806" width="4.5703125" style="50" customWidth="1"/>
    <col min="1807" max="2052" width="11.42578125" style="50"/>
    <col min="2053" max="2053" width="4.42578125" style="50" customWidth="1"/>
    <col min="2054" max="2054" width="13.42578125" style="50" customWidth="1"/>
    <col min="2055" max="2059" width="11.42578125" style="50"/>
    <col min="2060" max="2060" width="4" style="50" bestFit="1" customWidth="1"/>
    <col min="2061" max="2061" width="4.42578125" style="50" bestFit="1" customWidth="1"/>
    <col min="2062" max="2062" width="4.5703125" style="50" customWidth="1"/>
    <col min="2063" max="2308" width="11.42578125" style="50"/>
    <col min="2309" max="2309" width="4.42578125" style="50" customWidth="1"/>
    <col min="2310" max="2310" width="13.42578125" style="50" customWidth="1"/>
    <col min="2311" max="2315" width="11.42578125" style="50"/>
    <col min="2316" max="2316" width="4" style="50" bestFit="1" customWidth="1"/>
    <col min="2317" max="2317" width="4.42578125" style="50" bestFit="1" customWidth="1"/>
    <col min="2318" max="2318" width="4.5703125" style="50" customWidth="1"/>
    <col min="2319" max="2564" width="11.42578125" style="50"/>
    <col min="2565" max="2565" width="4.42578125" style="50" customWidth="1"/>
    <col min="2566" max="2566" width="13.42578125" style="50" customWidth="1"/>
    <col min="2567" max="2571" width="11.42578125" style="50"/>
    <col min="2572" max="2572" width="4" style="50" bestFit="1" customWidth="1"/>
    <col min="2573" max="2573" width="4.42578125" style="50" bestFit="1" customWidth="1"/>
    <col min="2574" max="2574" width="4.5703125" style="50" customWidth="1"/>
    <col min="2575" max="2820" width="11.42578125" style="50"/>
    <col min="2821" max="2821" width="4.42578125" style="50" customWidth="1"/>
    <col min="2822" max="2822" width="13.42578125" style="50" customWidth="1"/>
    <col min="2823" max="2827" width="11.42578125" style="50"/>
    <col min="2828" max="2828" width="4" style="50" bestFit="1" customWidth="1"/>
    <col min="2829" max="2829" width="4.42578125" style="50" bestFit="1" customWidth="1"/>
    <col min="2830" max="2830" width="4.5703125" style="50" customWidth="1"/>
    <col min="2831" max="3076" width="11.42578125" style="50"/>
    <col min="3077" max="3077" width="4.42578125" style="50" customWidth="1"/>
    <col min="3078" max="3078" width="13.42578125" style="50" customWidth="1"/>
    <col min="3079" max="3083" width="11.42578125" style="50"/>
    <col min="3084" max="3084" width="4" style="50" bestFit="1" customWidth="1"/>
    <col min="3085" max="3085" width="4.42578125" style="50" bestFit="1" customWidth="1"/>
    <col min="3086" max="3086" width="4.5703125" style="50" customWidth="1"/>
    <col min="3087" max="3332" width="11.42578125" style="50"/>
    <col min="3333" max="3333" width="4.42578125" style="50" customWidth="1"/>
    <col min="3334" max="3334" width="13.42578125" style="50" customWidth="1"/>
    <col min="3335" max="3339" width="11.42578125" style="50"/>
    <col min="3340" max="3340" width="4" style="50" bestFit="1" customWidth="1"/>
    <col min="3341" max="3341" width="4.42578125" style="50" bestFit="1" customWidth="1"/>
    <col min="3342" max="3342" width="4.5703125" style="50" customWidth="1"/>
    <col min="3343" max="3588" width="11.42578125" style="50"/>
    <col min="3589" max="3589" width="4.42578125" style="50" customWidth="1"/>
    <col min="3590" max="3590" width="13.42578125" style="50" customWidth="1"/>
    <col min="3591" max="3595" width="11.42578125" style="50"/>
    <col min="3596" max="3596" width="4" style="50" bestFit="1" customWidth="1"/>
    <col min="3597" max="3597" width="4.42578125" style="50" bestFit="1" customWidth="1"/>
    <col min="3598" max="3598" width="4.5703125" style="50" customWidth="1"/>
    <col min="3599" max="3844" width="11.42578125" style="50"/>
    <col min="3845" max="3845" width="4.42578125" style="50" customWidth="1"/>
    <col min="3846" max="3846" width="13.42578125" style="50" customWidth="1"/>
    <col min="3847" max="3851" width="11.42578125" style="50"/>
    <col min="3852" max="3852" width="4" style="50" bestFit="1" customWidth="1"/>
    <col min="3853" max="3853" width="4.42578125" style="50" bestFit="1" customWidth="1"/>
    <col min="3854" max="3854" width="4.5703125" style="50" customWidth="1"/>
    <col min="3855" max="4100" width="11.42578125" style="50"/>
    <col min="4101" max="4101" width="4.42578125" style="50" customWidth="1"/>
    <col min="4102" max="4102" width="13.42578125" style="50" customWidth="1"/>
    <col min="4103" max="4107" width="11.42578125" style="50"/>
    <col min="4108" max="4108" width="4" style="50" bestFit="1" customWidth="1"/>
    <col min="4109" max="4109" width="4.42578125" style="50" bestFit="1" customWidth="1"/>
    <col min="4110" max="4110" width="4.5703125" style="50" customWidth="1"/>
    <col min="4111" max="4356" width="11.42578125" style="50"/>
    <col min="4357" max="4357" width="4.42578125" style="50" customWidth="1"/>
    <col min="4358" max="4358" width="13.42578125" style="50" customWidth="1"/>
    <col min="4359" max="4363" width="11.42578125" style="50"/>
    <col min="4364" max="4364" width="4" style="50" bestFit="1" customWidth="1"/>
    <col min="4365" max="4365" width="4.42578125" style="50" bestFit="1" customWidth="1"/>
    <col min="4366" max="4366" width="4.5703125" style="50" customWidth="1"/>
    <col min="4367" max="4612" width="11.42578125" style="50"/>
    <col min="4613" max="4613" width="4.42578125" style="50" customWidth="1"/>
    <col min="4614" max="4614" width="13.42578125" style="50" customWidth="1"/>
    <col min="4615" max="4619" width="11.42578125" style="50"/>
    <col min="4620" max="4620" width="4" style="50" bestFit="1" customWidth="1"/>
    <col min="4621" max="4621" width="4.42578125" style="50" bestFit="1" customWidth="1"/>
    <col min="4622" max="4622" width="4.5703125" style="50" customWidth="1"/>
    <col min="4623" max="4868" width="11.42578125" style="50"/>
    <col min="4869" max="4869" width="4.42578125" style="50" customWidth="1"/>
    <col min="4870" max="4870" width="13.42578125" style="50" customWidth="1"/>
    <col min="4871" max="4875" width="11.42578125" style="50"/>
    <col min="4876" max="4876" width="4" style="50" bestFit="1" customWidth="1"/>
    <col min="4877" max="4877" width="4.42578125" style="50" bestFit="1" customWidth="1"/>
    <col min="4878" max="4878" width="4.5703125" style="50" customWidth="1"/>
    <col min="4879" max="5124" width="11.42578125" style="50"/>
    <col min="5125" max="5125" width="4.42578125" style="50" customWidth="1"/>
    <col min="5126" max="5126" width="13.42578125" style="50" customWidth="1"/>
    <col min="5127" max="5131" width="11.42578125" style="50"/>
    <col min="5132" max="5132" width="4" style="50" bestFit="1" customWidth="1"/>
    <col min="5133" max="5133" width="4.42578125" style="50" bestFit="1" customWidth="1"/>
    <col min="5134" max="5134" width="4.5703125" style="50" customWidth="1"/>
    <col min="5135" max="5380" width="11.42578125" style="50"/>
    <col min="5381" max="5381" width="4.42578125" style="50" customWidth="1"/>
    <col min="5382" max="5382" width="13.42578125" style="50" customWidth="1"/>
    <col min="5383" max="5387" width="11.42578125" style="50"/>
    <col min="5388" max="5388" width="4" style="50" bestFit="1" customWidth="1"/>
    <col min="5389" max="5389" width="4.42578125" style="50" bestFit="1" customWidth="1"/>
    <col min="5390" max="5390" width="4.5703125" style="50" customWidth="1"/>
    <col min="5391" max="5636" width="11.42578125" style="50"/>
    <col min="5637" max="5637" width="4.42578125" style="50" customWidth="1"/>
    <col min="5638" max="5638" width="13.42578125" style="50" customWidth="1"/>
    <col min="5639" max="5643" width="11.42578125" style="50"/>
    <col min="5644" max="5644" width="4" style="50" bestFit="1" customWidth="1"/>
    <col min="5645" max="5645" width="4.42578125" style="50" bestFit="1" customWidth="1"/>
    <col min="5646" max="5646" width="4.5703125" style="50" customWidth="1"/>
    <col min="5647" max="5892" width="11.42578125" style="50"/>
    <col min="5893" max="5893" width="4.42578125" style="50" customWidth="1"/>
    <col min="5894" max="5894" width="13.42578125" style="50" customWidth="1"/>
    <col min="5895" max="5899" width="11.42578125" style="50"/>
    <col min="5900" max="5900" width="4" style="50" bestFit="1" customWidth="1"/>
    <col min="5901" max="5901" width="4.42578125" style="50" bestFit="1" customWidth="1"/>
    <col min="5902" max="5902" width="4.5703125" style="50" customWidth="1"/>
    <col min="5903" max="6148" width="11.42578125" style="50"/>
    <col min="6149" max="6149" width="4.42578125" style="50" customWidth="1"/>
    <col min="6150" max="6150" width="13.42578125" style="50" customWidth="1"/>
    <col min="6151" max="6155" width="11.42578125" style="50"/>
    <col min="6156" max="6156" width="4" style="50" bestFit="1" customWidth="1"/>
    <col min="6157" max="6157" width="4.42578125" style="50" bestFit="1" customWidth="1"/>
    <col min="6158" max="6158" width="4.5703125" style="50" customWidth="1"/>
    <col min="6159" max="6404" width="11.42578125" style="50"/>
    <col min="6405" max="6405" width="4.42578125" style="50" customWidth="1"/>
    <col min="6406" max="6406" width="13.42578125" style="50" customWidth="1"/>
    <col min="6407" max="6411" width="11.42578125" style="50"/>
    <col min="6412" max="6412" width="4" style="50" bestFit="1" customWidth="1"/>
    <col min="6413" max="6413" width="4.42578125" style="50" bestFit="1" customWidth="1"/>
    <col min="6414" max="6414" width="4.5703125" style="50" customWidth="1"/>
    <col min="6415" max="6660" width="11.42578125" style="50"/>
    <col min="6661" max="6661" width="4.42578125" style="50" customWidth="1"/>
    <col min="6662" max="6662" width="13.42578125" style="50" customWidth="1"/>
    <col min="6663" max="6667" width="11.42578125" style="50"/>
    <col min="6668" max="6668" width="4" style="50" bestFit="1" customWidth="1"/>
    <col min="6669" max="6669" width="4.42578125" style="50" bestFit="1" customWidth="1"/>
    <col min="6670" max="6670" width="4.5703125" style="50" customWidth="1"/>
    <col min="6671" max="6916" width="11.42578125" style="50"/>
    <col min="6917" max="6917" width="4.42578125" style="50" customWidth="1"/>
    <col min="6918" max="6918" width="13.42578125" style="50" customWidth="1"/>
    <col min="6919" max="6923" width="11.42578125" style="50"/>
    <col min="6924" max="6924" width="4" style="50" bestFit="1" customWidth="1"/>
    <col min="6925" max="6925" width="4.42578125" style="50" bestFit="1" customWidth="1"/>
    <col min="6926" max="6926" width="4.5703125" style="50" customWidth="1"/>
    <col min="6927" max="7172" width="11.42578125" style="50"/>
    <col min="7173" max="7173" width="4.42578125" style="50" customWidth="1"/>
    <col min="7174" max="7174" width="13.42578125" style="50" customWidth="1"/>
    <col min="7175" max="7179" width="11.42578125" style="50"/>
    <col min="7180" max="7180" width="4" style="50" bestFit="1" customWidth="1"/>
    <col min="7181" max="7181" width="4.42578125" style="50" bestFit="1" customWidth="1"/>
    <col min="7182" max="7182" width="4.5703125" style="50" customWidth="1"/>
    <col min="7183" max="7428" width="11.42578125" style="50"/>
    <col min="7429" max="7429" width="4.42578125" style="50" customWidth="1"/>
    <col min="7430" max="7430" width="13.42578125" style="50" customWidth="1"/>
    <col min="7431" max="7435" width="11.42578125" style="50"/>
    <col min="7436" max="7436" width="4" style="50" bestFit="1" customWidth="1"/>
    <col min="7437" max="7437" width="4.42578125" style="50" bestFit="1" customWidth="1"/>
    <col min="7438" max="7438" width="4.5703125" style="50" customWidth="1"/>
    <col min="7439" max="7684" width="11.42578125" style="50"/>
    <col min="7685" max="7685" width="4.42578125" style="50" customWidth="1"/>
    <col min="7686" max="7686" width="13.42578125" style="50" customWidth="1"/>
    <col min="7687" max="7691" width="11.42578125" style="50"/>
    <col min="7692" max="7692" width="4" style="50" bestFit="1" customWidth="1"/>
    <col min="7693" max="7693" width="4.42578125" style="50" bestFit="1" customWidth="1"/>
    <col min="7694" max="7694" width="4.5703125" style="50" customWidth="1"/>
    <col min="7695" max="7940" width="11.42578125" style="50"/>
    <col min="7941" max="7941" width="4.42578125" style="50" customWidth="1"/>
    <col min="7942" max="7942" width="13.42578125" style="50" customWidth="1"/>
    <col min="7943" max="7947" width="11.42578125" style="50"/>
    <col min="7948" max="7948" width="4" style="50" bestFit="1" customWidth="1"/>
    <col min="7949" max="7949" width="4.42578125" style="50" bestFit="1" customWidth="1"/>
    <col min="7950" max="7950" width="4.5703125" style="50" customWidth="1"/>
    <col min="7951" max="8196" width="11.42578125" style="50"/>
    <col min="8197" max="8197" width="4.42578125" style="50" customWidth="1"/>
    <col min="8198" max="8198" width="13.42578125" style="50" customWidth="1"/>
    <col min="8199" max="8203" width="11.42578125" style="50"/>
    <col min="8204" max="8204" width="4" style="50" bestFit="1" customWidth="1"/>
    <col min="8205" max="8205" width="4.42578125" style="50" bestFit="1" customWidth="1"/>
    <col min="8206" max="8206" width="4.5703125" style="50" customWidth="1"/>
    <col min="8207" max="8452" width="11.42578125" style="50"/>
    <col min="8453" max="8453" width="4.42578125" style="50" customWidth="1"/>
    <col min="8454" max="8454" width="13.42578125" style="50" customWidth="1"/>
    <col min="8455" max="8459" width="11.42578125" style="50"/>
    <col min="8460" max="8460" width="4" style="50" bestFit="1" customWidth="1"/>
    <col min="8461" max="8461" width="4.42578125" style="50" bestFit="1" customWidth="1"/>
    <col min="8462" max="8462" width="4.5703125" style="50" customWidth="1"/>
    <col min="8463" max="8708" width="11.42578125" style="50"/>
    <col min="8709" max="8709" width="4.42578125" style="50" customWidth="1"/>
    <col min="8710" max="8710" width="13.42578125" style="50" customWidth="1"/>
    <col min="8711" max="8715" width="11.42578125" style="50"/>
    <col min="8716" max="8716" width="4" style="50" bestFit="1" customWidth="1"/>
    <col min="8717" max="8717" width="4.42578125" style="50" bestFit="1" customWidth="1"/>
    <col min="8718" max="8718" width="4.5703125" style="50" customWidth="1"/>
    <col min="8719" max="8964" width="11.42578125" style="50"/>
    <col min="8965" max="8965" width="4.42578125" style="50" customWidth="1"/>
    <col min="8966" max="8966" width="13.42578125" style="50" customWidth="1"/>
    <col min="8967" max="8971" width="11.42578125" style="50"/>
    <col min="8972" max="8972" width="4" style="50" bestFit="1" customWidth="1"/>
    <col min="8973" max="8973" width="4.42578125" style="50" bestFit="1" customWidth="1"/>
    <col min="8974" max="8974" width="4.5703125" style="50" customWidth="1"/>
    <col min="8975" max="9220" width="11.42578125" style="50"/>
    <col min="9221" max="9221" width="4.42578125" style="50" customWidth="1"/>
    <col min="9222" max="9222" width="13.42578125" style="50" customWidth="1"/>
    <col min="9223" max="9227" width="11.42578125" style="50"/>
    <col min="9228" max="9228" width="4" style="50" bestFit="1" customWidth="1"/>
    <col min="9229" max="9229" width="4.42578125" style="50" bestFit="1" customWidth="1"/>
    <col min="9230" max="9230" width="4.5703125" style="50" customWidth="1"/>
    <col min="9231" max="9476" width="11.42578125" style="50"/>
    <col min="9477" max="9477" width="4.42578125" style="50" customWidth="1"/>
    <col min="9478" max="9478" width="13.42578125" style="50" customWidth="1"/>
    <col min="9479" max="9483" width="11.42578125" style="50"/>
    <col min="9484" max="9484" width="4" style="50" bestFit="1" customWidth="1"/>
    <col min="9485" max="9485" width="4.42578125" style="50" bestFit="1" customWidth="1"/>
    <col min="9486" max="9486" width="4.5703125" style="50" customWidth="1"/>
    <col min="9487" max="9732" width="11.42578125" style="50"/>
    <col min="9733" max="9733" width="4.42578125" style="50" customWidth="1"/>
    <col min="9734" max="9734" width="13.42578125" style="50" customWidth="1"/>
    <col min="9735" max="9739" width="11.42578125" style="50"/>
    <col min="9740" max="9740" width="4" style="50" bestFit="1" customWidth="1"/>
    <col min="9741" max="9741" width="4.42578125" style="50" bestFit="1" customWidth="1"/>
    <col min="9742" max="9742" width="4.5703125" style="50" customWidth="1"/>
    <col min="9743" max="9988" width="11.42578125" style="50"/>
    <col min="9989" max="9989" width="4.42578125" style="50" customWidth="1"/>
    <col min="9990" max="9990" width="13.42578125" style="50" customWidth="1"/>
    <col min="9991" max="9995" width="11.42578125" style="50"/>
    <col min="9996" max="9996" width="4" style="50" bestFit="1" customWidth="1"/>
    <col min="9997" max="9997" width="4.42578125" style="50" bestFit="1" customWidth="1"/>
    <col min="9998" max="9998" width="4.5703125" style="50" customWidth="1"/>
    <col min="9999" max="10244" width="11.42578125" style="50"/>
    <col min="10245" max="10245" width="4.42578125" style="50" customWidth="1"/>
    <col min="10246" max="10246" width="13.42578125" style="50" customWidth="1"/>
    <col min="10247" max="10251" width="11.42578125" style="50"/>
    <col min="10252" max="10252" width="4" style="50" bestFit="1" customWidth="1"/>
    <col min="10253" max="10253" width="4.42578125" style="50" bestFit="1" customWidth="1"/>
    <col min="10254" max="10254" width="4.5703125" style="50" customWidth="1"/>
    <col min="10255" max="10500" width="11.42578125" style="50"/>
    <col min="10501" max="10501" width="4.42578125" style="50" customWidth="1"/>
    <col min="10502" max="10502" width="13.42578125" style="50" customWidth="1"/>
    <col min="10503" max="10507" width="11.42578125" style="50"/>
    <col min="10508" max="10508" width="4" style="50" bestFit="1" customWidth="1"/>
    <col min="10509" max="10509" width="4.42578125" style="50" bestFit="1" customWidth="1"/>
    <col min="10510" max="10510" width="4.5703125" style="50" customWidth="1"/>
    <col min="10511" max="10756" width="11.42578125" style="50"/>
    <col min="10757" max="10757" width="4.42578125" style="50" customWidth="1"/>
    <col min="10758" max="10758" width="13.42578125" style="50" customWidth="1"/>
    <col min="10759" max="10763" width="11.42578125" style="50"/>
    <col min="10764" max="10764" width="4" style="50" bestFit="1" customWidth="1"/>
    <col min="10765" max="10765" width="4.42578125" style="50" bestFit="1" customWidth="1"/>
    <col min="10766" max="10766" width="4.5703125" style="50" customWidth="1"/>
    <col min="10767" max="11012" width="11.42578125" style="50"/>
    <col min="11013" max="11013" width="4.42578125" style="50" customWidth="1"/>
    <col min="11014" max="11014" width="13.42578125" style="50" customWidth="1"/>
    <col min="11015" max="11019" width="11.42578125" style="50"/>
    <col min="11020" max="11020" width="4" style="50" bestFit="1" customWidth="1"/>
    <col min="11021" max="11021" width="4.42578125" style="50" bestFit="1" customWidth="1"/>
    <col min="11022" max="11022" width="4.5703125" style="50" customWidth="1"/>
    <col min="11023" max="11268" width="11.42578125" style="50"/>
    <col min="11269" max="11269" width="4.42578125" style="50" customWidth="1"/>
    <col min="11270" max="11270" width="13.42578125" style="50" customWidth="1"/>
    <col min="11271" max="11275" width="11.42578125" style="50"/>
    <col min="11276" max="11276" width="4" style="50" bestFit="1" customWidth="1"/>
    <col min="11277" max="11277" width="4.42578125" style="50" bestFit="1" customWidth="1"/>
    <col min="11278" max="11278" width="4.5703125" style="50" customWidth="1"/>
    <col min="11279" max="11524" width="11.42578125" style="50"/>
    <col min="11525" max="11525" width="4.42578125" style="50" customWidth="1"/>
    <col min="11526" max="11526" width="13.42578125" style="50" customWidth="1"/>
    <col min="11527" max="11531" width="11.42578125" style="50"/>
    <col min="11532" max="11532" width="4" style="50" bestFit="1" customWidth="1"/>
    <col min="11533" max="11533" width="4.42578125" style="50" bestFit="1" customWidth="1"/>
    <col min="11534" max="11534" width="4.5703125" style="50" customWidth="1"/>
    <col min="11535" max="11780" width="11.42578125" style="50"/>
    <col min="11781" max="11781" width="4.42578125" style="50" customWidth="1"/>
    <col min="11782" max="11782" width="13.42578125" style="50" customWidth="1"/>
    <col min="11783" max="11787" width="11.42578125" style="50"/>
    <col min="11788" max="11788" width="4" style="50" bestFit="1" customWidth="1"/>
    <col min="11789" max="11789" width="4.42578125" style="50" bestFit="1" customWidth="1"/>
    <col min="11790" max="11790" width="4.5703125" style="50" customWidth="1"/>
    <col min="11791" max="12036" width="11.42578125" style="50"/>
    <col min="12037" max="12037" width="4.42578125" style="50" customWidth="1"/>
    <col min="12038" max="12038" width="13.42578125" style="50" customWidth="1"/>
    <col min="12039" max="12043" width="11.42578125" style="50"/>
    <col min="12044" max="12044" width="4" style="50" bestFit="1" customWidth="1"/>
    <col min="12045" max="12045" width="4.42578125" style="50" bestFit="1" customWidth="1"/>
    <col min="12046" max="12046" width="4.5703125" style="50" customWidth="1"/>
    <col min="12047" max="12292" width="11.42578125" style="50"/>
    <col min="12293" max="12293" width="4.42578125" style="50" customWidth="1"/>
    <col min="12294" max="12294" width="13.42578125" style="50" customWidth="1"/>
    <col min="12295" max="12299" width="11.42578125" style="50"/>
    <col min="12300" max="12300" width="4" style="50" bestFit="1" customWidth="1"/>
    <col min="12301" max="12301" width="4.42578125" style="50" bestFit="1" customWidth="1"/>
    <col min="12302" max="12302" width="4.5703125" style="50" customWidth="1"/>
    <col min="12303" max="12548" width="11.42578125" style="50"/>
    <col min="12549" max="12549" width="4.42578125" style="50" customWidth="1"/>
    <col min="12550" max="12550" width="13.42578125" style="50" customWidth="1"/>
    <col min="12551" max="12555" width="11.42578125" style="50"/>
    <col min="12556" max="12556" width="4" style="50" bestFit="1" customWidth="1"/>
    <col min="12557" max="12557" width="4.42578125" style="50" bestFit="1" customWidth="1"/>
    <col min="12558" max="12558" width="4.5703125" style="50" customWidth="1"/>
    <col min="12559" max="12804" width="11.42578125" style="50"/>
    <col min="12805" max="12805" width="4.42578125" style="50" customWidth="1"/>
    <col min="12806" max="12806" width="13.42578125" style="50" customWidth="1"/>
    <col min="12807" max="12811" width="11.42578125" style="50"/>
    <col min="12812" max="12812" width="4" style="50" bestFit="1" customWidth="1"/>
    <col min="12813" max="12813" width="4.42578125" style="50" bestFit="1" customWidth="1"/>
    <col min="12814" max="12814" width="4.5703125" style="50" customWidth="1"/>
    <col min="12815" max="13060" width="11.42578125" style="50"/>
    <col min="13061" max="13061" width="4.42578125" style="50" customWidth="1"/>
    <col min="13062" max="13062" width="13.42578125" style="50" customWidth="1"/>
    <col min="13063" max="13067" width="11.42578125" style="50"/>
    <col min="13068" max="13068" width="4" style="50" bestFit="1" customWidth="1"/>
    <col min="13069" max="13069" width="4.42578125" style="50" bestFit="1" customWidth="1"/>
    <col min="13070" max="13070" width="4.5703125" style="50" customWidth="1"/>
    <col min="13071" max="13316" width="11.42578125" style="50"/>
    <col min="13317" max="13317" width="4.42578125" style="50" customWidth="1"/>
    <col min="13318" max="13318" width="13.42578125" style="50" customWidth="1"/>
    <col min="13319" max="13323" width="11.42578125" style="50"/>
    <col min="13324" max="13324" width="4" style="50" bestFit="1" customWidth="1"/>
    <col min="13325" max="13325" width="4.42578125" style="50" bestFit="1" customWidth="1"/>
    <col min="13326" max="13326" width="4.5703125" style="50" customWidth="1"/>
    <col min="13327" max="13572" width="11.42578125" style="50"/>
    <col min="13573" max="13573" width="4.42578125" style="50" customWidth="1"/>
    <col min="13574" max="13574" width="13.42578125" style="50" customWidth="1"/>
    <col min="13575" max="13579" width="11.42578125" style="50"/>
    <col min="13580" max="13580" width="4" style="50" bestFit="1" customWidth="1"/>
    <col min="13581" max="13581" width="4.42578125" style="50" bestFit="1" customWidth="1"/>
    <col min="13582" max="13582" width="4.5703125" style="50" customWidth="1"/>
    <col min="13583" max="13828" width="11.42578125" style="50"/>
    <col min="13829" max="13829" width="4.42578125" style="50" customWidth="1"/>
    <col min="13830" max="13830" width="13.42578125" style="50" customWidth="1"/>
    <col min="13831" max="13835" width="11.42578125" style="50"/>
    <col min="13836" max="13836" width="4" style="50" bestFit="1" customWidth="1"/>
    <col min="13837" max="13837" width="4.42578125" style="50" bestFit="1" customWidth="1"/>
    <col min="13838" max="13838" width="4.5703125" style="50" customWidth="1"/>
    <col min="13839" max="14084" width="11.42578125" style="50"/>
    <col min="14085" max="14085" width="4.42578125" style="50" customWidth="1"/>
    <col min="14086" max="14086" width="13.42578125" style="50" customWidth="1"/>
    <col min="14087" max="14091" width="11.42578125" style="50"/>
    <col min="14092" max="14092" width="4" style="50" bestFit="1" customWidth="1"/>
    <col min="14093" max="14093" width="4.42578125" style="50" bestFit="1" customWidth="1"/>
    <col min="14094" max="14094" width="4.5703125" style="50" customWidth="1"/>
    <col min="14095" max="14340" width="11.42578125" style="50"/>
    <col min="14341" max="14341" width="4.42578125" style="50" customWidth="1"/>
    <col min="14342" max="14342" width="13.42578125" style="50" customWidth="1"/>
    <col min="14343" max="14347" width="11.42578125" style="50"/>
    <col min="14348" max="14348" width="4" style="50" bestFit="1" customWidth="1"/>
    <col min="14349" max="14349" width="4.42578125" style="50" bestFit="1" customWidth="1"/>
    <col min="14350" max="14350" width="4.5703125" style="50" customWidth="1"/>
    <col min="14351" max="14596" width="11.42578125" style="50"/>
    <col min="14597" max="14597" width="4.42578125" style="50" customWidth="1"/>
    <col min="14598" max="14598" width="13.42578125" style="50" customWidth="1"/>
    <col min="14599" max="14603" width="11.42578125" style="50"/>
    <col min="14604" max="14604" width="4" style="50" bestFit="1" customWidth="1"/>
    <col min="14605" max="14605" width="4.42578125" style="50" bestFit="1" customWidth="1"/>
    <col min="14606" max="14606" width="4.5703125" style="50" customWidth="1"/>
    <col min="14607" max="14852" width="11.42578125" style="50"/>
    <col min="14853" max="14853" width="4.42578125" style="50" customWidth="1"/>
    <col min="14854" max="14854" width="13.42578125" style="50" customWidth="1"/>
    <col min="14855" max="14859" width="11.42578125" style="50"/>
    <col min="14860" max="14860" width="4" style="50" bestFit="1" customWidth="1"/>
    <col min="14861" max="14861" width="4.42578125" style="50" bestFit="1" customWidth="1"/>
    <col min="14862" max="14862" width="4.5703125" style="50" customWidth="1"/>
    <col min="14863" max="15108" width="11.42578125" style="50"/>
    <col min="15109" max="15109" width="4.42578125" style="50" customWidth="1"/>
    <col min="15110" max="15110" width="13.42578125" style="50" customWidth="1"/>
    <col min="15111" max="15115" width="11.42578125" style="50"/>
    <col min="15116" max="15116" width="4" style="50" bestFit="1" customWidth="1"/>
    <col min="15117" max="15117" width="4.42578125" style="50" bestFit="1" customWidth="1"/>
    <col min="15118" max="15118" width="4.5703125" style="50" customWidth="1"/>
    <col min="15119" max="15364" width="11.42578125" style="50"/>
    <col min="15365" max="15365" width="4.42578125" style="50" customWidth="1"/>
    <col min="15366" max="15366" width="13.42578125" style="50" customWidth="1"/>
    <col min="15367" max="15371" width="11.42578125" style="50"/>
    <col min="15372" max="15372" width="4" style="50" bestFit="1" customWidth="1"/>
    <col min="15373" max="15373" width="4.42578125" style="50" bestFit="1" customWidth="1"/>
    <col min="15374" max="15374" width="4.5703125" style="50" customWidth="1"/>
    <col min="15375" max="15620" width="11.42578125" style="50"/>
    <col min="15621" max="15621" width="4.42578125" style="50" customWidth="1"/>
    <col min="15622" max="15622" width="13.42578125" style="50" customWidth="1"/>
    <col min="15623" max="15627" width="11.42578125" style="50"/>
    <col min="15628" max="15628" width="4" style="50" bestFit="1" customWidth="1"/>
    <col min="15629" max="15629" width="4.42578125" style="50" bestFit="1" customWidth="1"/>
    <col min="15630" max="15630" width="4.5703125" style="50" customWidth="1"/>
    <col min="15631" max="15876" width="11.42578125" style="50"/>
    <col min="15877" max="15877" width="4.42578125" style="50" customWidth="1"/>
    <col min="15878" max="15878" width="13.42578125" style="50" customWidth="1"/>
    <col min="15879" max="15883" width="11.42578125" style="50"/>
    <col min="15884" max="15884" width="4" style="50" bestFit="1" customWidth="1"/>
    <col min="15885" max="15885" width="4.42578125" style="50" bestFit="1" customWidth="1"/>
    <col min="15886" max="15886" width="4.5703125" style="50" customWidth="1"/>
    <col min="15887" max="16132" width="11.42578125" style="50"/>
    <col min="16133" max="16133" width="4.42578125" style="50" customWidth="1"/>
    <col min="16134" max="16134" width="13.42578125" style="50" customWidth="1"/>
    <col min="16135" max="16139" width="11.42578125" style="50"/>
    <col min="16140" max="16140" width="4" style="50" bestFit="1" customWidth="1"/>
    <col min="16141" max="16141" width="4.42578125" style="50" bestFit="1" customWidth="1"/>
    <col min="16142" max="16142" width="4.5703125" style="50" customWidth="1"/>
    <col min="16143" max="16384" width="11.42578125" style="50"/>
  </cols>
  <sheetData>
    <row r="1" spans="2:22" hidden="1">
      <c r="F1" s="51"/>
    </row>
    <row r="2" spans="2:22" ht="21" customHeight="1">
      <c r="D2" s="100" t="s">
        <v>146</v>
      </c>
    </row>
    <row r="3" spans="2:22" ht="15" customHeight="1">
      <c r="D3" s="109" t="str">
        <f>Indice!E3</f>
        <v>Marzo 2024</v>
      </c>
    </row>
    <row r="4" spans="2:22" ht="20.100000000000001" customHeight="1">
      <c r="B4" s="99" t="s">
        <v>148</v>
      </c>
      <c r="V4" s="54"/>
    </row>
    <row r="5" spans="2:22">
      <c r="V5" s="54"/>
    </row>
    <row r="6" spans="2:22">
      <c r="V6" s="54"/>
    </row>
    <row r="7" spans="2:22">
      <c r="B7" s="312" t="s">
        <v>26</v>
      </c>
      <c r="V7" s="54"/>
    </row>
    <row r="8" spans="2:22">
      <c r="B8" s="312"/>
      <c r="V8" s="54"/>
    </row>
    <row r="9" spans="2:22">
      <c r="B9" s="312"/>
      <c r="V9" s="54"/>
    </row>
    <row r="10" spans="2:22">
      <c r="B10" s="102" t="s">
        <v>147</v>
      </c>
      <c r="D10" s="4"/>
      <c r="V10" s="54"/>
    </row>
    <row r="11" spans="2:22">
      <c r="D11" s="4"/>
      <c r="V11" s="54"/>
    </row>
    <row r="12" spans="2:22">
      <c r="D12" s="4"/>
      <c r="V12" s="54"/>
    </row>
    <row r="13" spans="2:22">
      <c r="D13" s="4"/>
      <c r="V13" s="54"/>
    </row>
    <row r="14" spans="2:22">
      <c r="D14" s="4"/>
      <c r="V14" s="54"/>
    </row>
    <row r="15" spans="2:22">
      <c r="D15" s="4"/>
      <c r="V15" s="54"/>
    </row>
    <row r="16" spans="2:22">
      <c r="D16" s="4"/>
      <c r="V16" s="54"/>
    </row>
    <row r="17" spans="4:27">
      <c r="D17" s="4"/>
      <c r="V17" s="54"/>
    </row>
    <row r="18" spans="4:27">
      <c r="D18" s="4"/>
      <c r="V18" s="54"/>
    </row>
    <row r="19" spans="4:27">
      <c r="D19" s="4"/>
      <c r="V19" s="54"/>
    </row>
    <row r="20" spans="4:27">
      <c r="D20" s="4"/>
      <c r="V20" s="54"/>
    </row>
    <row r="21" spans="4:27">
      <c r="D21" s="4"/>
      <c r="V21" s="54"/>
    </row>
    <row r="22" spans="4:27">
      <c r="D22" s="41"/>
      <c r="V22" s="54"/>
    </row>
    <row r="23" spans="4:27">
      <c r="V23" s="54"/>
    </row>
    <row r="24" spans="4:27">
      <c r="V24" s="54"/>
    </row>
    <row r="25" spans="4:27">
      <c r="V25" s="54"/>
    </row>
    <row r="26" spans="4:27">
      <c r="V26" s="54"/>
    </row>
    <row r="27" spans="4:27">
      <c r="V27" s="54"/>
    </row>
    <row r="28" spans="4:27">
      <c r="V28" s="54"/>
    </row>
    <row r="29" spans="4:27">
      <c r="V29" s="54"/>
    </row>
    <row r="30" spans="4:27">
      <c r="V30" s="54"/>
    </row>
    <row r="31" spans="4:27">
      <c r="V31" s="54"/>
      <c r="Y31" s="55"/>
      <c r="Z31" s="55"/>
      <c r="AA31" s="56"/>
    </row>
    <row r="32" spans="4:27">
      <c r="V32" s="54"/>
      <c r="Y32" s="55"/>
      <c r="Z32" s="55"/>
      <c r="AA32" s="56"/>
    </row>
    <row r="33" spans="22:27">
      <c r="V33" s="54"/>
      <c r="Y33" s="55"/>
      <c r="Z33" s="55"/>
      <c r="AA33" s="56"/>
    </row>
    <row r="34" spans="22:27">
      <c r="V34" s="54"/>
      <c r="Y34" s="55"/>
      <c r="Z34" s="55"/>
      <c r="AA34" s="56"/>
    </row>
    <row r="35" spans="22:27">
      <c r="V35" s="54"/>
      <c r="Y35" s="55"/>
      <c r="Z35" s="55"/>
      <c r="AA35" s="56"/>
    </row>
    <row r="36" spans="22:27">
      <c r="V36" s="54"/>
      <c r="Y36" s="55"/>
      <c r="Z36" s="55"/>
      <c r="AA36" s="56"/>
    </row>
    <row r="37" spans="22:27">
      <c r="V37" s="54"/>
      <c r="Y37" s="55"/>
      <c r="Z37" s="55"/>
      <c r="AA37" s="56"/>
    </row>
    <row r="38" spans="22:27">
      <c r="V38" s="54"/>
      <c r="Y38" s="55"/>
      <c r="Z38" s="55"/>
      <c r="AA38" s="56"/>
    </row>
    <row r="39" spans="22:27">
      <c r="V39" s="54"/>
      <c r="Y39" s="55"/>
      <c r="Z39" s="55"/>
      <c r="AA39" s="56"/>
    </row>
    <row r="40" spans="22:27">
      <c r="V40" s="54"/>
      <c r="Y40" s="55"/>
      <c r="Z40" s="55"/>
      <c r="AA40" s="56"/>
    </row>
    <row r="41" spans="22:27">
      <c r="V41" s="54"/>
      <c r="Y41" s="55"/>
      <c r="Z41" s="55"/>
      <c r="AA41" s="56"/>
    </row>
    <row r="42" spans="22:27">
      <c r="V42" s="54"/>
      <c r="Y42" s="55"/>
      <c r="Z42" s="55"/>
      <c r="AA42" s="56"/>
    </row>
    <row r="43" spans="22:27">
      <c r="V43" s="54"/>
      <c r="Y43" s="55"/>
      <c r="Z43" s="55"/>
      <c r="AA43" s="56"/>
    </row>
    <row r="44" spans="22:27">
      <c r="V44" s="54"/>
      <c r="Y44" s="55"/>
      <c r="Z44" s="55"/>
      <c r="AA44" s="56"/>
    </row>
    <row r="45" spans="22:27">
      <c r="V45" s="54"/>
      <c r="Y45" s="55"/>
      <c r="Z45" s="55"/>
      <c r="AA45" s="56"/>
    </row>
    <row r="46" spans="22:27">
      <c r="V46" s="54"/>
      <c r="Y46" s="55"/>
      <c r="Z46" s="55"/>
      <c r="AA46" s="56"/>
    </row>
    <row r="47" spans="22:27">
      <c r="V47" s="54"/>
      <c r="Y47" s="55"/>
      <c r="Z47" s="55"/>
      <c r="AA47" s="56"/>
    </row>
    <row r="48" spans="22:27">
      <c r="V48" s="54"/>
      <c r="Y48" s="55"/>
      <c r="Z48" s="55"/>
      <c r="AA48" s="56"/>
    </row>
    <row r="49" spans="22:27">
      <c r="V49" s="54"/>
      <c r="Y49" s="55"/>
      <c r="Z49" s="55"/>
      <c r="AA49" s="56"/>
    </row>
    <row r="50" spans="22:27">
      <c r="V50" s="54"/>
      <c r="Y50" s="55"/>
      <c r="Z50" s="55"/>
      <c r="AA50" s="56"/>
    </row>
    <row r="51" spans="22:27">
      <c r="V51" s="54"/>
      <c r="Y51" s="55"/>
      <c r="Z51" s="55"/>
      <c r="AA51" s="56"/>
    </row>
    <row r="52" spans="22:27">
      <c r="V52" s="54"/>
      <c r="Y52" s="55"/>
      <c r="Z52" s="55"/>
      <c r="AA52" s="56"/>
    </row>
    <row r="53" spans="22:27">
      <c r="V53" s="54"/>
      <c r="Y53" s="55"/>
      <c r="Z53" s="55"/>
      <c r="AA53" s="56"/>
    </row>
    <row r="54" spans="22:27">
      <c r="V54" s="54"/>
      <c r="Y54" s="55"/>
      <c r="Z54" s="55"/>
      <c r="AA54" s="56"/>
    </row>
    <row r="55" spans="22:27">
      <c r="V55" s="54"/>
      <c r="Y55" s="55"/>
      <c r="Z55" s="55"/>
      <c r="AA55" s="56"/>
    </row>
    <row r="56" spans="22:27">
      <c r="V56" s="54"/>
      <c r="Y56" s="55"/>
      <c r="Z56" s="55"/>
      <c r="AA56" s="56"/>
    </row>
    <row r="57" spans="22:27">
      <c r="V57" s="54"/>
      <c r="Y57" s="55"/>
      <c r="Z57" s="55"/>
      <c r="AA57" s="56"/>
    </row>
    <row r="58" spans="22:27">
      <c r="V58" s="54"/>
      <c r="Y58" s="55"/>
      <c r="Z58" s="55"/>
      <c r="AA58" s="56"/>
    </row>
    <row r="59" spans="22:27">
      <c r="V59" s="54"/>
      <c r="Y59" s="55"/>
      <c r="Z59" s="55"/>
      <c r="AA59" s="56"/>
    </row>
    <row r="60" spans="22:27">
      <c r="V60" s="54"/>
      <c r="Y60" s="55"/>
      <c r="Z60" s="55"/>
      <c r="AA60" s="56"/>
    </row>
    <row r="61" spans="22:27">
      <c r="V61" s="54"/>
      <c r="Y61" s="55"/>
      <c r="Z61" s="55"/>
      <c r="AA61" s="56"/>
    </row>
    <row r="62" spans="22:27">
      <c r="V62" s="54"/>
      <c r="Y62" s="55"/>
      <c r="Z62" s="55"/>
      <c r="AA62" s="56"/>
    </row>
    <row r="63" spans="22:27">
      <c r="V63" s="54"/>
      <c r="Y63" s="55"/>
      <c r="Z63" s="55"/>
      <c r="AA63" s="56"/>
    </row>
    <row r="64" spans="22:27">
      <c r="V64" s="54"/>
      <c r="Y64" s="55"/>
      <c r="Z64" s="55"/>
      <c r="AA64" s="56"/>
    </row>
    <row r="65" spans="22:27">
      <c r="V65" s="54"/>
      <c r="Y65" s="55"/>
      <c r="Z65" s="55"/>
      <c r="AA65" s="56"/>
    </row>
    <row r="66" spans="22:27">
      <c r="V66" s="54"/>
      <c r="Y66" s="55"/>
      <c r="Z66" s="55"/>
      <c r="AA66" s="56"/>
    </row>
    <row r="67" spans="22:27">
      <c r="V67" s="54"/>
      <c r="Y67" s="55"/>
      <c r="Z67" s="55"/>
      <c r="AA67" s="56"/>
    </row>
    <row r="68" spans="22:27">
      <c r="V68" s="54"/>
      <c r="Y68" s="55"/>
      <c r="Z68" s="55"/>
      <c r="AA68" s="56"/>
    </row>
    <row r="69" spans="22:27">
      <c r="V69" s="54"/>
      <c r="Y69" s="55"/>
      <c r="Z69" s="55"/>
      <c r="AA69" s="56"/>
    </row>
    <row r="70" spans="22:27">
      <c r="V70" s="54"/>
      <c r="Y70" s="55"/>
      <c r="Z70" s="55"/>
      <c r="AA70" s="56"/>
    </row>
    <row r="71" spans="22:27">
      <c r="V71" s="54"/>
      <c r="Y71" s="55"/>
      <c r="Z71" s="55"/>
      <c r="AA71" s="56"/>
    </row>
    <row r="72" spans="22:27">
      <c r="V72" s="54"/>
      <c r="Y72" s="55"/>
      <c r="Z72" s="55"/>
      <c r="AA72" s="56"/>
    </row>
    <row r="73" spans="22:27">
      <c r="V73" s="54"/>
      <c r="Y73" s="55"/>
      <c r="Z73" s="55"/>
      <c r="AA73" s="56"/>
    </row>
    <row r="74" spans="22:27">
      <c r="V74" s="54"/>
      <c r="Y74" s="55"/>
      <c r="Z74" s="55"/>
      <c r="AA74" s="56"/>
    </row>
    <row r="75" spans="22:27">
      <c r="V75" s="54"/>
      <c r="Y75" s="55"/>
      <c r="Z75" s="55"/>
      <c r="AA75" s="56"/>
    </row>
    <row r="76" spans="22:27">
      <c r="V76" s="54"/>
      <c r="Y76" s="55"/>
      <c r="Z76" s="55"/>
      <c r="AA76" s="56"/>
    </row>
    <row r="77" spans="22:27">
      <c r="V77" s="54"/>
      <c r="Y77" s="55"/>
      <c r="Z77" s="55"/>
      <c r="AA77" s="56"/>
    </row>
    <row r="78" spans="22:27">
      <c r="V78" s="54"/>
      <c r="Y78" s="55"/>
      <c r="Z78" s="55"/>
      <c r="AA78" s="56"/>
    </row>
    <row r="79" spans="22:27">
      <c r="V79" s="54"/>
      <c r="Y79" s="55"/>
      <c r="Z79" s="55"/>
      <c r="AA79" s="56"/>
    </row>
    <row r="80" spans="22:27">
      <c r="V80" s="54"/>
      <c r="Y80" s="55"/>
      <c r="Z80" s="55"/>
      <c r="AA80" s="56"/>
    </row>
    <row r="81" spans="22:27">
      <c r="V81" s="54"/>
      <c r="Y81" s="55"/>
      <c r="Z81" s="55"/>
      <c r="AA81" s="56"/>
    </row>
    <row r="82" spans="22:27">
      <c r="V82" s="54"/>
      <c r="Y82" s="55"/>
      <c r="Z82" s="55"/>
      <c r="AA82" s="56"/>
    </row>
    <row r="83" spans="22:27">
      <c r="V83" s="54"/>
      <c r="Y83" s="55"/>
      <c r="Z83" s="55"/>
      <c r="AA83" s="56"/>
    </row>
    <row r="84" spans="22:27">
      <c r="V84" s="54"/>
      <c r="Y84" s="55"/>
      <c r="Z84" s="55"/>
      <c r="AA84" s="56"/>
    </row>
    <row r="85" spans="22:27">
      <c r="V85" s="54"/>
      <c r="Y85" s="55"/>
      <c r="Z85" s="55"/>
      <c r="AA85" s="56"/>
    </row>
    <row r="86" spans="22:27">
      <c r="V86" s="54"/>
      <c r="Y86" s="55"/>
      <c r="Z86" s="55"/>
      <c r="AA86" s="56"/>
    </row>
    <row r="87" spans="22:27">
      <c r="V87" s="54"/>
      <c r="Y87" s="55"/>
      <c r="Z87" s="55"/>
      <c r="AA87" s="56"/>
    </row>
    <row r="88" spans="22:27">
      <c r="V88" s="54"/>
      <c r="Y88" s="55"/>
      <c r="Z88" s="55"/>
      <c r="AA88" s="56"/>
    </row>
    <row r="89" spans="22:27">
      <c r="V89" s="54"/>
      <c r="Y89" s="55"/>
      <c r="Z89" s="55"/>
      <c r="AA89" s="56"/>
    </row>
    <row r="90" spans="22:27">
      <c r="V90" s="54"/>
      <c r="Y90" s="55"/>
      <c r="Z90" s="55"/>
      <c r="AA90" s="56"/>
    </row>
    <row r="91" spans="22:27">
      <c r="V91" s="54"/>
      <c r="Y91" s="55"/>
      <c r="Z91" s="55"/>
      <c r="AA91" s="56"/>
    </row>
    <row r="92" spans="22:27">
      <c r="V92" s="54"/>
      <c r="Y92" s="55"/>
      <c r="Z92" s="55"/>
      <c r="AA92" s="56"/>
    </row>
    <row r="93" spans="22:27">
      <c r="V93" s="54"/>
      <c r="Y93" s="55"/>
      <c r="Z93" s="55"/>
      <c r="AA93" s="56"/>
    </row>
    <row r="94" spans="22:27">
      <c r="V94" s="54"/>
      <c r="Y94" s="55"/>
      <c r="Z94" s="55"/>
      <c r="AA94" s="56"/>
    </row>
    <row r="95" spans="22:27">
      <c r="V95" s="54"/>
      <c r="Y95" s="55"/>
      <c r="Z95" s="55"/>
      <c r="AA95" s="56"/>
    </row>
    <row r="96" spans="22:27">
      <c r="V96" s="54"/>
      <c r="Y96" s="55"/>
      <c r="Z96" s="55"/>
      <c r="AA96" s="56"/>
    </row>
    <row r="97" spans="22:27">
      <c r="V97" s="54"/>
      <c r="Y97" s="55"/>
      <c r="Z97" s="55"/>
      <c r="AA97" s="56"/>
    </row>
    <row r="98" spans="22:27">
      <c r="V98" s="54"/>
      <c r="Y98" s="55"/>
      <c r="Z98" s="55"/>
      <c r="AA98" s="56"/>
    </row>
    <row r="99" spans="22:27">
      <c r="V99" s="54"/>
      <c r="Y99" s="55"/>
      <c r="Z99" s="55"/>
      <c r="AA99" s="56"/>
    </row>
    <row r="100" spans="22:27">
      <c r="V100" s="54"/>
      <c r="Y100" s="55"/>
      <c r="Z100" s="55"/>
      <c r="AA100" s="56"/>
    </row>
    <row r="101" spans="22:27">
      <c r="V101" s="54"/>
      <c r="Y101" s="55"/>
      <c r="Z101" s="55"/>
      <c r="AA101" s="56"/>
    </row>
    <row r="102" spans="22:27">
      <c r="V102" s="54"/>
      <c r="Y102" s="55"/>
      <c r="Z102" s="55"/>
      <c r="AA102" s="56"/>
    </row>
    <row r="103" spans="22:27">
      <c r="V103" s="54"/>
      <c r="Y103" s="55"/>
      <c r="Z103" s="55"/>
      <c r="AA103" s="56"/>
    </row>
    <row r="104" spans="22:27">
      <c r="V104" s="54"/>
      <c r="Y104" s="55"/>
      <c r="Z104" s="55"/>
      <c r="AA104" s="56"/>
    </row>
    <row r="105" spans="22:27">
      <c r="V105" s="54"/>
      <c r="Y105" s="55"/>
      <c r="Z105" s="55"/>
      <c r="AA105" s="56"/>
    </row>
    <row r="106" spans="22:27">
      <c r="V106" s="54"/>
      <c r="Y106" s="55"/>
      <c r="Z106" s="55"/>
      <c r="AA106" s="56"/>
    </row>
    <row r="107" spans="22:27">
      <c r="V107" s="54"/>
      <c r="Y107" s="55"/>
      <c r="Z107" s="55"/>
      <c r="AA107" s="56"/>
    </row>
    <row r="108" spans="22:27">
      <c r="V108" s="54"/>
      <c r="Y108" s="55"/>
      <c r="Z108" s="55"/>
      <c r="AA108" s="56"/>
    </row>
    <row r="109" spans="22:27">
      <c r="V109" s="54"/>
      <c r="Y109" s="55"/>
      <c r="Z109" s="55"/>
      <c r="AA109" s="56"/>
    </row>
    <row r="110" spans="22:27">
      <c r="V110" s="54"/>
      <c r="Y110" s="55"/>
      <c r="Z110" s="55"/>
      <c r="AA110" s="56"/>
    </row>
    <row r="111" spans="22:27">
      <c r="V111" s="54"/>
      <c r="Y111" s="55"/>
      <c r="Z111" s="55"/>
      <c r="AA111" s="56"/>
    </row>
    <row r="112" spans="22:27">
      <c r="V112" s="54"/>
      <c r="Y112" s="55"/>
      <c r="Z112" s="55"/>
      <c r="AA112" s="56"/>
    </row>
    <row r="113" spans="22:27">
      <c r="V113" s="54"/>
      <c r="Y113" s="55"/>
      <c r="Z113" s="55"/>
      <c r="AA113" s="56"/>
    </row>
    <row r="114" spans="22:27">
      <c r="V114" s="54"/>
      <c r="Y114" s="55"/>
      <c r="Z114" s="55"/>
      <c r="AA114" s="56"/>
    </row>
    <row r="115" spans="22:27">
      <c r="V115" s="54"/>
      <c r="Y115" s="55"/>
      <c r="Z115" s="55"/>
      <c r="AA115" s="56"/>
    </row>
    <row r="116" spans="22:27">
      <c r="V116" s="54"/>
      <c r="Y116" s="55"/>
      <c r="Z116" s="55"/>
      <c r="AA116" s="56"/>
    </row>
    <row r="117" spans="22:27">
      <c r="V117" s="54"/>
      <c r="Y117" s="55"/>
      <c r="Z117" s="55"/>
      <c r="AA117" s="56"/>
    </row>
    <row r="118" spans="22:27">
      <c r="V118" s="54"/>
      <c r="Y118" s="55"/>
      <c r="Z118" s="55"/>
      <c r="AA118" s="56"/>
    </row>
    <row r="119" spans="22:27">
      <c r="V119" s="54"/>
      <c r="Y119" s="55"/>
      <c r="Z119" s="55"/>
      <c r="AA119" s="56"/>
    </row>
    <row r="120" spans="22:27">
      <c r="V120" s="54"/>
      <c r="Y120" s="55"/>
      <c r="Z120" s="55"/>
      <c r="AA120" s="56"/>
    </row>
    <row r="121" spans="22:27">
      <c r="V121" s="54"/>
      <c r="Y121" s="55"/>
      <c r="Z121" s="55"/>
      <c r="AA121" s="56"/>
    </row>
    <row r="122" spans="22:27">
      <c r="V122" s="54"/>
      <c r="Y122" s="55"/>
      <c r="Z122" s="55"/>
      <c r="AA122" s="56"/>
    </row>
    <row r="123" spans="22:27">
      <c r="V123" s="54"/>
      <c r="Y123" s="55"/>
      <c r="Z123" s="55"/>
      <c r="AA123" s="56"/>
    </row>
    <row r="124" spans="22:27">
      <c r="V124" s="54"/>
      <c r="Y124" s="55"/>
      <c r="Z124" s="55"/>
      <c r="AA124" s="56"/>
    </row>
    <row r="125" spans="22:27">
      <c r="V125" s="54"/>
      <c r="Y125" s="55"/>
      <c r="Z125" s="55"/>
      <c r="AA125" s="56"/>
    </row>
    <row r="126" spans="22:27">
      <c r="V126" s="54"/>
      <c r="Y126" s="55"/>
      <c r="Z126" s="55"/>
      <c r="AA126" s="56"/>
    </row>
    <row r="127" spans="22:27">
      <c r="V127" s="54"/>
      <c r="Y127" s="55"/>
      <c r="Z127" s="55"/>
      <c r="AA127" s="56"/>
    </row>
    <row r="128" spans="22:27">
      <c r="V128" s="54"/>
      <c r="Y128" s="55"/>
      <c r="Z128" s="55"/>
      <c r="AA128" s="56"/>
    </row>
    <row r="129" spans="22:27">
      <c r="V129" s="54"/>
      <c r="Y129" s="55"/>
      <c r="Z129" s="55"/>
      <c r="AA129" s="56"/>
    </row>
    <row r="130" spans="22:27">
      <c r="V130" s="54"/>
      <c r="Y130" s="55"/>
      <c r="Z130" s="55"/>
      <c r="AA130" s="56"/>
    </row>
    <row r="131" spans="22:27">
      <c r="V131" s="54"/>
      <c r="Y131" s="55"/>
      <c r="Z131" s="55"/>
      <c r="AA131" s="56"/>
    </row>
    <row r="132" spans="22:27">
      <c r="V132" s="54"/>
      <c r="Y132" s="55"/>
      <c r="Z132" s="55"/>
      <c r="AA132" s="56"/>
    </row>
    <row r="133" spans="22:27">
      <c r="V133" s="54"/>
      <c r="Y133" s="55"/>
      <c r="Z133" s="55"/>
      <c r="AA133" s="56"/>
    </row>
    <row r="134" spans="22:27">
      <c r="V134" s="54"/>
      <c r="Y134" s="55"/>
      <c r="Z134" s="55"/>
      <c r="AA134" s="56"/>
    </row>
    <row r="135" spans="22:27">
      <c r="V135" s="54"/>
      <c r="Y135" s="55"/>
      <c r="Z135" s="55"/>
      <c r="AA135" s="56"/>
    </row>
    <row r="136" spans="22:27">
      <c r="V136" s="54"/>
      <c r="Y136" s="55"/>
      <c r="Z136" s="55"/>
      <c r="AA136" s="56"/>
    </row>
    <row r="137" spans="22:27">
      <c r="V137" s="54"/>
      <c r="Y137" s="55"/>
      <c r="Z137" s="55"/>
      <c r="AA137" s="56"/>
    </row>
    <row r="138" spans="22:27">
      <c r="V138" s="54"/>
      <c r="Y138" s="55"/>
      <c r="Z138" s="55"/>
      <c r="AA138" s="56"/>
    </row>
    <row r="139" spans="22:27">
      <c r="V139" s="54"/>
      <c r="Y139" s="55"/>
      <c r="Z139" s="55"/>
      <c r="AA139" s="56"/>
    </row>
    <row r="140" spans="22:27">
      <c r="V140" s="54"/>
      <c r="Y140" s="55"/>
      <c r="Z140" s="55"/>
      <c r="AA140" s="56"/>
    </row>
    <row r="141" spans="22:27">
      <c r="V141" s="54"/>
      <c r="Y141" s="55"/>
      <c r="Z141" s="55"/>
      <c r="AA141" s="56"/>
    </row>
    <row r="142" spans="22:27">
      <c r="V142" s="54"/>
      <c r="Y142" s="55"/>
      <c r="Z142" s="55"/>
      <c r="AA142" s="56"/>
    </row>
    <row r="143" spans="22:27">
      <c r="V143" s="54"/>
      <c r="Y143" s="55"/>
      <c r="Z143" s="55"/>
      <c r="AA143" s="56"/>
    </row>
    <row r="144" spans="22:27">
      <c r="V144" s="54"/>
      <c r="Y144" s="55"/>
      <c r="Z144" s="55"/>
      <c r="AA144" s="56"/>
    </row>
    <row r="145" spans="22:27">
      <c r="V145" s="54"/>
      <c r="Y145" s="55"/>
      <c r="Z145" s="55"/>
      <c r="AA145" s="56"/>
    </row>
    <row r="146" spans="22:27">
      <c r="V146" s="54"/>
      <c r="Y146" s="55"/>
      <c r="Z146" s="55"/>
      <c r="AA146" s="56"/>
    </row>
    <row r="147" spans="22:27">
      <c r="V147" s="54"/>
      <c r="Y147" s="55"/>
      <c r="Z147" s="55"/>
      <c r="AA147" s="56"/>
    </row>
    <row r="148" spans="22:27">
      <c r="V148" s="54"/>
      <c r="Y148" s="55"/>
      <c r="Z148" s="55"/>
      <c r="AA148" s="56"/>
    </row>
    <row r="149" spans="22:27">
      <c r="V149" s="54"/>
      <c r="Y149" s="55"/>
      <c r="Z149" s="55"/>
      <c r="AA149" s="56"/>
    </row>
    <row r="150" spans="22:27">
      <c r="V150" s="54"/>
      <c r="Y150" s="55"/>
      <c r="Z150" s="55"/>
      <c r="AA150" s="56"/>
    </row>
    <row r="151" spans="22:27">
      <c r="V151" s="54"/>
      <c r="Y151" s="55"/>
      <c r="Z151" s="55"/>
      <c r="AA151" s="56"/>
    </row>
    <row r="152" spans="22:27">
      <c r="V152" s="54"/>
      <c r="Y152" s="55"/>
      <c r="Z152" s="55"/>
      <c r="AA152" s="56"/>
    </row>
    <row r="153" spans="22:27">
      <c r="V153" s="54"/>
      <c r="Y153" s="55"/>
      <c r="Z153" s="55"/>
      <c r="AA153" s="56"/>
    </row>
    <row r="154" spans="22:27">
      <c r="V154" s="54"/>
      <c r="Y154" s="55"/>
      <c r="Z154" s="55"/>
      <c r="AA154" s="56"/>
    </row>
    <row r="155" spans="22:27">
      <c r="V155" s="54"/>
      <c r="Y155" s="55"/>
      <c r="Z155" s="55"/>
      <c r="AA155" s="56"/>
    </row>
    <row r="156" spans="22:27">
      <c r="V156" s="54"/>
      <c r="Y156" s="55"/>
      <c r="Z156" s="55"/>
      <c r="AA156" s="56"/>
    </row>
    <row r="157" spans="22:27">
      <c r="V157" s="54"/>
      <c r="Y157" s="55"/>
      <c r="Z157" s="55"/>
      <c r="AA157" s="56"/>
    </row>
    <row r="158" spans="22:27">
      <c r="V158" s="54"/>
      <c r="Y158" s="55"/>
      <c r="Z158" s="55"/>
      <c r="AA158" s="56"/>
    </row>
    <row r="159" spans="22:27">
      <c r="V159" s="54"/>
      <c r="Y159" s="55"/>
      <c r="Z159" s="55"/>
      <c r="AA159" s="56"/>
    </row>
    <row r="160" spans="22:27">
      <c r="V160" s="54"/>
      <c r="Y160" s="55"/>
      <c r="Z160" s="55"/>
      <c r="AA160" s="56"/>
    </row>
    <row r="161" spans="22:27">
      <c r="V161" s="54"/>
      <c r="Y161" s="55"/>
      <c r="Z161" s="55"/>
      <c r="AA161" s="56"/>
    </row>
    <row r="162" spans="22:27">
      <c r="V162" s="54"/>
      <c r="Y162" s="55"/>
      <c r="Z162" s="55"/>
      <c r="AA162" s="56"/>
    </row>
    <row r="163" spans="22:27">
      <c r="V163" s="54"/>
      <c r="Y163" s="55"/>
      <c r="Z163" s="55"/>
      <c r="AA163" s="56"/>
    </row>
    <row r="164" spans="22:27">
      <c r="V164" s="54"/>
      <c r="Y164" s="55"/>
      <c r="Z164" s="55"/>
      <c r="AA164" s="56"/>
    </row>
    <row r="165" spans="22:27">
      <c r="V165" s="54"/>
      <c r="Y165" s="55"/>
      <c r="Z165" s="55"/>
      <c r="AA165" s="56"/>
    </row>
    <row r="166" spans="22:27">
      <c r="V166" s="54"/>
      <c r="Y166" s="55"/>
      <c r="Z166" s="55"/>
      <c r="AA166" s="56"/>
    </row>
    <row r="167" spans="22:27">
      <c r="V167" s="54"/>
      <c r="Y167" s="55"/>
      <c r="Z167" s="55"/>
      <c r="AA167" s="56"/>
    </row>
    <row r="168" spans="22:27">
      <c r="V168" s="54"/>
      <c r="Y168" s="55"/>
      <c r="Z168" s="55"/>
      <c r="AA168" s="56"/>
    </row>
    <row r="169" spans="22:27">
      <c r="V169" s="54"/>
      <c r="Y169" s="55"/>
      <c r="Z169" s="55"/>
      <c r="AA169" s="56"/>
    </row>
    <row r="170" spans="22:27">
      <c r="V170" s="54"/>
      <c r="Y170" s="55"/>
      <c r="Z170" s="55"/>
      <c r="AA170" s="56"/>
    </row>
    <row r="171" spans="22:27">
      <c r="V171" s="54"/>
      <c r="Y171" s="55"/>
      <c r="Z171" s="55"/>
      <c r="AA171" s="56"/>
    </row>
    <row r="172" spans="22:27">
      <c r="V172" s="54"/>
      <c r="Y172" s="55"/>
      <c r="Z172" s="55"/>
      <c r="AA172" s="56"/>
    </row>
    <row r="173" spans="22:27">
      <c r="V173" s="54"/>
      <c r="Y173" s="55"/>
      <c r="Z173" s="55"/>
      <c r="AA173" s="56"/>
    </row>
    <row r="174" spans="22:27">
      <c r="V174" s="54"/>
      <c r="Y174" s="55"/>
      <c r="Z174" s="55"/>
      <c r="AA174" s="56"/>
    </row>
    <row r="175" spans="22:27">
      <c r="V175" s="54"/>
      <c r="Y175" s="55"/>
      <c r="Z175" s="55"/>
      <c r="AA175" s="56"/>
    </row>
    <row r="176" spans="22:27">
      <c r="V176" s="54"/>
      <c r="Y176" s="55"/>
      <c r="Z176" s="55"/>
      <c r="AA176" s="56"/>
    </row>
    <row r="177" spans="22:27">
      <c r="V177" s="54"/>
      <c r="Y177" s="55"/>
      <c r="Z177" s="55"/>
      <c r="AA177" s="56"/>
    </row>
    <row r="178" spans="22:27">
      <c r="V178" s="54"/>
      <c r="Y178" s="55"/>
      <c r="Z178" s="55"/>
      <c r="AA178" s="56"/>
    </row>
    <row r="179" spans="22:27">
      <c r="V179" s="54"/>
      <c r="Y179" s="55"/>
      <c r="Z179" s="55"/>
      <c r="AA179" s="56"/>
    </row>
    <row r="180" spans="22:27">
      <c r="V180" s="54"/>
      <c r="Y180" s="55"/>
      <c r="Z180" s="55"/>
      <c r="AA180" s="56"/>
    </row>
    <row r="181" spans="22:27">
      <c r="V181" s="54"/>
      <c r="Y181" s="55"/>
      <c r="Z181" s="55"/>
      <c r="AA181" s="56"/>
    </row>
    <row r="182" spans="22:27">
      <c r="V182" s="54"/>
      <c r="Y182" s="55"/>
      <c r="Z182" s="55"/>
      <c r="AA182" s="56"/>
    </row>
    <row r="183" spans="22:27">
      <c r="V183" s="54"/>
      <c r="Y183" s="55"/>
      <c r="Z183" s="55"/>
      <c r="AA183" s="56"/>
    </row>
    <row r="184" spans="22:27">
      <c r="V184" s="54"/>
      <c r="Y184" s="55"/>
      <c r="Z184" s="55"/>
      <c r="AA184" s="56"/>
    </row>
    <row r="185" spans="22:27">
      <c r="V185" s="54"/>
      <c r="Y185" s="55"/>
      <c r="Z185" s="55"/>
      <c r="AA185" s="56"/>
    </row>
    <row r="186" spans="22:27">
      <c r="V186" s="54"/>
      <c r="Y186" s="55"/>
      <c r="Z186" s="55"/>
      <c r="AA186" s="56"/>
    </row>
    <row r="187" spans="22:27">
      <c r="V187" s="54"/>
      <c r="Y187" s="55"/>
      <c r="Z187" s="55"/>
      <c r="AA187" s="56"/>
    </row>
    <row r="188" spans="22:27">
      <c r="V188" s="54"/>
      <c r="Y188" s="55"/>
      <c r="Z188" s="55"/>
      <c r="AA188" s="56"/>
    </row>
    <row r="189" spans="22:27">
      <c r="V189" s="54"/>
      <c r="Y189" s="55"/>
      <c r="Z189" s="55"/>
      <c r="AA189" s="56"/>
    </row>
    <row r="190" spans="22:27">
      <c r="V190" s="54"/>
      <c r="Y190" s="55"/>
      <c r="Z190" s="55"/>
      <c r="AA190" s="56"/>
    </row>
    <row r="191" spans="22:27">
      <c r="V191" s="54"/>
      <c r="Y191" s="55"/>
      <c r="Z191" s="55"/>
      <c r="AA191" s="56"/>
    </row>
    <row r="192" spans="22:27">
      <c r="V192" s="54"/>
      <c r="Y192" s="55"/>
      <c r="Z192" s="55"/>
      <c r="AA192" s="56"/>
    </row>
    <row r="193" spans="22:27">
      <c r="V193" s="54"/>
      <c r="Y193" s="55"/>
      <c r="Z193" s="55"/>
      <c r="AA193" s="56"/>
    </row>
    <row r="194" spans="22:27">
      <c r="V194" s="54"/>
      <c r="Y194" s="55"/>
      <c r="Z194" s="55"/>
      <c r="AA194" s="56"/>
    </row>
    <row r="195" spans="22:27">
      <c r="V195" s="54"/>
      <c r="Y195" s="55"/>
      <c r="Z195" s="55"/>
      <c r="AA195" s="56"/>
    </row>
    <row r="196" spans="22:27">
      <c r="V196" s="54"/>
      <c r="Y196" s="55"/>
      <c r="Z196" s="55"/>
      <c r="AA196" s="56"/>
    </row>
    <row r="197" spans="22:27">
      <c r="V197" s="54"/>
      <c r="Y197" s="55"/>
      <c r="Z197" s="55"/>
      <c r="AA197" s="56"/>
    </row>
    <row r="198" spans="22:27">
      <c r="V198" s="54"/>
      <c r="Y198" s="55"/>
      <c r="Z198" s="55"/>
      <c r="AA198" s="56"/>
    </row>
    <row r="199" spans="22:27">
      <c r="V199" s="54"/>
      <c r="Y199" s="55"/>
      <c r="Z199" s="55"/>
      <c r="AA199" s="56"/>
    </row>
    <row r="200" spans="22:27">
      <c r="V200" s="54"/>
      <c r="Y200" s="55"/>
      <c r="Z200" s="55"/>
      <c r="AA200" s="56"/>
    </row>
    <row r="201" spans="22:27">
      <c r="V201" s="54"/>
      <c r="Y201" s="55"/>
      <c r="Z201" s="55"/>
      <c r="AA201" s="56"/>
    </row>
    <row r="202" spans="22:27">
      <c r="V202" s="54"/>
      <c r="Y202" s="55"/>
      <c r="Z202" s="55"/>
      <c r="AA202" s="56"/>
    </row>
    <row r="203" spans="22:27">
      <c r="V203" s="54"/>
      <c r="Y203" s="55"/>
      <c r="Z203" s="55"/>
      <c r="AA203" s="56"/>
    </row>
    <row r="204" spans="22:27">
      <c r="V204" s="54"/>
      <c r="Y204" s="55"/>
      <c r="Z204" s="55"/>
      <c r="AA204" s="56"/>
    </row>
    <row r="205" spans="22:27">
      <c r="V205" s="54"/>
      <c r="Y205" s="55"/>
      <c r="Z205" s="55"/>
      <c r="AA205" s="56"/>
    </row>
    <row r="206" spans="22:27">
      <c r="V206" s="54"/>
      <c r="Y206" s="55"/>
      <c r="Z206" s="55"/>
      <c r="AA206" s="56"/>
    </row>
    <row r="207" spans="22:27">
      <c r="V207" s="54"/>
      <c r="Y207" s="55"/>
      <c r="Z207" s="55"/>
      <c r="AA207" s="56"/>
    </row>
    <row r="208" spans="22:27">
      <c r="V208" s="54"/>
      <c r="Y208" s="55"/>
      <c r="Z208" s="55"/>
      <c r="AA208" s="56"/>
    </row>
    <row r="209" spans="22:27">
      <c r="V209" s="54"/>
      <c r="Y209" s="55"/>
      <c r="Z209" s="55"/>
      <c r="AA209" s="56"/>
    </row>
    <row r="210" spans="22:27">
      <c r="V210" s="54"/>
      <c r="Y210" s="55"/>
      <c r="Z210" s="55"/>
      <c r="AA210" s="56"/>
    </row>
    <row r="211" spans="22:27">
      <c r="V211" s="54"/>
      <c r="Y211" s="55"/>
      <c r="Z211" s="55"/>
      <c r="AA211" s="56"/>
    </row>
    <row r="212" spans="22:27">
      <c r="V212" s="54"/>
      <c r="Y212" s="55"/>
      <c r="Z212" s="55"/>
      <c r="AA212" s="56"/>
    </row>
    <row r="213" spans="22:27">
      <c r="V213" s="54"/>
      <c r="Y213" s="55"/>
      <c r="Z213" s="55"/>
      <c r="AA213" s="56"/>
    </row>
    <row r="214" spans="22:27">
      <c r="V214" s="54"/>
      <c r="Y214" s="55"/>
      <c r="Z214" s="55"/>
      <c r="AA214" s="56"/>
    </row>
    <row r="215" spans="22:27">
      <c r="V215" s="54"/>
      <c r="Y215" s="55"/>
      <c r="Z215" s="55"/>
      <c r="AA215" s="56"/>
    </row>
    <row r="216" spans="22:27">
      <c r="V216" s="54"/>
      <c r="Y216" s="55"/>
      <c r="Z216" s="55"/>
      <c r="AA216" s="56"/>
    </row>
    <row r="217" spans="22:27">
      <c r="V217" s="54"/>
      <c r="Y217" s="55"/>
      <c r="Z217" s="55"/>
      <c r="AA217" s="56"/>
    </row>
    <row r="218" spans="22:27">
      <c r="V218" s="54"/>
      <c r="Y218" s="55"/>
      <c r="Z218" s="55"/>
      <c r="AA218" s="56"/>
    </row>
    <row r="219" spans="22:27">
      <c r="V219" s="54"/>
      <c r="Y219" s="55"/>
      <c r="Z219" s="55"/>
      <c r="AA219" s="56"/>
    </row>
    <row r="220" spans="22:27">
      <c r="V220" s="54"/>
      <c r="Y220" s="55"/>
      <c r="Z220" s="55"/>
      <c r="AA220" s="56"/>
    </row>
    <row r="221" spans="22:27">
      <c r="V221" s="54"/>
      <c r="Y221" s="55"/>
      <c r="Z221" s="55"/>
      <c r="AA221" s="56"/>
    </row>
    <row r="222" spans="22:27">
      <c r="V222" s="54"/>
      <c r="Y222" s="55"/>
      <c r="Z222" s="55"/>
      <c r="AA222" s="56"/>
    </row>
    <row r="223" spans="22:27">
      <c r="V223" s="54"/>
      <c r="Y223" s="55"/>
      <c r="Z223" s="55"/>
      <c r="AA223" s="56"/>
    </row>
    <row r="224" spans="22:27">
      <c r="V224" s="54"/>
      <c r="Y224" s="55"/>
      <c r="Z224" s="55"/>
      <c r="AA224" s="56"/>
    </row>
    <row r="225" spans="22:27">
      <c r="V225" s="54"/>
      <c r="Y225" s="55"/>
      <c r="Z225" s="55"/>
      <c r="AA225" s="56"/>
    </row>
    <row r="226" spans="22:27">
      <c r="V226" s="54"/>
      <c r="Y226" s="55"/>
      <c r="Z226" s="55"/>
      <c r="AA226" s="56"/>
    </row>
    <row r="227" spans="22:27">
      <c r="V227" s="54"/>
      <c r="Y227" s="55"/>
      <c r="Z227" s="55"/>
      <c r="AA227" s="56"/>
    </row>
    <row r="228" spans="22:27">
      <c r="V228" s="54"/>
      <c r="Y228" s="55"/>
      <c r="Z228" s="55"/>
      <c r="AA228" s="56"/>
    </row>
    <row r="229" spans="22:27">
      <c r="V229" s="54"/>
      <c r="Y229" s="55"/>
      <c r="Z229" s="55"/>
      <c r="AA229" s="56"/>
    </row>
    <row r="230" spans="22:27">
      <c r="V230" s="54"/>
      <c r="Y230" s="55"/>
      <c r="Z230" s="55"/>
      <c r="AA230" s="56"/>
    </row>
    <row r="231" spans="22:27">
      <c r="V231" s="54"/>
      <c r="Y231" s="55"/>
      <c r="Z231" s="55"/>
      <c r="AA231" s="56"/>
    </row>
    <row r="232" spans="22:27">
      <c r="V232" s="54"/>
      <c r="Y232" s="55"/>
      <c r="Z232" s="55"/>
      <c r="AA232" s="56"/>
    </row>
    <row r="233" spans="22:27">
      <c r="V233" s="54"/>
      <c r="Y233" s="55"/>
      <c r="Z233" s="55"/>
      <c r="AA233" s="56"/>
    </row>
    <row r="234" spans="22:27">
      <c r="V234" s="54"/>
      <c r="Y234" s="55"/>
      <c r="Z234" s="55"/>
      <c r="AA234" s="56"/>
    </row>
    <row r="235" spans="22:27">
      <c r="V235" s="54"/>
      <c r="Y235" s="55"/>
      <c r="Z235" s="55"/>
      <c r="AA235" s="56"/>
    </row>
    <row r="236" spans="22:27">
      <c r="V236" s="54"/>
      <c r="Y236" s="55"/>
      <c r="Z236" s="55"/>
      <c r="AA236" s="56"/>
    </row>
    <row r="237" spans="22:27">
      <c r="V237" s="54"/>
      <c r="Y237" s="55"/>
      <c r="Z237" s="55"/>
      <c r="AA237" s="56"/>
    </row>
    <row r="238" spans="22:27">
      <c r="V238" s="54"/>
      <c r="Y238" s="55"/>
      <c r="Z238" s="55"/>
      <c r="AA238" s="56"/>
    </row>
    <row r="239" spans="22:27">
      <c r="V239" s="54"/>
      <c r="Y239" s="55"/>
      <c r="Z239" s="55"/>
      <c r="AA239" s="56"/>
    </row>
    <row r="240" spans="22:27">
      <c r="V240" s="54"/>
      <c r="Y240" s="55"/>
      <c r="Z240" s="55"/>
      <c r="AA240" s="56"/>
    </row>
    <row r="241" spans="22:27">
      <c r="V241" s="54"/>
      <c r="Y241" s="55"/>
      <c r="Z241" s="55"/>
      <c r="AA241" s="56"/>
    </row>
    <row r="242" spans="22:27">
      <c r="V242" s="54"/>
      <c r="Y242" s="55"/>
      <c r="Z242" s="55"/>
      <c r="AA242" s="56"/>
    </row>
    <row r="243" spans="22:27">
      <c r="V243" s="54"/>
      <c r="Y243" s="55"/>
      <c r="Z243" s="55"/>
      <c r="AA243" s="56"/>
    </row>
    <row r="244" spans="22:27">
      <c r="V244" s="54"/>
      <c r="Y244" s="55"/>
      <c r="Z244" s="55"/>
      <c r="AA244" s="56"/>
    </row>
    <row r="245" spans="22:27">
      <c r="V245" s="54"/>
      <c r="Y245" s="55"/>
      <c r="Z245" s="55"/>
      <c r="AA245" s="56"/>
    </row>
    <row r="246" spans="22:27">
      <c r="V246" s="54"/>
      <c r="Y246" s="55"/>
      <c r="Z246" s="55"/>
      <c r="AA246" s="56"/>
    </row>
    <row r="247" spans="22:27">
      <c r="V247" s="54"/>
      <c r="Y247" s="55"/>
      <c r="Z247" s="55"/>
      <c r="AA247" s="56"/>
    </row>
    <row r="248" spans="22:27">
      <c r="V248" s="54"/>
      <c r="Y248" s="55"/>
      <c r="Z248" s="55"/>
      <c r="AA248" s="56"/>
    </row>
    <row r="249" spans="22:27">
      <c r="V249" s="54"/>
      <c r="Y249" s="55"/>
      <c r="Z249" s="55"/>
      <c r="AA249" s="56"/>
    </row>
    <row r="250" spans="22:27">
      <c r="V250" s="54"/>
      <c r="Y250" s="55"/>
      <c r="Z250" s="55"/>
      <c r="AA250" s="56"/>
    </row>
    <row r="251" spans="22:27">
      <c r="V251" s="54"/>
      <c r="Y251" s="55"/>
      <c r="Z251" s="55"/>
      <c r="AA251" s="56"/>
    </row>
    <row r="252" spans="22:27">
      <c r="V252" s="54"/>
      <c r="Y252" s="55"/>
      <c r="Z252" s="55"/>
      <c r="AA252" s="56"/>
    </row>
    <row r="253" spans="22:27">
      <c r="V253" s="54"/>
      <c r="Y253" s="55"/>
      <c r="Z253" s="55"/>
      <c r="AA253" s="56"/>
    </row>
    <row r="254" spans="22:27">
      <c r="V254" s="54"/>
      <c r="Y254" s="55"/>
      <c r="Z254" s="55"/>
      <c r="AA254" s="56"/>
    </row>
    <row r="255" spans="22:27">
      <c r="V255" s="54"/>
      <c r="Y255" s="55"/>
      <c r="Z255" s="55"/>
      <c r="AA255" s="56"/>
    </row>
    <row r="256" spans="22:27">
      <c r="V256" s="54"/>
      <c r="Y256" s="55"/>
      <c r="Z256" s="55"/>
      <c r="AA256" s="56"/>
    </row>
    <row r="257" spans="22:27">
      <c r="V257" s="54"/>
      <c r="Y257" s="55"/>
      <c r="Z257" s="55"/>
      <c r="AA257" s="56"/>
    </row>
    <row r="258" spans="22:27">
      <c r="V258" s="54"/>
      <c r="Y258" s="55"/>
      <c r="Z258" s="55"/>
      <c r="AA258" s="56"/>
    </row>
    <row r="259" spans="22:27">
      <c r="V259" s="54"/>
      <c r="Y259" s="55"/>
      <c r="Z259" s="55"/>
      <c r="AA259" s="56"/>
    </row>
    <row r="260" spans="22:27">
      <c r="V260" s="54"/>
      <c r="Y260" s="55"/>
      <c r="Z260" s="55"/>
      <c r="AA260" s="56"/>
    </row>
    <row r="261" spans="22:27">
      <c r="V261" s="54"/>
      <c r="Y261" s="55"/>
      <c r="Z261" s="55"/>
      <c r="AA261" s="56"/>
    </row>
    <row r="262" spans="22:27">
      <c r="V262" s="54"/>
      <c r="Y262" s="55"/>
      <c r="Z262" s="55"/>
      <c r="AA262" s="56"/>
    </row>
    <row r="263" spans="22:27">
      <c r="V263" s="54"/>
      <c r="Y263" s="55"/>
      <c r="Z263" s="55"/>
      <c r="AA263" s="56"/>
    </row>
    <row r="264" spans="22:27">
      <c r="V264" s="54"/>
      <c r="Y264" s="55"/>
      <c r="Z264" s="55"/>
      <c r="AA264" s="56"/>
    </row>
    <row r="265" spans="22:27">
      <c r="V265" s="54"/>
      <c r="Y265" s="55"/>
      <c r="Z265" s="55"/>
      <c r="AA265" s="56"/>
    </row>
    <row r="266" spans="22:27">
      <c r="V266" s="54"/>
      <c r="Y266" s="55"/>
      <c r="Z266" s="55"/>
      <c r="AA266" s="56"/>
    </row>
    <row r="267" spans="22:27">
      <c r="V267" s="54"/>
      <c r="Y267" s="55"/>
      <c r="Z267" s="55"/>
      <c r="AA267" s="56"/>
    </row>
    <row r="268" spans="22:27">
      <c r="V268" s="54"/>
      <c r="Y268" s="55"/>
      <c r="Z268" s="55"/>
      <c r="AA268" s="56"/>
    </row>
    <row r="269" spans="22:27">
      <c r="V269" s="54"/>
      <c r="Y269" s="55"/>
      <c r="Z269" s="55"/>
      <c r="AA269" s="56"/>
    </row>
    <row r="270" spans="22:27">
      <c r="V270" s="54"/>
      <c r="Y270" s="55"/>
      <c r="Z270" s="55"/>
      <c r="AA270" s="56"/>
    </row>
    <row r="271" spans="22:27">
      <c r="V271" s="54"/>
      <c r="Y271" s="55"/>
      <c r="Z271" s="55"/>
      <c r="AA271" s="56"/>
    </row>
    <row r="272" spans="22:27">
      <c r="V272" s="54"/>
      <c r="Y272" s="55"/>
      <c r="Z272" s="55"/>
      <c r="AA272" s="56"/>
    </row>
    <row r="273" spans="22:27">
      <c r="V273" s="54"/>
      <c r="Y273" s="55"/>
      <c r="Z273" s="55"/>
      <c r="AA273" s="56"/>
    </row>
    <row r="274" spans="22:27">
      <c r="V274" s="54"/>
      <c r="Y274" s="55"/>
      <c r="Z274" s="55"/>
      <c r="AA274" s="56"/>
    </row>
    <row r="275" spans="22:27">
      <c r="V275" s="54"/>
      <c r="Y275" s="55"/>
      <c r="Z275" s="55"/>
      <c r="AA275" s="56"/>
    </row>
    <row r="276" spans="22:27">
      <c r="V276" s="54"/>
      <c r="Y276" s="55"/>
      <c r="Z276" s="55"/>
      <c r="AA276" s="56"/>
    </row>
    <row r="277" spans="22:27">
      <c r="V277" s="54"/>
      <c r="Y277" s="55"/>
      <c r="Z277" s="55"/>
      <c r="AA277" s="56"/>
    </row>
    <row r="278" spans="22:27">
      <c r="V278" s="54"/>
      <c r="Y278" s="55"/>
      <c r="Z278" s="55"/>
      <c r="AA278" s="56"/>
    </row>
    <row r="279" spans="22:27">
      <c r="V279" s="54"/>
      <c r="Y279" s="55"/>
      <c r="Z279" s="55"/>
      <c r="AA279" s="56"/>
    </row>
    <row r="280" spans="22:27">
      <c r="V280" s="54"/>
      <c r="Y280" s="55"/>
      <c r="Z280" s="55"/>
      <c r="AA280" s="56"/>
    </row>
    <row r="281" spans="22:27">
      <c r="V281" s="54"/>
      <c r="Y281" s="55"/>
      <c r="Z281" s="55"/>
      <c r="AA281" s="56"/>
    </row>
    <row r="282" spans="22:27">
      <c r="V282" s="54"/>
      <c r="Y282" s="55"/>
      <c r="Z282" s="55"/>
      <c r="AA282" s="56"/>
    </row>
    <row r="283" spans="22:27">
      <c r="V283" s="54"/>
      <c r="Y283" s="55"/>
      <c r="Z283" s="55"/>
      <c r="AA283" s="56"/>
    </row>
    <row r="284" spans="22:27">
      <c r="V284" s="54"/>
      <c r="Y284" s="55"/>
      <c r="Z284" s="55"/>
      <c r="AA284" s="56"/>
    </row>
    <row r="285" spans="22:27">
      <c r="V285" s="54"/>
      <c r="Y285" s="55"/>
      <c r="Z285" s="55"/>
      <c r="AA285" s="56"/>
    </row>
    <row r="286" spans="22:27">
      <c r="V286" s="54"/>
      <c r="Y286" s="55"/>
      <c r="Z286" s="55"/>
      <c r="AA286" s="56"/>
    </row>
    <row r="287" spans="22:27">
      <c r="V287" s="54"/>
      <c r="Y287" s="55"/>
      <c r="Z287" s="55"/>
      <c r="AA287" s="56"/>
    </row>
    <row r="288" spans="22:27">
      <c r="V288" s="54"/>
      <c r="Y288" s="55"/>
      <c r="Z288" s="55"/>
      <c r="AA288" s="56"/>
    </row>
    <row r="289" spans="22:27">
      <c r="V289" s="54"/>
      <c r="Y289" s="55"/>
      <c r="Z289" s="55"/>
      <c r="AA289" s="56"/>
    </row>
    <row r="290" spans="22:27">
      <c r="V290" s="54"/>
      <c r="Y290" s="55"/>
      <c r="Z290" s="55"/>
      <c r="AA290" s="56"/>
    </row>
    <row r="291" spans="22:27">
      <c r="V291" s="54"/>
      <c r="Y291" s="55"/>
      <c r="Z291" s="55"/>
      <c r="AA291" s="56"/>
    </row>
    <row r="292" spans="22:27">
      <c r="V292" s="54"/>
      <c r="Y292" s="55"/>
      <c r="Z292" s="55"/>
      <c r="AA292" s="56"/>
    </row>
    <row r="293" spans="22:27">
      <c r="V293" s="54"/>
      <c r="Y293" s="55"/>
      <c r="Z293" s="55"/>
      <c r="AA293" s="56"/>
    </row>
    <row r="294" spans="22:27">
      <c r="V294" s="54"/>
      <c r="Y294" s="55"/>
      <c r="Z294" s="55"/>
      <c r="AA294" s="56"/>
    </row>
    <row r="295" spans="22:27">
      <c r="V295" s="54"/>
      <c r="Y295" s="55"/>
      <c r="Z295" s="55"/>
      <c r="AA295" s="56"/>
    </row>
    <row r="296" spans="22:27">
      <c r="V296" s="54"/>
      <c r="Y296" s="55"/>
      <c r="Z296" s="55"/>
      <c r="AA296" s="56"/>
    </row>
    <row r="297" spans="22:27">
      <c r="V297" s="54"/>
      <c r="Y297" s="55"/>
      <c r="Z297" s="55"/>
      <c r="AA297" s="56"/>
    </row>
    <row r="298" spans="22:27">
      <c r="V298" s="54"/>
      <c r="Y298" s="55"/>
      <c r="Z298" s="55"/>
      <c r="AA298" s="56"/>
    </row>
    <row r="299" spans="22:27">
      <c r="V299" s="54"/>
      <c r="Y299" s="55"/>
      <c r="Z299" s="55"/>
      <c r="AA299" s="56"/>
    </row>
    <row r="300" spans="22:27">
      <c r="V300" s="54"/>
      <c r="Y300" s="55"/>
      <c r="Z300" s="55"/>
      <c r="AA300" s="56"/>
    </row>
    <row r="301" spans="22:27">
      <c r="V301" s="54"/>
      <c r="Y301" s="55"/>
      <c r="Z301" s="55"/>
      <c r="AA301" s="56"/>
    </row>
    <row r="302" spans="22:27">
      <c r="V302" s="54"/>
      <c r="Y302" s="55"/>
      <c r="Z302" s="55"/>
      <c r="AA302" s="56"/>
    </row>
    <row r="303" spans="22:27">
      <c r="V303" s="54"/>
      <c r="Y303" s="55"/>
      <c r="Z303" s="55"/>
      <c r="AA303" s="56"/>
    </row>
    <row r="304" spans="22:27">
      <c r="V304" s="54"/>
      <c r="Y304" s="55"/>
      <c r="Z304" s="55"/>
      <c r="AA304" s="56"/>
    </row>
    <row r="305" spans="22:27">
      <c r="V305" s="54"/>
      <c r="Y305" s="55"/>
      <c r="Z305" s="55"/>
      <c r="AA305" s="56"/>
    </row>
    <row r="306" spans="22:27">
      <c r="V306" s="54"/>
      <c r="Y306" s="55"/>
      <c r="Z306" s="55"/>
      <c r="AA306" s="56"/>
    </row>
    <row r="307" spans="22:27">
      <c r="V307" s="54"/>
      <c r="Y307" s="55"/>
      <c r="Z307" s="55"/>
      <c r="AA307" s="56"/>
    </row>
    <row r="308" spans="22:27">
      <c r="V308" s="54"/>
      <c r="Y308" s="55"/>
      <c r="Z308" s="55"/>
      <c r="AA308" s="56"/>
    </row>
    <row r="309" spans="22:27">
      <c r="V309" s="54"/>
      <c r="Y309" s="55"/>
      <c r="Z309" s="55"/>
      <c r="AA309" s="56"/>
    </row>
    <row r="310" spans="22:27">
      <c r="V310" s="54"/>
      <c r="Y310" s="55"/>
      <c r="Z310" s="55"/>
      <c r="AA310" s="56"/>
    </row>
    <row r="311" spans="22:27">
      <c r="V311" s="54"/>
      <c r="Y311" s="55"/>
      <c r="Z311" s="55"/>
      <c r="AA311" s="56"/>
    </row>
    <row r="312" spans="22:27">
      <c r="V312" s="54"/>
      <c r="Y312" s="55"/>
      <c r="Z312" s="55"/>
      <c r="AA312" s="56"/>
    </row>
    <row r="313" spans="22:27">
      <c r="V313" s="54"/>
      <c r="Y313" s="55"/>
      <c r="Z313" s="55"/>
      <c r="AA313" s="56"/>
    </row>
    <row r="314" spans="22:27">
      <c r="V314" s="54"/>
      <c r="Y314" s="55"/>
      <c r="Z314" s="55"/>
      <c r="AA314" s="56"/>
    </row>
    <row r="315" spans="22:27">
      <c r="V315" s="54"/>
      <c r="Y315" s="55"/>
      <c r="Z315" s="55"/>
      <c r="AA315" s="56"/>
    </row>
    <row r="316" spans="22:27">
      <c r="V316" s="54"/>
      <c r="Y316" s="55"/>
      <c r="Z316" s="55"/>
      <c r="AA316" s="56"/>
    </row>
    <row r="317" spans="22:27">
      <c r="V317" s="54"/>
      <c r="Y317" s="55"/>
      <c r="Z317" s="55"/>
      <c r="AA317" s="56"/>
    </row>
    <row r="318" spans="22:27">
      <c r="V318" s="54"/>
      <c r="Y318" s="55"/>
      <c r="Z318" s="55"/>
      <c r="AA318" s="56"/>
    </row>
    <row r="319" spans="22:27">
      <c r="V319" s="54"/>
      <c r="Y319" s="55"/>
      <c r="Z319" s="55"/>
      <c r="AA319" s="56"/>
    </row>
    <row r="320" spans="22:27">
      <c r="V320" s="54"/>
      <c r="Y320" s="55"/>
      <c r="Z320" s="55"/>
      <c r="AA320" s="56"/>
    </row>
    <row r="321" spans="22:27">
      <c r="V321" s="54"/>
      <c r="Y321" s="55"/>
      <c r="Z321" s="55"/>
      <c r="AA321" s="56"/>
    </row>
    <row r="322" spans="22:27">
      <c r="V322" s="54"/>
      <c r="Y322" s="55"/>
      <c r="Z322" s="55"/>
      <c r="AA322" s="56"/>
    </row>
    <row r="323" spans="22:27">
      <c r="V323" s="54"/>
      <c r="Y323" s="55"/>
      <c r="Z323" s="55"/>
      <c r="AA323" s="56"/>
    </row>
    <row r="324" spans="22:27">
      <c r="V324" s="54"/>
      <c r="Y324" s="55"/>
      <c r="Z324" s="55"/>
      <c r="AA324" s="56"/>
    </row>
    <row r="325" spans="22:27">
      <c r="V325" s="54"/>
      <c r="Y325" s="55"/>
      <c r="Z325" s="55"/>
      <c r="AA325" s="56"/>
    </row>
    <row r="326" spans="22:27">
      <c r="V326" s="54"/>
      <c r="Y326" s="55"/>
      <c r="Z326" s="55"/>
      <c r="AA326" s="56"/>
    </row>
    <row r="327" spans="22:27">
      <c r="V327" s="54"/>
      <c r="Y327" s="55"/>
      <c r="Z327" s="55"/>
      <c r="AA327" s="56"/>
    </row>
    <row r="328" spans="22:27">
      <c r="V328" s="54"/>
      <c r="Y328" s="55"/>
      <c r="Z328" s="55"/>
      <c r="AA328" s="56"/>
    </row>
    <row r="329" spans="22:27">
      <c r="V329" s="54"/>
      <c r="Y329" s="55"/>
      <c r="Z329" s="55"/>
      <c r="AA329" s="56"/>
    </row>
    <row r="330" spans="22:27">
      <c r="V330" s="54"/>
      <c r="Y330" s="55"/>
      <c r="Z330" s="55"/>
      <c r="AA330" s="56"/>
    </row>
    <row r="331" spans="22:27">
      <c r="V331" s="54"/>
      <c r="Y331" s="55"/>
      <c r="Z331" s="55"/>
      <c r="AA331" s="56"/>
    </row>
    <row r="332" spans="22:27">
      <c r="V332" s="54"/>
      <c r="Y332" s="55"/>
      <c r="Z332" s="55"/>
      <c r="AA332" s="56"/>
    </row>
    <row r="333" spans="22:27">
      <c r="V333" s="54"/>
      <c r="Y333" s="55"/>
      <c r="Z333" s="55"/>
      <c r="AA333" s="56"/>
    </row>
    <row r="334" spans="22:27">
      <c r="V334" s="54"/>
      <c r="Y334" s="55"/>
      <c r="Z334" s="55"/>
      <c r="AA334" s="56"/>
    </row>
    <row r="335" spans="22:27">
      <c r="V335" s="54"/>
      <c r="Y335" s="55"/>
      <c r="Z335" s="55"/>
      <c r="AA335" s="56"/>
    </row>
    <row r="336" spans="22:27">
      <c r="V336" s="54"/>
      <c r="Y336" s="55"/>
      <c r="Z336" s="55"/>
      <c r="AA336" s="56"/>
    </row>
    <row r="337" spans="22:27">
      <c r="V337" s="54"/>
      <c r="Y337" s="55"/>
      <c r="Z337" s="55"/>
      <c r="AA337" s="56"/>
    </row>
    <row r="338" spans="22:27">
      <c r="V338" s="54"/>
      <c r="Y338" s="55"/>
      <c r="Z338" s="55"/>
      <c r="AA338" s="56"/>
    </row>
    <row r="339" spans="22:27">
      <c r="V339" s="54"/>
      <c r="Y339" s="55"/>
      <c r="Z339" s="55"/>
      <c r="AA339" s="56"/>
    </row>
    <row r="340" spans="22:27">
      <c r="V340" s="54"/>
      <c r="Y340" s="55"/>
      <c r="Z340" s="55"/>
      <c r="AA340" s="56"/>
    </row>
    <row r="341" spans="22:27">
      <c r="V341" s="54"/>
      <c r="Y341" s="55"/>
      <c r="Z341" s="55"/>
      <c r="AA341" s="56"/>
    </row>
    <row r="342" spans="22:27">
      <c r="V342" s="54"/>
      <c r="Y342" s="55"/>
      <c r="Z342" s="55"/>
      <c r="AA342" s="56"/>
    </row>
    <row r="343" spans="22:27">
      <c r="V343" s="54"/>
      <c r="Y343" s="55"/>
      <c r="Z343" s="55"/>
      <c r="AA343" s="56"/>
    </row>
    <row r="344" spans="22:27">
      <c r="V344" s="54"/>
      <c r="Y344" s="55"/>
      <c r="Z344" s="55"/>
      <c r="AA344" s="56"/>
    </row>
    <row r="345" spans="22:27">
      <c r="V345" s="54"/>
      <c r="Y345" s="55"/>
      <c r="Z345" s="55"/>
      <c r="AA345" s="56"/>
    </row>
    <row r="346" spans="22:27">
      <c r="V346" s="54"/>
      <c r="Y346" s="55"/>
      <c r="Z346" s="55"/>
      <c r="AA346" s="56"/>
    </row>
    <row r="347" spans="22:27">
      <c r="V347" s="54"/>
      <c r="Y347" s="55"/>
      <c r="Z347" s="55"/>
      <c r="AA347" s="56"/>
    </row>
    <row r="348" spans="22:27">
      <c r="V348" s="54"/>
      <c r="Y348" s="55"/>
      <c r="Z348" s="55"/>
      <c r="AA348" s="56"/>
    </row>
    <row r="349" spans="22:27">
      <c r="V349" s="54"/>
      <c r="Y349" s="55"/>
      <c r="Z349" s="55"/>
      <c r="AA349" s="56"/>
    </row>
    <row r="350" spans="22:27">
      <c r="V350" s="54"/>
      <c r="Y350" s="55"/>
      <c r="Z350" s="55"/>
      <c r="AA350" s="56"/>
    </row>
    <row r="351" spans="22:27">
      <c r="V351" s="54"/>
      <c r="Y351" s="55"/>
      <c r="Z351" s="55"/>
      <c r="AA351" s="56"/>
    </row>
    <row r="352" spans="22:27">
      <c r="V352" s="54"/>
      <c r="Y352" s="55"/>
      <c r="Z352" s="55"/>
      <c r="AA352" s="56"/>
    </row>
    <row r="353" spans="22:27">
      <c r="V353" s="54"/>
      <c r="Y353" s="55"/>
      <c r="Z353" s="55"/>
      <c r="AA353" s="56"/>
    </row>
    <row r="354" spans="22:27">
      <c r="V354" s="54"/>
      <c r="Y354" s="55"/>
      <c r="Z354" s="55"/>
      <c r="AA354" s="56"/>
    </row>
    <row r="355" spans="22:27">
      <c r="V355" s="54"/>
      <c r="Y355" s="55"/>
      <c r="Z355" s="55"/>
      <c r="AA355" s="56"/>
    </row>
    <row r="356" spans="22:27">
      <c r="V356" s="54"/>
      <c r="Y356" s="55"/>
      <c r="Z356" s="55"/>
      <c r="AA356" s="56"/>
    </row>
    <row r="357" spans="22:27">
      <c r="V357" s="54"/>
      <c r="Y357" s="55"/>
      <c r="Z357" s="55"/>
      <c r="AA357" s="56"/>
    </row>
    <row r="358" spans="22:27">
      <c r="V358" s="54"/>
      <c r="Y358" s="55"/>
      <c r="Z358" s="55"/>
      <c r="AA358" s="56"/>
    </row>
    <row r="359" spans="22:27">
      <c r="V359" s="54"/>
      <c r="Y359" s="55"/>
      <c r="Z359" s="55"/>
      <c r="AA359" s="56"/>
    </row>
    <row r="360" spans="22:27">
      <c r="V360" s="54"/>
      <c r="Y360" s="55"/>
      <c r="Z360" s="55"/>
      <c r="AA360" s="56"/>
    </row>
    <row r="361" spans="22:27">
      <c r="V361" s="54"/>
      <c r="Y361" s="55"/>
      <c r="Z361" s="55"/>
      <c r="AA361" s="56"/>
    </row>
    <row r="362" spans="22:27">
      <c r="V362" s="54"/>
      <c r="Y362" s="55"/>
      <c r="Z362" s="55"/>
      <c r="AA362" s="56"/>
    </row>
    <row r="363" spans="22:27">
      <c r="V363" s="54"/>
      <c r="Y363" s="55"/>
      <c r="Z363" s="55"/>
      <c r="AA363" s="56"/>
    </row>
    <row r="364" spans="22:27">
      <c r="V364" s="54"/>
      <c r="Y364" s="55"/>
      <c r="Z364" s="55"/>
      <c r="AA364" s="56"/>
    </row>
    <row r="365" spans="22:27">
      <c r="V365" s="54"/>
      <c r="Y365" s="55"/>
      <c r="Z365" s="55"/>
      <c r="AA365" s="56"/>
    </row>
    <row r="366" spans="22:27">
      <c r="V366" s="54"/>
      <c r="Y366" s="55"/>
      <c r="Z366" s="55"/>
      <c r="AA366" s="56"/>
    </row>
    <row r="367" spans="22:27">
      <c r="V367" s="54"/>
      <c r="Y367" s="55"/>
      <c r="Z367" s="55"/>
      <c r="AA367" s="56"/>
    </row>
    <row r="368" spans="22:27">
      <c r="V368" s="54"/>
      <c r="Y368" s="55"/>
      <c r="Z368" s="55"/>
      <c r="AA368" s="56"/>
    </row>
    <row r="369" spans="22:27">
      <c r="V369" s="54"/>
      <c r="Y369" s="55"/>
      <c r="Z369" s="55"/>
      <c r="AA369" s="56"/>
    </row>
    <row r="370" spans="22:27">
      <c r="V370" s="54"/>
      <c r="Y370" s="55"/>
      <c r="Z370" s="55"/>
      <c r="AA370" s="56"/>
    </row>
    <row r="371" spans="22:27">
      <c r="V371" s="54"/>
      <c r="Y371" s="55"/>
      <c r="Z371" s="55"/>
      <c r="AA371" s="56"/>
    </row>
    <row r="372" spans="22:27">
      <c r="V372" s="54"/>
      <c r="Y372" s="55"/>
      <c r="Z372" s="55"/>
      <c r="AA372" s="56"/>
    </row>
    <row r="373" spans="22:27">
      <c r="V373" s="54"/>
      <c r="Y373" s="55"/>
      <c r="Z373" s="55"/>
      <c r="AA373" s="56"/>
    </row>
    <row r="374" spans="22:27">
      <c r="V374" s="54"/>
      <c r="Y374" s="55"/>
      <c r="Z374" s="55"/>
      <c r="AA374" s="56"/>
    </row>
    <row r="375" spans="22:27">
      <c r="V375" s="54"/>
      <c r="Y375" s="55"/>
      <c r="Z375" s="55"/>
      <c r="AA375" s="56"/>
    </row>
    <row r="376" spans="22:27">
      <c r="V376" s="54"/>
      <c r="Y376" s="55"/>
      <c r="Z376" s="55"/>
      <c r="AA376" s="56"/>
    </row>
    <row r="377" spans="22:27">
      <c r="V377" s="54"/>
      <c r="Y377" s="55"/>
      <c r="Z377" s="55"/>
      <c r="AA377" s="56"/>
    </row>
    <row r="378" spans="22:27">
      <c r="V378" s="54"/>
      <c r="Y378" s="55"/>
      <c r="Z378" s="55"/>
      <c r="AA378" s="56"/>
    </row>
    <row r="379" spans="22:27">
      <c r="V379" s="54"/>
      <c r="Y379" s="55"/>
      <c r="Z379" s="55"/>
      <c r="AA379" s="56"/>
    </row>
    <row r="380" spans="22:27">
      <c r="V380" s="54"/>
      <c r="Y380" s="55"/>
      <c r="Z380" s="55"/>
      <c r="AA380" s="56"/>
    </row>
    <row r="381" spans="22:27">
      <c r="V381" s="54"/>
      <c r="Y381" s="55"/>
      <c r="Z381" s="55"/>
      <c r="AA381" s="56"/>
    </row>
    <row r="382" spans="22:27">
      <c r="V382" s="54"/>
      <c r="Y382" s="55"/>
      <c r="Z382" s="55"/>
      <c r="AA382" s="56"/>
    </row>
    <row r="383" spans="22:27">
      <c r="V383" s="54"/>
      <c r="Y383" s="55"/>
      <c r="Z383" s="55"/>
      <c r="AA383" s="56"/>
    </row>
    <row r="384" spans="22:27">
      <c r="V384" s="54"/>
      <c r="Y384" s="55"/>
      <c r="Z384" s="55"/>
      <c r="AA384" s="56"/>
    </row>
    <row r="385" spans="22:27">
      <c r="V385" s="54"/>
      <c r="Y385" s="55"/>
      <c r="Z385" s="55"/>
      <c r="AA385" s="56"/>
    </row>
    <row r="386" spans="22:27">
      <c r="V386" s="54"/>
      <c r="Y386" s="55"/>
      <c r="Z386" s="55"/>
      <c r="AA386" s="56"/>
    </row>
    <row r="387" spans="22:27">
      <c r="V387" s="54"/>
      <c r="Y387" s="55"/>
      <c r="Z387" s="55"/>
      <c r="AA387" s="56"/>
    </row>
    <row r="388" spans="22:27">
      <c r="V388" s="54"/>
      <c r="Y388" s="55"/>
      <c r="Z388" s="55"/>
      <c r="AA388" s="56"/>
    </row>
    <row r="389" spans="22:27">
      <c r="V389" s="54"/>
      <c r="Y389" s="55"/>
      <c r="Z389" s="55"/>
      <c r="AA389" s="56"/>
    </row>
    <row r="390" spans="22:27">
      <c r="V390" s="54"/>
      <c r="Y390" s="55"/>
      <c r="Z390" s="55"/>
      <c r="AA390" s="56"/>
    </row>
    <row r="391" spans="22:27">
      <c r="V391" s="54"/>
      <c r="Y391" s="55"/>
      <c r="Z391" s="55"/>
      <c r="AA391" s="56"/>
    </row>
    <row r="392" spans="22:27">
      <c r="V392" s="54"/>
      <c r="Y392" s="55"/>
      <c r="Z392" s="55"/>
      <c r="AA392" s="56"/>
    </row>
    <row r="393" spans="22:27">
      <c r="V393" s="54"/>
      <c r="Y393" s="55"/>
      <c r="Z393" s="55"/>
      <c r="AA393" s="56"/>
    </row>
    <row r="394" spans="22:27">
      <c r="V394" s="54"/>
      <c r="Y394" s="55"/>
      <c r="Z394" s="55"/>
      <c r="AA394" s="56"/>
    </row>
    <row r="395" spans="22:27">
      <c r="V395" s="54"/>
      <c r="Y395" s="55"/>
      <c r="Z395" s="55"/>
      <c r="AA395" s="56"/>
    </row>
    <row r="396" spans="22:27">
      <c r="V396" s="54"/>
      <c r="Y396" s="55"/>
      <c r="Z396" s="55"/>
      <c r="AA396" s="56"/>
    </row>
    <row r="397" spans="22:27">
      <c r="V397" s="54"/>
      <c r="Y397" s="55"/>
      <c r="Z397" s="55"/>
      <c r="AA397" s="56"/>
    </row>
    <row r="398" spans="22:27">
      <c r="V398" s="54"/>
      <c r="Y398" s="55"/>
      <c r="Z398" s="55"/>
      <c r="AA398" s="56"/>
    </row>
    <row r="399" spans="22:27">
      <c r="V399" s="54"/>
      <c r="Y399" s="55"/>
      <c r="Z399" s="55"/>
      <c r="AA399" s="56"/>
    </row>
    <row r="400" spans="22:27">
      <c r="V400" s="54"/>
      <c r="Y400" s="55"/>
      <c r="Z400" s="55"/>
      <c r="AA400" s="56"/>
    </row>
    <row r="405" spans="10:16">
      <c r="J405" s="57"/>
      <c r="K405" s="57"/>
      <c r="L405" s="57"/>
      <c r="M405" s="57"/>
      <c r="N405" s="57"/>
      <c r="O405" s="57"/>
      <c r="P405" s="57"/>
    </row>
    <row r="406" spans="10:16">
      <c r="J406" s="57"/>
      <c r="K406" s="57"/>
      <c r="L406" s="57"/>
      <c r="M406" s="57"/>
      <c r="N406" s="57"/>
      <c r="O406" s="57"/>
      <c r="P406" s="57"/>
    </row>
    <row r="407" spans="10:16">
      <c r="J407" s="57"/>
      <c r="K407" s="57"/>
      <c r="L407" s="57"/>
      <c r="M407" s="57"/>
      <c r="N407" s="57"/>
      <c r="O407" s="57"/>
      <c r="P407" s="57"/>
    </row>
    <row r="408" spans="10:16">
      <c r="J408" s="57"/>
      <c r="K408" s="57"/>
      <c r="L408" s="57"/>
      <c r="M408" s="57"/>
      <c r="N408" s="57"/>
      <c r="O408" s="57"/>
      <c r="P408" s="57"/>
    </row>
    <row r="409" spans="10:16">
      <c r="J409" s="57"/>
      <c r="K409" s="57"/>
      <c r="L409" s="57"/>
      <c r="M409" s="57"/>
      <c r="N409" s="57"/>
      <c r="O409" s="57"/>
      <c r="P409" s="57"/>
    </row>
    <row r="410" spans="10:16">
      <c r="J410" s="57"/>
      <c r="K410" s="57"/>
      <c r="L410" s="57"/>
      <c r="M410" s="57"/>
      <c r="N410" s="57"/>
      <c r="O410" s="57"/>
      <c r="P410" s="57"/>
    </row>
    <row r="411" spans="10:16">
      <c r="J411" s="57"/>
      <c r="K411" s="57"/>
      <c r="L411" s="57"/>
      <c r="M411" s="57"/>
      <c r="N411" s="57"/>
      <c r="O411" s="57"/>
      <c r="P411" s="57"/>
    </row>
    <row r="412" spans="10:16">
      <c r="J412" s="57"/>
      <c r="K412" s="57"/>
      <c r="L412" s="57"/>
      <c r="M412" s="57"/>
      <c r="N412" s="57"/>
      <c r="O412" s="57"/>
      <c r="P412" s="57"/>
    </row>
    <row r="413" spans="10:16">
      <c r="J413" s="57"/>
      <c r="K413" s="57"/>
      <c r="L413" s="57"/>
      <c r="M413" s="57"/>
      <c r="N413" s="57"/>
      <c r="O413" s="57"/>
      <c r="P413" s="57"/>
    </row>
    <row r="414" spans="10:16">
      <c r="J414" s="57"/>
      <c r="K414" s="57"/>
      <c r="L414" s="57"/>
      <c r="M414" s="57"/>
      <c r="N414" s="57"/>
      <c r="O414" s="57"/>
      <c r="P414" s="57"/>
    </row>
    <row r="415" spans="10:16">
      <c r="J415" s="57"/>
      <c r="K415" s="57"/>
      <c r="L415" s="57"/>
      <c r="M415" s="57"/>
      <c r="N415" s="57"/>
      <c r="O415" s="57"/>
      <c r="P415" s="57"/>
    </row>
    <row r="416" spans="10:16">
      <c r="J416" s="57"/>
      <c r="K416" s="57"/>
      <c r="L416" s="57"/>
      <c r="M416" s="57"/>
      <c r="N416" s="57"/>
      <c r="O416" s="57"/>
      <c r="P416" s="57"/>
    </row>
    <row r="417" spans="10:16">
      <c r="J417" s="57"/>
      <c r="K417" s="57"/>
      <c r="L417" s="57"/>
      <c r="M417" s="57"/>
      <c r="N417" s="57"/>
      <c r="O417" s="57"/>
      <c r="P417" s="57"/>
    </row>
    <row r="418" spans="10:16">
      <c r="J418" s="57"/>
      <c r="K418" s="57"/>
      <c r="L418" s="57"/>
      <c r="M418" s="57"/>
      <c r="N418" s="57"/>
      <c r="O418" s="57"/>
      <c r="P418" s="57"/>
    </row>
    <row r="419" spans="10:16">
      <c r="J419" s="57"/>
      <c r="K419" s="57"/>
      <c r="L419" s="57"/>
      <c r="M419" s="57"/>
      <c r="N419" s="57"/>
      <c r="O419" s="57"/>
      <c r="P419" s="57"/>
    </row>
    <row r="420" spans="10:16">
      <c r="J420" s="57"/>
      <c r="K420" s="57"/>
      <c r="L420" s="57"/>
      <c r="M420" s="57"/>
      <c r="N420" s="57"/>
      <c r="O420" s="57"/>
      <c r="P420" s="57"/>
    </row>
    <row r="421" spans="10:16">
      <c r="J421" s="57"/>
      <c r="K421" s="57"/>
      <c r="L421" s="57"/>
      <c r="M421" s="57"/>
      <c r="N421" s="57"/>
      <c r="O421" s="57"/>
      <c r="P421" s="57"/>
    </row>
    <row r="422" spans="10:16">
      <c r="J422" s="57"/>
      <c r="K422" s="57"/>
      <c r="L422" s="57"/>
      <c r="M422" s="57"/>
      <c r="N422" s="57"/>
      <c r="O422" s="57"/>
      <c r="P422" s="57"/>
    </row>
    <row r="423" spans="10:16">
      <c r="J423" s="57"/>
      <c r="K423" s="57"/>
      <c r="L423" s="57"/>
      <c r="M423" s="57"/>
      <c r="N423" s="57"/>
      <c r="O423" s="57"/>
      <c r="P423" s="57"/>
    </row>
    <row r="424" spans="10:16">
      <c r="J424" s="57"/>
      <c r="K424" s="57"/>
      <c r="L424" s="57"/>
      <c r="M424" s="57"/>
      <c r="N424" s="57"/>
      <c r="O424" s="57"/>
      <c r="P424" s="57"/>
    </row>
    <row r="425" spans="10:16">
      <c r="J425" s="57"/>
      <c r="K425" s="57"/>
      <c r="L425" s="57"/>
      <c r="M425" s="57"/>
      <c r="N425" s="57"/>
      <c r="O425" s="57"/>
      <c r="P425" s="57"/>
    </row>
    <row r="426" spans="10:16">
      <c r="J426" s="57"/>
      <c r="K426" s="57"/>
      <c r="L426" s="57"/>
      <c r="M426" s="57"/>
      <c r="N426" s="57"/>
      <c r="O426" s="57"/>
      <c r="P426" s="57"/>
    </row>
    <row r="427" spans="10:16">
      <c r="J427" s="57"/>
      <c r="K427" s="57"/>
      <c r="L427" s="57"/>
      <c r="M427" s="57"/>
      <c r="N427" s="57"/>
      <c r="O427" s="57"/>
      <c r="P427" s="57"/>
    </row>
  </sheetData>
  <mergeCells count="1">
    <mergeCell ref="B7:B9"/>
  </mergeCells>
  <pageMargins left="0.75" right="0.75" top="1" bottom="1" header="0" footer="0"/>
  <pageSetup paperSize="9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3"/>
  <dimension ref="A2:AG405"/>
  <sheetViews>
    <sheetView workbookViewId="0"/>
  </sheetViews>
  <sheetFormatPr baseColWidth="10" defaultRowHeight="12.75"/>
  <cols>
    <col min="1" max="1" width="2.5703125" customWidth="1"/>
    <col min="2" max="2" width="23.5703125" customWidth="1"/>
    <col min="3" max="3" width="1.42578125" customWidth="1"/>
    <col min="4" max="4" width="105.5703125" customWidth="1"/>
    <col min="5" max="5" width="13.5703125" style="50" customWidth="1"/>
    <col min="6" max="6" width="6.42578125" style="50" bestFit="1" customWidth="1"/>
    <col min="7" max="7" width="13.42578125" style="50" customWidth="1"/>
    <col min="8" max="12" width="11.5703125" style="50" bestFit="1" customWidth="1"/>
    <col min="13" max="13" width="9" style="50" bestFit="1" customWidth="1"/>
    <col min="14" max="14" width="9" style="50" customWidth="1"/>
    <col min="15" max="22" width="13.5703125" style="50" customWidth="1"/>
    <col min="23" max="264" width="11.42578125" style="50"/>
    <col min="265" max="265" width="4.42578125" style="50" customWidth="1"/>
    <col min="266" max="266" width="13.42578125" style="50" customWidth="1"/>
    <col min="267" max="271" width="11.42578125" style="50"/>
    <col min="272" max="272" width="4.5703125" style="50" customWidth="1"/>
    <col min="273" max="520" width="11.42578125" style="50"/>
    <col min="521" max="521" width="4.42578125" style="50" customWidth="1"/>
    <col min="522" max="522" width="13.42578125" style="50" customWidth="1"/>
    <col min="523" max="527" width="11.42578125" style="50"/>
    <col min="528" max="528" width="4.5703125" style="50" customWidth="1"/>
    <col min="529" max="776" width="11.42578125" style="50"/>
    <col min="777" max="777" width="4.42578125" style="50" customWidth="1"/>
    <col min="778" max="778" width="13.42578125" style="50" customWidth="1"/>
    <col min="779" max="783" width="11.42578125" style="50"/>
    <col min="784" max="784" width="4.5703125" style="50" customWidth="1"/>
    <col min="785" max="1032" width="11.42578125" style="50"/>
    <col min="1033" max="1033" width="4.42578125" style="50" customWidth="1"/>
    <col min="1034" max="1034" width="13.42578125" style="50" customWidth="1"/>
    <col min="1035" max="1039" width="11.42578125" style="50"/>
    <col min="1040" max="1040" width="4.5703125" style="50" customWidth="1"/>
    <col min="1041" max="1288" width="11.42578125" style="50"/>
    <col min="1289" max="1289" width="4.42578125" style="50" customWidth="1"/>
    <col min="1290" max="1290" width="13.42578125" style="50" customWidth="1"/>
    <col min="1291" max="1295" width="11.42578125" style="50"/>
    <col min="1296" max="1296" width="4.5703125" style="50" customWidth="1"/>
    <col min="1297" max="1544" width="11.42578125" style="50"/>
    <col min="1545" max="1545" width="4.42578125" style="50" customWidth="1"/>
    <col min="1546" max="1546" width="13.42578125" style="50" customWidth="1"/>
    <col min="1547" max="1551" width="11.42578125" style="50"/>
    <col min="1552" max="1552" width="4.5703125" style="50" customWidth="1"/>
    <col min="1553" max="1800" width="11.42578125" style="50"/>
    <col min="1801" max="1801" width="4.42578125" style="50" customWidth="1"/>
    <col min="1802" max="1802" width="13.42578125" style="50" customWidth="1"/>
    <col min="1803" max="1807" width="11.42578125" style="50"/>
    <col min="1808" max="1808" width="4.5703125" style="50" customWidth="1"/>
    <col min="1809" max="2056" width="11.42578125" style="50"/>
    <col min="2057" max="2057" width="4.42578125" style="50" customWidth="1"/>
    <col min="2058" max="2058" width="13.42578125" style="50" customWidth="1"/>
    <col min="2059" max="2063" width="11.42578125" style="50"/>
    <col min="2064" max="2064" width="4.5703125" style="50" customWidth="1"/>
    <col min="2065" max="2312" width="11.42578125" style="50"/>
    <col min="2313" max="2313" width="4.42578125" style="50" customWidth="1"/>
    <col min="2314" max="2314" width="13.42578125" style="50" customWidth="1"/>
    <col min="2315" max="2319" width="11.42578125" style="50"/>
    <col min="2320" max="2320" width="4.5703125" style="50" customWidth="1"/>
    <col min="2321" max="2568" width="11.42578125" style="50"/>
    <col min="2569" max="2569" width="4.42578125" style="50" customWidth="1"/>
    <col min="2570" max="2570" width="13.42578125" style="50" customWidth="1"/>
    <col min="2571" max="2575" width="11.42578125" style="50"/>
    <col min="2576" max="2576" width="4.5703125" style="50" customWidth="1"/>
    <col min="2577" max="2824" width="11.42578125" style="50"/>
    <col min="2825" max="2825" width="4.42578125" style="50" customWidth="1"/>
    <col min="2826" max="2826" width="13.42578125" style="50" customWidth="1"/>
    <col min="2827" max="2831" width="11.42578125" style="50"/>
    <col min="2832" max="2832" width="4.5703125" style="50" customWidth="1"/>
    <col min="2833" max="3080" width="11.42578125" style="50"/>
    <col min="3081" max="3081" width="4.42578125" style="50" customWidth="1"/>
    <col min="3082" max="3082" width="13.42578125" style="50" customWidth="1"/>
    <col min="3083" max="3087" width="11.42578125" style="50"/>
    <col min="3088" max="3088" width="4.5703125" style="50" customWidth="1"/>
    <col min="3089" max="3336" width="11.42578125" style="50"/>
    <col min="3337" max="3337" width="4.42578125" style="50" customWidth="1"/>
    <col min="3338" max="3338" width="13.42578125" style="50" customWidth="1"/>
    <col min="3339" max="3343" width="11.42578125" style="50"/>
    <col min="3344" max="3344" width="4.5703125" style="50" customWidth="1"/>
    <col min="3345" max="3592" width="11.42578125" style="50"/>
    <col min="3593" max="3593" width="4.42578125" style="50" customWidth="1"/>
    <col min="3594" max="3594" width="13.42578125" style="50" customWidth="1"/>
    <col min="3595" max="3599" width="11.42578125" style="50"/>
    <col min="3600" max="3600" width="4.5703125" style="50" customWidth="1"/>
    <col min="3601" max="3848" width="11.42578125" style="50"/>
    <col min="3849" max="3849" width="4.42578125" style="50" customWidth="1"/>
    <col min="3850" max="3850" width="13.42578125" style="50" customWidth="1"/>
    <col min="3851" max="3855" width="11.42578125" style="50"/>
    <col min="3856" max="3856" width="4.5703125" style="50" customWidth="1"/>
    <col min="3857" max="4104" width="11.42578125" style="50"/>
    <col min="4105" max="4105" width="4.42578125" style="50" customWidth="1"/>
    <col min="4106" max="4106" width="13.42578125" style="50" customWidth="1"/>
    <col min="4107" max="4111" width="11.42578125" style="50"/>
    <col min="4112" max="4112" width="4.5703125" style="50" customWidth="1"/>
    <col min="4113" max="4360" width="11.42578125" style="50"/>
    <col min="4361" max="4361" width="4.42578125" style="50" customWidth="1"/>
    <col min="4362" max="4362" width="13.42578125" style="50" customWidth="1"/>
    <col min="4363" max="4367" width="11.42578125" style="50"/>
    <col min="4368" max="4368" width="4.5703125" style="50" customWidth="1"/>
    <col min="4369" max="4616" width="11.42578125" style="50"/>
    <col min="4617" max="4617" width="4.42578125" style="50" customWidth="1"/>
    <col min="4618" max="4618" width="13.42578125" style="50" customWidth="1"/>
    <col min="4619" max="4623" width="11.42578125" style="50"/>
    <col min="4624" max="4624" width="4.5703125" style="50" customWidth="1"/>
    <col min="4625" max="4872" width="11.42578125" style="50"/>
    <col min="4873" max="4873" width="4.42578125" style="50" customWidth="1"/>
    <col min="4874" max="4874" width="13.42578125" style="50" customWidth="1"/>
    <col min="4875" max="4879" width="11.42578125" style="50"/>
    <col min="4880" max="4880" width="4.5703125" style="50" customWidth="1"/>
    <col min="4881" max="5128" width="11.42578125" style="50"/>
    <col min="5129" max="5129" width="4.42578125" style="50" customWidth="1"/>
    <col min="5130" max="5130" width="13.42578125" style="50" customWidth="1"/>
    <col min="5131" max="5135" width="11.42578125" style="50"/>
    <col min="5136" max="5136" width="4.5703125" style="50" customWidth="1"/>
    <col min="5137" max="5384" width="11.42578125" style="50"/>
    <col min="5385" max="5385" width="4.42578125" style="50" customWidth="1"/>
    <col min="5386" max="5386" width="13.42578125" style="50" customWidth="1"/>
    <col min="5387" max="5391" width="11.42578125" style="50"/>
    <col min="5392" max="5392" width="4.5703125" style="50" customWidth="1"/>
    <col min="5393" max="5640" width="11.42578125" style="50"/>
    <col min="5641" max="5641" width="4.42578125" style="50" customWidth="1"/>
    <col min="5642" max="5642" width="13.42578125" style="50" customWidth="1"/>
    <col min="5643" max="5647" width="11.42578125" style="50"/>
    <col min="5648" max="5648" width="4.5703125" style="50" customWidth="1"/>
    <col min="5649" max="5896" width="11.42578125" style="50"/>
    <col min="5897" max="5897" width="4.42578125" style="50" customWidth="1"/>
    <col min="5898" max="5898" width="13.42578125" style="50" customWidth="1"/>
    <col min="5899" max="5903" width="11.42578125" style="50"/>
    <col min="5904" max="5904" width="4.5703125" style="50" customWidth="1"/>
    <col min="5905" max="6152" width="11.42578125" style="50"/>
    <col min="6153" max="6153" width="4.42578125" style="50" customWidth="1"/>
    <col min="6154" max="6154" width="13.42578125" style="50" customWidth="1"/>
    <col min="6155" max="6159" width="11.42578125" style="50"/>
    <col min="6160" max="6160" width="4.5703125" style="50" customWidth="1"/>
    <col min="6161" max="6408" width="11.42578125" style="50"/>
    <col min="6409" max="6409" width="4.42578125" style="50" customWidth="1"/>
    <col min="6410" max="6410" width="13.42578125" style="50" customWidth="1"/>
    <col min="6411" max="6415" width="11.42578125" style="50"/>
    <col min="6416" max="6416" width="4.5703125" style="50" customWidth="1"/>
    <col min="6417" max="6664" width="11.42578125" style="50"/>
    <col min="6665" max="6665" width="4.42578125" style="50" customWidth="1"/>
    <col min="6666" max="6666" width="13.42578125" style="50" customWidth="1"/>
    <col min="6667" max="6671" width="11.42578125" style="50"/>
    <col min="6672" max="6672" width="4.5703125" style="50" customWidth="1"/>
    <col min="6673" max="6920" width="11.42578125" style="50"/>
    <col min="6921" max="6921" width="4.42578125" style="50" customWidth="1"/>
    <col min="6922" max="6922" width="13.42578125" style="50" customWidth="1"/>
    <col min="6923" max="6927" width="11.42578125" style="50"/>
    <col min="6928" max="6928" width="4.5703125" style="50" customWidth="1"/>
    <col min="6929" max="7176" width="11.42578125" style="50"/>
    <col min="7177" max="7177" width="4.42578125" style="50" customWidth="1"/>
    <col min="7178" max="7178" width="13.42578125" style="50" customWidth="1"/>
    <col min="7179" max="7183" width="11.42578125" style="50"/>
    <col min="7184" max="7184" width="4.5703125" style="50" customWidth="1"/>
    <col min="7185" max="7432" width="11.42578125" style="50"/>
    <col min="7433" max="7433" width="4.42578125" style="50" customWidth="1"/>
    <col min="7434" max="7434" width="13.42578125" style="50" customWidth="1"/>
    <col min="7435" max="7439" width="11.42578125" style="50"/>
    <col min="7440" max="7440" width="4.5703125" style="50" customWidth="1"/>
    <col min="7441" max="7688" width="11.42578125" style="50"/>
    <col min="7689" max="7689" width="4.42578125" style="50" customWidth="1"/>
    <col min="7690" max="7690" width="13.42578125" style="50" customWidth="1"/>
    <col min="7691" max="7695" width="11.42578125" style="50"/>
    <col min="7696" max="7696" width="4.5703125" style="50" customWidth="1"/>
    <col min="7697" max="7944" width="11.42578125" style="50"/>
    <col min="7945" max="7945" width="4.42578125" style="50" customWidth="1"/>
    <col min="7946" max="7946" width="13.42578125" style="50" customWidth="1"/>
    <col min="7947" max="7951" width="11.42578125" style="50"/>
    <col min="7952" max="7952" width="4.5703125" style="50" customWidth="1"/>
    <col min="7953" max="8200" width="11.42578125" style="50"/>
    <col min="8201" max="8201" width="4.42578125" style="50" customWidth="1"/>
    <col min="8202" max="8202" width="13.42578125" style="50" customWidth="1"/>
    <col min="8203" max="8207" width="11.42578125" style="50"/>
    <col min="8208" max="8208" width="4.5703125" style="50" customWidth="1"/>
    <col min="8209" max="8456" width="11.42578125" style="50"/>
    <col min="8457" max="8457" width="4.42578125" style="50" customWidth="1"/>
    <col min="8458" max="8458" width="13.42578125" style="50" customWidth="1"/>
    <col min="8459" max="8463" width="11.42578125" style="50"/>
    <col min="8464" max="8464" width="4.5703125" style="50" customWidth="1"/>
    <col min="8465" max="8712" width="11.42578125" style="50"/>
    <col min="8713" max="8713" width="4.42578125" style="50" customWidth="1"/>
    <col min="8714" max="8714" width="13.42578125" style="50" customWidth="1"/>
    <col min="8715" max="8719" width="11.42578125" style="50"/>
    <col min="8720" max="8720" width="4.5703125" style="50" customWidth="1"/>
    <col min="8721" max="8968" width="11.42578125" style="50"/>
    <col min="8969" max="8969" width="4.42578125" style="50" customWidth="1"/>
    <col min="8970" max="8970" width="13.42578125" style="50" customWidth="1"/>
    <col min="8971" max="8975" width="11.42578125" style="50"/>
    <col min="8976" max="8976" width="4.5703125" style="50" customWidth="1"/>
    <col min="8977" max="9224" width="11.42578125" style="50"/>
    <col min="9225" max="9225" width="4.42578125" style="50" customWidth="1"/>
    <col min="9226" max="9226" width="13.42578125" style="50" customWidth="1"/>
    <col min="9227" max="9231" width="11.42578125" style="50"/>
    <col min="9232" max="9232" width="4.5703125" style="50" customWidth="1"/>
    <col min="9233" max="9480" width="11.42578125" style="50"/>
    <col min="9481" max="9481" width="4.42578125" style="50" customWidth="1"/>
    <col min="9482" max="9482" width="13.42578125" style="50" customWidth="1"/>
    <col min="9483" max="9487" width="11.42578125" style="50"/>
    <col min="9488" max="9488" width="4.5703125" style="50" customWidth="1"/>
    <col min="9489" max="9736" width="11.42578125" style="50"/>
    <col min="9737" max="9737" width="4.42578125" style="50" customWidth="1"/>
    <col min="9738" max="9738" width="13.42578125" style="50" customWidth="1"/>
    <col min="9739" max="9743" width="11.42578125" style="50"/>
    <col min="9744" max="9744" width="4.5703125" style="50" customWidth="1"/>
    <col min="9745" max="9992" width="11.42578125" style="50"/>
    <col min="9993" max="9993" width="4.42578125" style="50" customWidth="1"/>
    <col min="9994" max="9994" width="13.42578125" style="50" customWidth="1"/>
    <col min="9995" max="9999" width="11.42578125" style="50"/>
    <col min="10000" max="10000" width="4.5703125" style="50" customWidth="1"/>
    <col min="10001" max="10248" width="11.42578125" style="50"/>
    <col min="10249" max="10249" width="4.42578125" style="50" customWidth="1"/>
    <col min="10250" max="10250" width="13.42578125" style="50" customWidth="1"/>
    <col min="10251" max="10255" width="11.42578125" style="50"/>
    <col min="10256" max="10256" width="4.5703125" style="50" customWidth="1"/>
    <col min="10257" max="10504" width="11.42578125" style="50"/>
    <col min="10505" max="10505" width="4.42578125" style="50" customWidth="1"/>
    <col min="10506" max="10506" width="13.42578125" style="50" customWidth="1"/>
    <col min="10507" max="10511" width="11.42578125" style="50"/>
    <col min="10512" max="10512" width="4.5703125" style="50" customWidth="1"/>
    <col min="10513" max="10760" width="11.42578125" style="50"/>
    <col min="10761" max="10761" width="4.42578125" style="50" customWidth="1"/>
    <col min="10762" max="10762" width="13.42578125" style="50" customWidth="1"/>
    <col min="10763" max="10767" width="11.42578125" style="50"/>
    <col min="10768" max="10768" width="4.5703125" style="50" customWidth="1"/>
    <col min="10769" max="11016" width="11.42578125" style="50"/>
    <col min="11017" max="11017" width="4.42578125" style="50" customWidth="1"/>
    <col min="11018" max="11018" width="13.42578125" style="50" customWidth="1"/>
    <col min="11019" max="11023" width="11.42578125" style="50"/>
    <col min="11024" max="11024" width="4.5703125" style="50" customWidth="1"/>
    <col min="11025" max="11272" width="11.42578125" style="50"/>
    <col min="11273" max="11273" width="4.42578125" style="50" customWidth="1"/>
    <col min="11274" max="11274" width="13.42578125" style="50" customWidth="1"/>
    <col min="11275" max="11279" width="11.42578125" style="50"/>
    <col min="11280" max="11280" width="4.5703125" style="50" customWidth="1"/>
    <col min="11281" max="11528" width="11.42578125" style="50"/>
    <col min="11529" max="11529" width="4.42578125" style="50" customWidth="1"/>
    <col min="11530" max="11530" width="13.42578125" style="50" customWidth="1"/>
    <col min="11531" max="11535" width="11.42578125" style="50"/>
    <col min="11536" max="11536" width="4.5703125" style="50" customWidth="1"/>
    <col min="11537" max="11784" width="11.42578125" style="50"/>
    <col min="11785" max="11785" width="4.42578125" style="50" customWidth="1"/>
    <col min="11786" max="11786" width="13.42578125" style="50" customWidth="1"/>
    <col min="11787" max="11791" width="11.42578125" style="50"/>
    <col min="11792" max="11792" width="4.5703125" style="50" customWidth="1"/>
    <col min="11793" max="12040" width="11.42578125" style="50"/>
    <col min="12041" max="12041" width="4.42578125" style="50" customWidth="1"/>
    <col min="12042" max="12042" width="13.42578125" style="50" customWidth="1"/>
    <col min="12043" max="12047" width="11.42578125" style="50"/>
    <col min="12048" max="12048" width="4.5703125" style="50" customWidth="1"/>
    <col min="12049" max="12296" width="11.42578125" style="50"/>
    <col min="12297" max="12297" width="4.42578125" style="50" customWidth="1"/>
    <col min="12298" max="12298" width="13.42578125" style="50" customWidth="1"/>
    <col min="12299" max="12303" width="11.42578125" style="50"/>
    <col min="12304" max="12304" width="4.5703125" style="50" customWidth="1"/>
    <col min="12305" max="12552" width="11.42578125" style="50"/>
    <col min="12553" max="12553" width="4.42578125" style="50" customWidth="1"/>
    <col min="12554" max="12554" width="13.42578125" style="50" customWidth="1"/>
    <col min="12555" max="12559" width="11.42578125" style="50"/>
    <col min="12560" max="12560" width="4.5703125" style="50" customWidth="1"/>
    <col min="12561" max="12808" width="11.42578125" style="50"/>
    <col min="12809" max="12809" width="4.42578125" style="50" customWidth="1"/>
    <col min="12810" max="12810" width="13.42578125" style="50" customWidth="1"/>
    <col min="12811" max="12815" width="11.42578125" style="50"/>
    <col min="12816" max="12816" width="4.5703125" style="50" customWidth="1"/>
    <col min="12817" max="13064" width="11.42578125" style="50"/>
    <col min="13065" max="13065" width="4.42578125" style="50" customWidth="1"/>
    <col min="13066" max="13066" width="13.42578125" style="50" customWidth="1"/>
    <col min="13067" max="13071" width="11.42578125" style="50"/>
    <col min="13072" max="13072" width="4.5703125" style="50" customWidth="1"/>
    <col min="13073" max="13320" width="11.42578125" style="50"/>
    <col min="13321" max="13321" width="4.42578125" style="50" customWidth="1"/>
    <col min="13322" max="13322" width="13.42578125" style="50" customWidth="1"/>
    <col min="13323" max="13327" width="11.42578125" style="50"/>
    <col min="13328" max="13328" width="4.5703125" style="50" customWidth="1"/>
    <col min="13329" max="13576" width="11.42578125" style="50"/>
    <col min="13577" max="13577" width="4.42578125" style="50" customWidth="1"/>
    <col min="13578" max="13578" width="13.42578125" style="50" customWidth="1"/>
    <col min="13579" max="13583" width="11.42578125" style="50"/>
    <col min="13584" max="13584" width="4.5703125" style="50" customWidth="1"/>
    <col min="13585" max="13832" width="11.42578125" style="50"/>
    <col min="13833" max="13833" width="4.42578125" style="50" customWidth="1"/>
    <col min="13834" max="13834" width="13.42578125" style="50" customWidth="1"/>
    <col min="13835" max="13839" width="11.42578125" style="50"/>
    <col min="13840" max="13840" width="4.5703125" style="50" customWidth="1"/>
    <col min="13841" max="14088" width="11.42578125" style="50"/>
    <col min="14089" max="14089" width="4.42578125" style="50" customWidth="1"/>
    <col min="14090" max="14090" width="13.42578125" style="50" customWidth="1"/>
    <col min="14091" max="14095" width="11.42578125" style="50"/>
    <col min="14096" max="14096" width="4.5703125" style="50" customWidth="1"/>
    <col min="14097" max="14344" width="11.42578125" style="50"/>
    <col min="14345" max="14345" width="4.42578125" style="50" customWidth="1"/>
    <col min="14346" max="14346" width="13.42578125" style="50" customWidth="1"/>
    <col min="14347" max="14351" width="11.42578125" style="50"/>
    <col min="14352" max="14352" width="4.5703125" style="50" customWidth="1"/>
    <col min="14353" max="14600" width="11.42578125" style="50"/>
    <col min="14601" max="14601" width="4.42578125" style="50" customWidth="1"/>
    <col min="14602" max="14602" width="13.42578125" style="50" customWidth="1"/>
    <col min="14603" max="14607" width="11.42578125" style="50"/>
    <col min="14608" max="14608" width="4.5703125" style="50" customWidth="1"/>
    <col min="14609" max="14856" width="11.42578125" style="50"/>
    <col min="14857" max="14857" width="4.42578125" style="50" customWidth="1"/>
    <col min="14858" max="14858" width="13.42578125" style="50" customWidth="1"/>
    <col min="14859" max="14863" width="11.42578125" style="50"/>
    <col min="14864" max="14864" width="4.5703125" style="50" customWidth="1"/>
    <col min="14865" max="15112" width="11.42578125" style="50"/>
    <col min="15113" max="15113" width="4.42578125" style="50" customWidth="1"/>
    <col min="15114" max="15114" width="13.42578125" style="50" customWidth="1"/>
    <col min="15115" max="15119" width="11.42578125" style="50"/>
    <col min="15120" max="15120" width="4.5703125" style="50" customWidth="1"/>
    <col min="15121" max="15368" width="11.42578125" style="50"/>
    <col min="15369" max="15369" width="4.42578125" style="50" customWidth="1"/>
    <col min="15370" max="15370" width="13.42578125" style="50" customWidth="1"/>
    <col min="15371" max="15375" width="11.42578125" style="50"/>
    <col min="15376" max="15376" width="4.5703125" style="50" customWidth="1"/>
    <col min="15377" max="15624" width="11.42578125" style="50"/>
    <col min="15625" max="15625" width="4.42578125" style="50" customWidth="1"/>
    <col min="15626" max="15626" width="13.42578125" style="50" customWidth="1"/>
    <col min="15627" max="15631" width="11.42578125" style="50"/>
    <col min="15632" max="15632" width="4.5703125" style="50" customWidth="1"/>
    <col min="15633" max="15880" width="11.42578125" style="50"/>
    <col min="15881" max="15881" width="4.42578125" style="50" customWidth="1"/>
    <col min="15882" max="15882" width="13.42578125" style="50" customWidth="1"/>
    <col min="15883" max="15887" width="11.42578125" style="50"/>
    <col min="15888" max="15888" width="4.5703125" style="50" customWidth="1"/>
    <col min="15889" max="16136" width="11.42578125" style="50"/>
    <col min="16137" max="16137" width="4.42578125" style="50" customWidth="1"/>
    <col min="16138" max="16138" width="13.42578125" style="50" customWidth="1"/>
    <col min="16139" max="16143" width="11.42578125" style="50"/>
    <col min="16144" max="16144" width="4.5703125" style="50" customWidth="1"/>
    <col min="16145" max="16384" width="11.42578125" style="50"/>
  </cols>
  <sheetData>
    <row r="2" spans="2:33">
      <c r="D2" s="109" t="s">
        <v>1</v>
      </c>
    </row>
    <row r="3" spans="2:33">
      <c r="D3" s="109" t="str">
        <f>Indice!E3</f>
        <v>Marzo 2024</v>
      </c>
    </row>
    <row r="4" spans="2:33" ht="20.100000000000001" customHeight="1">
      <c r="B4" s="99" t="s">
        <v>67</v>
      </c>
    </row>
    <row r="5" spans="2:33">
      <c r="G5" s="52"/>
      <c r="H5" s="53"/>
      <c r="I5" s="53"/>
      <c r="J5" s="53"/>
      <c r="K5" s="53"/>
      <c r="L5" s="53"/>
    </row>
    <row r="6" spans="2:33">
      <c r="AB6" s="54"/>
      <c r="AC6" s="54"/>
      <c r="AD6" s="54"/>
      <c r="AE6" s="54"/>
      <c r="AF6" s="54"/>
      <c r="AG6" s="54"/>
    </row>
    <row r="7" spans="2:33">
      <c r="B7" s="114" t="s">
        <v>41</v>
      </c>
      <c r="D7" s="4"/>
      <c r="N7" s="66"/>
      <c r="AB7" s="54"/>
      <c r="AC7" s="54"/>
      <c r="AD7" s="54"/>
      <c r="AE7" s="54"/>
      <c r="AF7" s="54"/>
      <c r="AG7" s="54"/>
    </row>
    <row r="8" spans="2:33">
      <c r="B8" s="43"/>
      <c r="D8" s="4"/>
      <c r="N8" s="129"/>
      <c r="P8" s="62"/>
      <c r="Q8" s="140"/>
      <c r="R8" s="141"/>
      <c r="S8" s="141"/>
      <c r="T8" s="141"/>
      <c r="U8" s="141"/>
      <c r="X8" s="141"/>
      <c r="Y8" s="141"/>
      <c r="Z8" s="141"/>
      <c r="AB8" s="54"/>
      <c r="AC8" s="54"/>
      <c r="AD8" s="54"/>
      <c r="AE8" s="54"/>
      <c r="AF8" s="54"/>
      <c r="AG8" s="54"/>
    </row>
    <row r="9" spans="2:33">
      <c r="B9" s="43"/>
      <c r="D9" s="4"/>
      <c r="N9" s="67"/>
      <c r="O9" s="59"/>
      <c r="P9" s="63"/>
      <c r="Q9" s="142"/>
      <c r="R9" s="142"/>
      <c r="S9" s="142"/>
      <c r="T9" s="142"/>
      <c r="U9" s="142"/>
      <c r="V9" s="58"/>
      <c r="X9" s="54"/>
      <c r="Y9" s="54"/>
      <c r="Z9" s="54"/>
      <c r="AB9" s="54"/>
      <c r="AC9" s="54"/>
      <c r="AD9" s="54"/>
      <c r="AE9" s="54"/>
      <c r="AF9" s="54"/>
      <c r="AG9" s="54"/>
    </row>
    <row r="10" spans="2:33">
      <c r="D10" s="4"/>
      <c r="N10" s="67"/>
      <c r="O10" s="59"/>
      <c r="P10" s="63"/>
      <c r="Q10" s="142"/>
      <c r="R10" s="142"/>
      <c r="S10" s="142"/>
      <c r="T10" s="142"/>
      <c r="U10" s="142"/>
      <c r="V10" s="58"/>
      <c r="X10" s="54"/>
      <c r="Y10" s="54"/>
      <c r="Z10" s="54"/>
      <c r="AB10" s="54"/>
      <c r="AC10" s="54"/>
      <c r="AD10" s="54"/>
      <c r="AE10" s="54"/>
      <c r="AF10" s="54"/>
      <c r="AG10" s="54"/>
    </row>
    <row r="11" spans="2:33">
      <c r="D11" s="4"/>
      <c r="N11" s="67"/>
      <c r="O11" s="59"/>
      <c r="P11" s="63"/>
      <c r="Q11" s="142"/>
      <c r="R11" s="142"/>
      <c r="S11" s="142"/>
      <c r="T11" s="142"/>
      <c r="U11" s="142"/>
      <c r="V11" s="58"/>
      <c r="X11" s="54"/>
      <c r="Y11" s="54"/>
      <c r="Z11" s="54"/>
      <c r="AB11" s="54"/>
      <c r="AC11" s="54"/>
      <c r="AD11" s="54"/>
      <c r="AE11" s="54"/>
      <c r="AF11" s="54"/>
      <c r="AG11" s="54"/>
    </row>
    <row r="12" spans="2:33">
      <c r="D12" s="4"/>
      <c r="N12" s="67"/>
      <c r="O12" s="59"/>
      <c r="P12" s="63"/>
      <c r="Q12" s="142"/>
      <c r="R12" s="142"/>
      <c r="S12" s="142"/>
      <c r="T12" s="142"/>
      <c r="U12" s="142"/>
      <c r="V12" s="58"/>
      <c r="X12" s="54"/>
      <c r="Y12" s="54"/>
      <c r="Z12" s="54"/>
      <c r="AB12" s="54"/>
      <c r="AC12" s="54"/>
      <c r="AD12" s="54"/>
      <c r="AE12" s="54"/>
      <c r="AF12" s="54"/>
      <c r="AG12" s="54"/>
    </row>
    <row r="13" spans="2:33">
      <c r="D13" s="4"/>
      <c r="N13" s="67"/>
      <c r="O13" s="59"/>
      <c r="P13" s="63"/>
      <c r="Q13" s="142"/>
      <c r="R13" s="142"/>
      <c r="S13" s="142"/>
      <c r="T13" s="142"/>
      <c r="U13" s="142"/>
      <c r="V13" s="58"/>
      <c r="X13" s="54"/>
      <c r="Y13" s="54"/>
      <c r="Z13" s="54"/>
      <c r="AB13" s="54"/>
      <c r="AC13" s="54"/>
      <c r="AD13" s="54"/>
      <c r="AE13" s="54"/>
      <c r="AF13" s="54"/>
      <c r="AG13" s="54"/>
    </row>
    <row r="14" spans="2:33">
      <c r="D14" s="4"/>
      <c r="N14" s="67"/>
      <c r="O14" s="59"/>
      <c r="P14" s="63"/>
      <c r="Q14" s="142"/>
      <c r="R14" s="142"/>
      <c r="S14" s="142"/>
      <c r="T14" s="142"/>
      <c r="U14" s="142"/>
      <c r="V14" s="58"/>
      <c r="X14" s="54"/>
      <c r="Y14" s="54"/>
      <c r="Z14" s="54"/>
      <c r="AB14" s="54"/>
      <c r="AC14" s="54"/>
      <c r="AD14" s="54"/>
      <c r="AE14" s="54"/>
      <c r="AF14" s="54"/>
      <c r="AG14" s="54"/>
    </row>
    <row r="15" spans="2:33">
      <c r="D15" s="4"/>
      <c r="N15" s="67"/>
      <c r="O15" s="59"/>
      <c r="P15" s="63"/>
      <c r="Q15" s="142"/>
      <c r="R15" s="142"/>
      <c r="S15" s="142"/>
      <c r="T15" s="142"/>
      <c r="U15" s="142"/>
      <c r="V15" s="58"/>
      <c r="X15" s="54"/>
      <c r="Y15" s="54"/>
      <c r="Z15" s="54"/>
      <c r="AB15" s="54"/>
      <c r="AC15" s="54"/>
      <c r="AD15" s="54"/>
      <c r="AE15" s="54"/>
      <c r="AF15" s="54"/>
      <c r="AG15" s="54"/>
    </row>
    <row r="16" spans="2:33">
      <c r="D16" s="4"/>
      <c r="N16" s="67"/>
      <c r="O16" s="59"/>
      <c r="P16" s="63"/>
      <c r="Q16" s="142"/>
      <c r="R16" s="142"/>
      <c r="S16" s="142"/>
      <c r="T16" s="142"/>
      <c r="U16" s="142"/>
      <c r="V16" s="58"/>
      <c r="X16" s="54"/>
      <c r="Y16" s="54"/>
      <c r="Z16" s="54"/>
      <c r="AB16" s="54"/>
      <c r="AC16" s="54"/>
      <c r="AD16" s="54"/>
      <c r="AE16" s="54"/>
      <c r="AF16" s="54"/>
      <c r="AG16" s="54"/>
    </row>
    <row r="17" spans="4:33">
      <c r="D17" s="4"/>
      <c r="N17" s="67"/>
      <c r="O17" s="59"/>
      <c r="P17" s="63"/>
      <c r="Q17" s="142"/>
      <c r="R17" s="142"/>
      <c r="S17" s="142"/>
      <c r="T17" s="142"/>
      <c r="U17" s="142"/>
      <c r="V17" s="58"/>
      <c r="X17" s="54"/>
      <c r="Y17" s="54"/>
      <c r="Z17" s="54"/>
      <c r="AB17" s="54"/>
      <c r="AC17" s="54"/>
      <c r="AD17" s="54"/>
      <c r="AE17" s="54"/>
      <c r="AF17" s="54"/>
      <c r="AG17" s="54"/>
    </row>
    <row r="18" spans="4:33">
      <c r="D18" s="4"/>
      <c r="N18" s="67"/>
      <c r="O18" s="59"/>
      <c r="P18" s="63"/>
      <c r="Q18" s="142"/>
      <c r="R18" s="142"/>
      <c r="S18" s="142"/>
      <c r="T18" s="142"/>
      <c r="U18" s="142"/>
      <c r="V18" s="58"/>
      <c r="X18" s="54"/>
      <c r="Y18" s="54"/>
      <c r="Z18" s="54"/>
      <c r="AB18" s="54"/>
      <c r="AC18" s="54"/>
      <c r="AD18" s="54"/>
      <c r="AE18" s="54"/>
      <c r="AF18" s="54"/>
      <c r="AG18" s="54"/>
    </row>
    <row r="19" spans="4:33" ht="11.25" customHeight="1">
      <c r="D19" s="4"/>
      <c r="N19" s="67"/>
      <c r="O19" s="59"/>
      <c r="P19" s="63"/>
      <c r="Q19" s="142"/>
      <c r="R19" s="142"/>
      <c r="S19" s="142"/>
      <c r="T19" s="142"/>
      <c r="U19" s="142"/>
      <c r="V19" s="58"/>
      <c r="X19" s="54"/>
      <c r="Y19" s="54"/>
      <c r="Z19" s="54"/>
      <c r="AB19" s="54"/>
      <c r="AC19" s="54"/>
      <c r="AD19" s="54"/>
      <c r="AE19" s="54"/>
      <c r="AF19" s="54"/>
      <c r="AG19" s="54"/>
    </row>
    <row r="20" spans="4:33">
      <c r="D20" s="4"/>
      <c r="N20" s="67"/>
      <c r="O20" s="59"/>
      <c r="P20" s="63"/>
      <c r="Q20" s="142"/>
      <c r="R20" s="142"/>
      <c r="S20" s="142"/>
      <c r="T20" s="142"/>
      <c r="U20" s="142"/>
      <c r="V20" s="58"/>
      <c r="X20" s="54"/>
      <c r="Y20" s="54"/>
      <c r="Z20" s="54"/>
      <c r="AB20" s="54"/>
      <c r="AC20" s="54"/>
      <c r="AD20" s="54"/>
      <c r="AE20" s="54"/>
      <c r="AF20" s="54"/>
      <c r="AG20" s="54"/>
    </row>
    <row r="21" spans="4:33">
      <c r="D21" s="4"/>
      <c r="N21" s="67"/>
      <c r="O21" s="59"/>
      <c r="P21" s="63"/>
      <c r="Q21" s="142"/>
      <c r="R21" s="142"/>
      <c r="S21" s="142"/>
      <c r="T21" s="142"/>
      <c r="U21" s="142"/>
      <c r="V21" s="58"/>
      <c r="X21" s="54"/>
      <c r="Y21" s="54"/>
      <c r="Z21" s="54"/>
      <c r="AB21" s="54"/>
      <c r="AC21" s="54"/>
      <c r="AD21" s="54"/>
      <c r="AE21" s="54"/>
      <c r="AF21" s="54"/>
      <c r="AG21" s="54"/>
    </row>
    <row r="22" spans="4:33">
      <c r="D22" s="41"/>
      <c r="N22" s="67"/>
      <c r="O22" s="59"/>
      <c r="P22" s="63"/>
      <c r="Q22" s="142"/>
      <c r="R22" s="142"/>
      <c r="S22" s="142"/>
      <c r="T22" s="142"/>
      <c r="U22" s="142"/>
      <c r="V22" s="58"/>
      <c r="X22" s="54"/>
      <c r="Y22" s="54"/>
      <c r="Z22" s="54"/>
      <c r="AB22" s="54"/>
      <c r="AC22" s="54"/>
      <c r="AD22" s="54"/>
      <c r="AE22" s="54"/>
      <c r="AF22" s="54"/>
      <c r="AG22" s="54"/>
    </row>
    <row r="23" spans="4:33">
      <c r="N23" s="67"/>
      <c r="O23" s="60"/>
      <c r="P23" s="63"/>
      <c r="Q23" s="142"/>
      <c r="R23" s="142"/>
      <c r="S23" s="142"/>
      <c r="T23" s="142"/>
      <c r="U23" s="142"/>
      <c r="V23" s="58"/>
      <c r="X23" s="54"/>
      <c r="Y23" s="54"/>
      <c r="Z23" s="54"/>
      <c r="AB23" s="54"/>
      <c r="AC23" s="54"/>
      <c r="AD23" s="54"/>
      <c r="AE23" s="54"/>
      <c r="AF23" s="54"/>
      <c r="AG23" s="54"/>
    </row>
    <row r="24" spans="4:33">
      <c r="N24" s="67"/>
      <c r="O24" s="60"/>
      <c r="P24" s="63"/>
      <c r="Q24" s="142"/>
      <c r="R24" s="142"/>
      <c r="S24" s="142"/>
      <c r="T24" s="142"/>
      <c r="U24" s="142"/>
      <c r="V24" s="58"/>
      <c r="X24" s="54"/>
      <c r="Y24" s="54"/>
      <c r="Z24" s="54"/>
      <c r="AB24" s="54"/>
      <c r="AC24" s="54"/>
      <c r="AD24" s="54"/>
      <c r="AE24" s="54"/>
      <c r="AF24" s="54"/>
      <c r="AG24" s="54"/>
    </row>
    <row r="25" spans="4:33">
      <c r="N25" s="67"/>
      <c r="O25" s="59"/>
      <c r="P25" s="63"/>
      <c r="Q25" s="142"/>
      <c r="R25" s="142"/>
      <c r="S25" s="142"/>
      <c r="T25" s="142"/>
      <c r="U25" s="142"/>
      <c r="V25" s="58"/>
      <c r="X25" s="54"/>
      <c r="Y25" s="54"/>
      <c r="Z25" s="54"/>
      <c r="AB25" s="54"/>
      <c r="AC25" s="54"/>
      <c r="AD25" s="54"/>
      <c r="AE25" s="54"/>
      <c r="AF25" s="54"/>
      <c r="AG25" s="54"/>
    </row>
    <row r="26" spans="4:33">
      <c r="N26" s="67"/>
      <c r="O26" s="59"/>
      <c r="P26" s="63"/>
      <c r="Q26" s="142"/>
      <c r="R26" s="142"/>
      <c r="S26" s="142"/>
      <c r="T26" s="142"/>
      <c r="U26" s="142"/>
      <c r="V26" s="58"/>
      <c r="X26" s="54"/>
      <c r="Y26" s="54"/>
      <c r="Z26" s="54"/>
      <c r="AB26" s="54"/>
      <c r="AC26" s="54"/>
      <c r="AD26" s="54"/>
      <c r="AE26" s="54"/>
      <c r="AF26" s="54"/>
      <c r="AG26" s="54"/>
    </row>
    <row r="27" spans="4:33">
      <c r="N27" s="67"/>
      <c r="O27" s="59"/>
      <c r="P27" s="63"/>
      <c r="Q27" s="142"/>
      <c r="R27" s="142"/>
      <c r="S27" s="142"/>
      <c r="T27" s="142"/>
      <c r="U27" s="142"/>
      <c r="V27" s="58"/>
      <c r="X27" s="54"/>
      <c r="Y27" s="54"/>
      <c r="Z27" s="54"/>
      <c r="AB27" s="54"/>
      <c r="AC27" s="54"/>
      <c r="AD27" s="54"/>
      <c r="AE27" s="54"/>
      <c r="AF27" s="54"/>
      <c r="AG27" s="54"/>
    </row>
    <row r="28" spans="4:33">
      <c r="N28" s="67"/>
      <c r="O28" s="59"/>
      <c r="P28" s="63"/>
      <c r="Q28" s="142"/>
      <c r="R28" s="142"/>
      <c r="S28" s="142"/>
      <c r="T28" s="142"/>
      <c r="U28" s="142"/>
      <c r="V28" s="58"/>
      <c r="X28" s="54"/>
      <c r="Y28" s="54"/>
      <c r="Z28" s="54"/>
      <c r="AB28" s="54"/>
      <c r="AC28" s="54"/>
      <c r="AD28" s="54"/>
      <c r="AE28" s="54"/>
      <c r="AF28" s="54"/>
      <c r="AG28" s="54"/>
    </row>
    <row r="29" spans="4:33">
      <c r="N29" s="67"/>
      <c r="O29" s="59"/>
      <c r="P29" s="63"/>
      <c r="Q29" s="142"/>
      <c r="R29" s="142"/>
      <c r="S29" s="142"/>
      <c r="T29" s="142"/>
      <c r="U29" s="142"/>
      <c r="V29" s="58"/>
      <c r="X29" s="54"/>
      <c r="Y29" s="54"/>
      <c r="Z29" s="54"/>
      <c r="AB29" s="54"/>
      <c r="AC29" s="54"/>
      <c r="AD29" s="54"/>
      <c r="AE29" s="54"/>
      <c r="AF29" s="54"/>
      <c r="AG29" s="54"/>
    </row>
    <row r="30" spans="4:33">
      <c r="E30" s="65"/>
      <c r="N30" s="67"/>
      <c r="O30" s="59"/>
      <c r="P30" s="63"/>
      <c r="Q30" s="142"/>
      <c r="R30" s="142"/>
      <c r="S30" s="142"/>
      <c r="T30" s="142"/>
      <c r="U30" s="142"/>
      <c r="V30" s="58"/>
      <c r="X30" s="54"/>
      <c r="Y30" s="54"/>
      <c r="Z30" s="54"/>
      <c r="AA30" s="54"/>
      <c r="AB30" s="54"/>
      <c r="AC30" s="54"/>
      <c r="AD30" s="54"/>
      <c r="AE30" s="54"/>
      <c r="AF30" s="54"/>
      <c r="AG30" s="54"/>
    </row>
    <row r="31" spans="4:33">
      <c r="N31" s="67"/>
      <c r="O31" s="59"/>
      <c r="P31" s="63"/>
      <c r="Q31" s="142"/>
      <c r="R31" s="142"/>
      <c r="S31" s="142"/>
      <c r="T31" s="142"/>
      <c r="U31" s="142"/>
      <c r="V31" s="58"/>
      <c r="X31" s="54"/>
      <c r="Y31" s="54"/>
      <c r="Z31" s="54"/>
      <c r="AA31" s="54"/>
      <c r="AB31" s="54"/>
      <c r="AC31" s="54"/>
      <c r="AD31" s="54"/>
      <c r="AE31" s="54"/>
      <c r="AF31" s="54"/>
      <c r="AG31" s="54"/>
    </row>
    <row r="32" spans="4:33">
      <c r="N32" s="67"/>
      <c r="O32" s="59"/>
      <c r="P32" s="63"/>
      <c r="Q32" s="142"/>
      <c r="R32" s="142"/>
      <c r="S32" s="142"/>
      <c r="T32" s="142"/>
      <c r="U32" s="142"/>
      <c r="V32" s="58"/>
      <c r="X32" s="54"/>
      <c r="Y32" s="54"/>
      <c r="Z32" s="54"/>
      <c r="AA32" s="54"/>
      <c r="AB32" s="54"/>
      <c r="AC32" s="54"/>
      <c r="AD32" s="54"/>
      <c r="AE32" s="54"/>
      <c r="AF32" s="54"/>
      <c r="AG32" s="54"/>
    </row>
    <row r="33" spans="4:33">
      <c r="E33" s="54"/>
      <c r="N33" s="67"/>
      <c r="O33" s="59"/>
      <c r="P33" s="63"/>
      <c r="Q33" s="142"/>
      <c r="R33" s="142"/>
      <c r="S33" s="142"/>
      <c r="T33" s="142"/>
      <c r="U33" s="142"/>
      <c r="V33" s="58"/>
      <c r="X33" s="54"/>
      <c r="Y33" s="54"/>
      <c r="Z33" s="54"/>
      <c r="AA33" s="54"/>
      <c r="AB33" s="54"/>
      <c r="AC33" s="54"/>
      <c r="AD33" s="54"/>
      <c r="AE33" s="54"/>
      <c r="AF33" s="54"/>
      <c r="AG33" s="54"/>
    </row>
    <row r="34" spans="4:33">
      <c r="E34" s="54"/>
      <c r="N34" s="67"/>
      <c r="O34" s="59"/>
      <c r="P34" s="63"/>
      <c r="Q34" s="142"/>
      <c r="R34" s="142"/>
      <c r="S34" s="142"/>
      <c r="T34" s="142"/>
      <c r="U34" s="142"/>
      <c r="V34" s="58"/>
      <c r="X34" s="54"/>
      <c r="Y34" s="54"/>
      <c r="Z34" s="54"/>
      <c r="AA34" s="54"/>
      <c r="AB34" s="54"/>
      <c r="AC34" s="54"/>
      <c r="AD34" s="54"/>
      <c r="AE34" s="54"/>
      <c r="AF34" s="54"/>
      <c r="AG34" s="54"/>
    </row>
    <row r="35" spans="4:33">
      <c r="E35" s="54"/>
      <c r="N35" s="67"/>
      <c r="O35" s="59"/>
      <c r="P35" s="63"/>
      <c r="Q35" s="142"/>
      <c r="R35" s="142"/>
      <c r="S35" s="142"/>
      <c r="T35" s="142"/>
      <c r="U35" s="142"/>
      <c r="V35" s="58"/>
      <c r="X35" s="54"/>
      <c r="Y35" s="54"/>
      <c r="Z35" s="54"/>
      <c r="AA35" s="54"/>
      <c r="AB35" s="54"/>
      <c r="AC35" s="54"/>
      <c r="AD35" s="54"/>
      <c r="AE35" s="54"/>
      <c r="AF35" s="54"/>
      <c r="AG35" s="54"/>
    </row>
    <row r="36" spans="4:33">
      <c r="E36" s="54"/>
      <c r="N36" s="67"/>
      <c r="O36" s="59"/>
      <c r="P36" s="63"/>
      <c r="Q36" s="142"/>
      <c r="R36" s="142"/>
      <c r="S36" s="142"/>
      <c r="T36" s="142"/>
      <c r="U36" s="142"/>
      <c r="V36" s="58"/>
      <c r="X36" s="54"/>
      <c r="Y36" s="54"/>
      <c r="Z36" s="54"/>
      <c r="AA36" s="54"/>
      <c r="AB36" s="54"/>
      <c r="AC36" s="54"/>
      <c r="AD36" s="54"/>
      <c r="AE36" s="54"/>
      <c r="AF36" s="54"/>
      <c r="AG36" s="54"/>
    </row>
    <row r="37" spans="4:33">
      <c r="E37" s="54"/>
      <c r="N37" s="67"/>
      <c r="O37" s="59"/>
      <c r="P37" s="63"/>
      <c r="Q37" s="142"/>
      <c r="R37" s="142"/>
      <c r="S37" s="142"/>
      <c r="T37" s="142"/>
      <c r="U37" s="142"/>
      <c r="V37" s="58"/>
      <c r="X37" s="54"/>
      <c r="Y37" s="54"/>
      <c r="Z37" s="54"/>
      <c r="AA37" s="54"/>
      <c r="AB37" s="54"/>
      <c r="AC37" s="54"/>
      <c r="AD37" s="54"/>
      <c r="AE37" s="54"/>
      <c r="AF37" s="54"/>
      <c r="AG37" s="54"/>
    </row>
    <row r="38" spans="4:33">
      <c r="E38" s="54"/>
      <c r="N38" s="67"/>
      <c r="O38" s="59"/>
      <c r="P38" s="63"/>
      <c r="Q38" s="142"/>
      <c r="R38" s="142"/>
      <c r="S38" s="142"/>
      <c r="T38" s="142"/>
      <c r="U38" s="142"/>
      <c r="V38" s="58"/>
      <c r="X38" s="54"/>
      <c r="Y38" s="54"/>
      <c r="Z38" s="54"/>
      <c r="AA38" s="54"/>
      <c r="AB38" s="54"/>
      <c r="AC38" s="54"/>
      <c r="AD38" s="54"/>
      <c r="AE38" s="54"/>
      <c r="AF38" s="54"/>
      <c r="AG38" s="54"/>
    </row>
    <row r="39" spans="4:33">
      <c r="D39" s="41"/>
      <c r="E39" s="54"/>
      <c r="N39" s="67"/>
      <c r="O39" s="59"/>
      <c r="P39" s="63"/>
      <c r="Q39" s="142"/>
      <c r="R39" s="142"/>
      <c r="S39" s="142"/>
      <c r="T39" s="142"/>
      <c r="U39" s="142"/>
      <c r="V39" s="58"/>
      <c r="X39" s="54"/>
      <c r="Y39" s="54"/>
      <c r="Z39" s="54"/>
      <c r="AA39" s="54"/>
      <c r="AB39" s="54"/>
      <c r="AC39" s="54"/>
      <c r="AD39" s="54"/>
      <c r="AE39" s="54"/>
      <c r="AF39" s="54"/>
      <c r="AG39" s="54"/>
    </row>
    <row r="40" spans="4:33">
      <c r="E40" s="54"/>
      <c r="N40" s="67"/>
      <c r="O40" s="59"/>
      <c r="P40" s="63"/>
      <c r="Q40" s="142"/>
      <c r="R40" s="142"/>
      <c r="S40" s="142"/>
      <c r="T40" s="142"/>
      <c r="U40" s="142"/>
      <c r="V40" s="58"/>
      <c r="X40" s="54"/>
      <c r="Y40" s="54"/>
      <c r="Z40" s="54"/>
      <c r="AA40" s="54"/>
      <c r="AB40" s="54"/>
      <c r="AC40" s="54"/>
      <c r="AD40" s="54"/>
      <c r="AE40" s="54"/>
      <c r="AF40" s="54"/>
      <c r="AG40" s="54"/>
    </row>
    <row r="41" spans="4:33">
      <c r="E41" s="54"/>
      <c r="N41" s="67"/>
      <c r="O41" s="59"/>
      <c r="P41" s="63"/>
      <c r="Q41" s="142"/>
      <c r="R41" s="142"/>
      <c r="S41" s="142"/>
      <c r="T41" s="142"/>
      <c r="U41" s="142"/>
      <c r="V41" s="58"/>
      <c r="X41" s="54"/>
      <c r="Y41" s="54"/>
      <c r="Z41" s="54"/>
      <c r="AA41" s="54"/>
      <c r="AB41" s="54"/>
      <c r="AC41" s="54"/>
      <c r="AD41" s="54"/>
      <c r="AE41" s="54"/>
      <c r="AF41" s="54"/>
      <c r="AG41" s="54"/>
    </row>
    <row r="42" spans="4:33">
      <c r="E42" s="54"/>
      <c r="N42" s="67"/>
      <c r="O42" s="59"/>
      <c r="P42" s="63"/>
      <c r="Q42" s="142"/>
      <c r="R42" s="142"/>
      <c r="S42" s="142"/>
      <c r="T42" s="142"/>
      <c r="U42" s="142"/>
      <c r="V42" s="58"/>
      <c r="X42" s="54"/>
      <c r="Y42" s="54"/>
      <c r="Z42" s="54"/>
      <c r="AA42" s="54"/>
      <c r="AB42" s="54"/>
      <c r="AC42" s="54"/>
      <c r="AD42" s="54"/>
      <c r="AE42" s="54"/>
      <c r="AF42" s="54"/>
      <c r="AG42" s="54"/>
    </row>
    <row r="43" spans="4:33">
      <c r="E43" s="54"/>
      <c r="N43" s="67"/>
      <c r="O43" s="59"/>
      <c r="P43" s="63"/>
      <c r="Q43" s="142"/>
      <c r="R43" s="142"/>
      <c r="S43" s="142"/>
      <c r="T43" s="142"/>
      <c r="U43" s="142"/>
      <c r="V43" s="58"/>
      <c r="X43" s="54"/>
      <c r="Y43" s="54"/>
      <c r="Z43" s="54"/>
      <c r="AA43" s="54"/>
      <c r="AB43" s="54"/>
      <c r="AC43" s="54"/>
      <c r="AD43" s="54"/>
      <c r="AE43" s="54"/>
      <c r="AF43" s="54"/>
      <c r="AG43" s="54"/>
    </row>
    <row r="44" spans="4:33">
      <c r="E44" s="54"/>
      <c r="N44" s="67"/>
      <c r="O44" s="59"/>
      <c r="P44" s="63"/>
      <c r="Q44" s="142"/>
      <c r="R44" s="142"/>
      <c r="S44" s="142"/>
      <c r="T44" s="142"/>
      <c r="U44" s="142"/>
      <c r="V44" s="58"/>
      <c r="X44" s="54"/>
      <c r="Y44" s="54"/>
      <c r="Z44" s="54"/>
      <c r="AA44" s="54"/>
      <c r="AB44" s="54"/>
      <c r="AC44" s="54"/>
      <c r="AD44" s="54"/>
      <c r="AE44" s="54"/>
      <c r="AF44" s="54"/>
      <c r="AG44" s="54"/>
    </row>
    <row r="45" spans="4:33">
      <c r="E45" s="58"/>
      <c r="N45" s="67"/>
      <c r="O45" s="59"/>
      <c r="P45" s="63"/>
      <c r="Q45" s="142"/>
      <c r="R45" s="142"/>
      <c r="S45" s="142"/>
      <c r="T45" s="142"/>
      <c r="U45" s="142"/>
      <c r="V45" s="58"/>
      <c r="X45" s="54"/>
      <c r="Y45" s="54"/>
      <c r="Z45" s="54"/>
      <c r="AA45" s="54"/>
      <c r="AB45" s="54"/>
      <c r="AC45" s="54"/>
      <c r="AD45" s="54"/>
      <c r="AE45" s="54"/>
      <c r="AF45" s="54"/>
      <c r="AG45" s="54"/>
    </row>
    <row r="46" spans="4:33">
      <c r="E46" s="58"/>
      <c r="N46" s="67"/>
      <c r="O46" s="59"/>
      <c r="P46" s="63"/>
      <c r="Q46" s="142"/>
      <c r="R46" s="142"/>
      <c r="S46" s="142"/>
      <c r="T46" s="142"/>
      <c r="U46" s="142"/>
      <c r="V46" s="58"/>
      <c r="X46" s="54"/>
      <c r="Y46" s="54"/>
      <c r="Z46" s="54"/>
      <c r="AA46" s="54"/>
      <c r="AB46" s="54"/>
      <c r="AC46" s="54"/>
      <c r="AD46" s="54"/>
      <c r="AE46" s="54"/>
      <c r="AF46" s="54"/>
      <c r="AG46" s="54"/>
    </row>
    <row r="47" spans="4:33">
      <c r="E47" s="58"/>
      <c r="N47" s="67"/>
      <c r="O47" s="59"/>
      <c r="P47" s="63"/>
      <c r="Q47" s="142"/>
      <c r="R47" s="142"/>
      <c r="S47" s="142"/>
      <c r="T47" s="142"/>
      <c r="U47" s="142"/>
      <c r="V47" s="58"/>
      <c r="X47" s="54"/>
      <c r="Y47" s="54"/>
      <c r="Z47" s="54"/>
      <c r="AA47" s="54"/>
      <c r="AB47" s="54"/>
      <c r="AC47" s="54"/>
      <c r="AD47" s="54"/>
      <c r="AE47" s="54"/>
      <c r="AF47" s="54"/>
      <c r="AG47" s="54"/>
    </row>
    <row r="48" spans="4:33">
      <c r="E48" s="58"/>
      <c r="N48" s="67"/>
      <c r="O48" s="59"/>
      <c r="P48" s="63"/>
      <c r="Q48" s="142"/>
      <c r="R48" s="142"/>
      <c r="S48" s="142"/>
      <c r="T48" s="142"/>
      <c r="U48" s="142"/>
      <c r="V48" s="58"/>
      <c r="X48" s="54"/>
      <c r="Y48" s="54"/>
      <c r="Z48" s="54"/>
      <c r="AA48" s="54"/>
      <c r="AB48" s="54"/>
      <c r="AC48" s="54"/>
      <c r="AD48" s="54"/>
      <c r="AE48" s="54"/>
      <c r="AF48" s="54"/>
      <c r="AG48" s="54"/>
    </row>
    <row r="49" spans="5:33">
      <c r="E49" s="58"/>
      <c r="N49" s="67"/>
      <c r="O49" s="59"/>
      <c r="P49" s="63"/>
      <c r="Q49" s="142"/>
      <c r="R49" s="142"/>
      <c r="S49" s="142"/>
      <c r="T49" s="142"/>
      <c r="U49" s="142"/>
      <c r="V49" s="58"/>
      <c r="X49" s="54"/>
      <c r="Y49" s="54"/>
      <c r="Z49" s="54"/>
      <c r="AA49" s="54"/>
      <c r="AB49" s="54"/>
      <c r="AC49" s="54"/>
      <c r="AD49" s="54"/>
      <c r="AE49" s="54"/>
      <c r="AF49" s="54"/>
      <c r="AG49" s="54"/>
    </row>
    <row r="50" spans="5:33">
      <c r="E50" s="58"/>
      <c r="N50" s="67"/>
      <c r="O50" s="59"/>
      <c r="P50" s="63"/>
      <c r="Q50" s="142"/>
      <c r="R50" s="142"/>
      <c r="S50" s="142"/>
      <c r="T50" s="142"/>
      <c r="U50" s="142"/>
      <c r="V50" s="58"/>
      <c r="X50" s="54"/>
      <c r="Y50" s="54"/>
      <c r="Z50" s="54"/>
      <c r="AA50" s="54"/>
      <c r="AB50" s="54"/>
      <c r="AC50" s="54"/>
      <c r="AD50" s="54"/>
      <c r="AE50" s="54"/>
      <c r="AF50" s="54"/>
      <c r="AG50" s="54"/>
    </row>
    <row r="51" spans="5:33">
      <c r="E51" s="58"/>
      <c r="N51" s="67"/>
      <c r="O51" s="59"/>
      <c r="P51" s="63"/>
      <c r="Q51" s="142"/>
      <c r="R51" s="142"/>
      <c r="S51" s="142"/>
      <c r="T51" s="142"/>
      <c r="U51" s="142"/>
      <c r="V51" s="58"/>
      <c r="X51" s="54"/>
      <c r="Y51" s="54"/>
      <c r="Z51" s="54"/>
      <c r="AA51" s="54"/>
      <c r="AB51" s="54"/>
      <c r="AC51" s="54"/>
      <c r="AD51" s="54"/>
      <c r="AE51" s="54"/>
      <c r="AF51" s="54"/>
      <c r="AG51" s="54"/>
    </row>
    <row r="52" spans="5:33">
      <c r="E52" s="54"/>
      <c r="N52" s="67"/>
      <c r="O52" s="59"/>
      <c r="P52" s="63"/>
      <c r="Q52" s="142"/>
      <c r="R52" s="142"/>
      <c r="S52" s="142"/>
      <c r="T52" s="142"/>
      <c r="U52" s="142"/>
      <c r="V52" s="58"/>
      <c r="X52" s="54"/>
      <c r="Y52" s="54"/>
      <c r="Z52" s="54"/>
      <c r="AA52" s="54"/>
      <c r="AB52" s="54"/>
      <c r="AC52" s="54"/>
      <c r="AD52" s="54"/>
      <c r="AE52" s="54"/>
      <c r="AF52" s="54"/>
      <c r="AG52" s="54"/>
    </row>
    <row r="53" spans="5:33">
      <c r="E53" s="54"/>
      <c r="N53" s="67"/>
      <c r="O53" s="59"/>
      <c r="P53" s="63"/>
      <c r="Q53" s="142"/>
      <c r="R53" s="142"/>
      <c r="S53" s="142"/>
      <c r="T53" s="142"/>
      <c r="U53" s="142"/>
      <c r="V53" s="58"/>
      <c r="X53" s="54"/>
      <c r="Y53" s="54"/>
      <c r="Z53" s="54"/>
      <c r="AA53" s="54"/>
      <c r="AB53" s="54"/>
      <c r="AC53" s="54"/>
      <c r="AD53" s="54"/>
      <c r="AE53" s="54"/>
      <c r="AF53" s="54"/>
      <c r="AG53" s="54"/>
    </row>
    <row r="54" spans="5:33">
      <c r="E54" s="54"/>
      <c r="N54" s="67"/>
      <c r="O54" s="60">
        <v>42217</v>
      </c>
      <c r="P54" s="63"/>
      <c r="Q54" s="142"/>
      <c r="R54" s="142"/>
      <c r="S54" s="142"/>
      <c r="T54" s="142"/>
      <c r="U54" s="142"/>
      <c r="V54" s="58"/>
      <c r="X54" s="54"/>
      <c r="Y54" s="54"/>
      <c r="Z54" s="54"/>
      <c r="AA54" s="54"/>
      <c r="AB54" s="54"/>
    </row>
    <row r="55" spans="5:33">
      <c r="E55" s="54"/>
      <c r="N55" s="67"/>
      <c r="O55" s="60"/>
      <c r="P55" s="63"/>
      <c r="Q55" s="142"/>
      <c r="R55" s="142"/>
      <c r="S55" s="142"/>
      <c r="T55" s="142"/>
      <c r="U55" s="142"/>
      <c r="V55" s="58"/>
      <c r="X55" s="54"/>
      <c r="Y55" s="54"/>
      <c r="Z55" s="54"/>
      <c r="AA55" s="54"/>
      <c r="AB55" s="54"/>
    </row>
    <row r="56" spans="5:33">
      <c r="E56" s="54"/>
      <c r="N56" s="67"/>
      <c r="O56" s="59"/>
      <c r="P56" s="63"/>
      <c r="Q56" s="142"/>
      <c r="R56" s="142"/>
      <c r="S56" s="142"/>
      <c r="T56" s="142"/>
      <c r="U56" s="142"/>
      <c r="V56" s="58"/>
      <c r="X56" s="54"/>
      <c r="Y56" s="54"/>
      <c r="Z56" s="54"/>
      <c r="AA56" s="54"/>
      <c r="AB56" s="54"/>
    </row>
    <row r="57" spans="5:33">
      <c r="E57" s="64"/>
      <c r="N57" s="67"/>
      <c r="O57" s="59"/>
      <c r="P57" s="63"/>
      <c r="Q57" s="142"/>
      <c r="R57" s="142"/>
      <c r="S57" s="142"/>
      <c r="T57" s="142"/>
      <c r="U57" s="142"/>
      <c r="V57" s="58"/>
      <c r="X57" s="54"/>
      <c r="Y57" s="54"/>
      <c r="Z57" s="54"/>
      <c r="AA57" s="54"/>
      <c r="AB57" s="54"/>
    </row>
    <row r="58" spans="5:33">
      <c r="E58" s="64"/>
      <c r="N58" s="67"/>
      <c r="O58" s="59"/>
      <c r="P58" s="63"/>
      <c r="Q58" s="142"/>
      <c r="R58" s="142"/>
      <c r="S58" s="142"/>
      <c r="T58" s="142"/>
      <c r="U58" s="142"/>
      <c r="V58" s="58"/>
      <c r="X58" s="54"/>
      <c r="Y58" s="54"/>
      <c r="Z58" s="54"/>
      <c r="AA58" s="54"/>
      <c r="AB58" s="54"/>
    </row>
    <row r="59" spans="5:33">
      <c r="E59" s="64"/>
      <c r="N59" s="67"/>
      <c r="O59" s="59"/>
      <c r="P59" s="63"/>
      <c r="Q59" s="142"/>
      <c r="R59" s="142"/>
      <c r="S59" s="142"/>
      <c r="T59" s="142"/>
      <c r="U59" s="142"/>
      <c r="V59" s="58"/>
      <c r="X59" s="54"/>
      <c r="Y59" s="54"/>
      <c r="Z59" s="54"/>
      <c r="AA59" s="54"/>
      <c r="AB59" s="54"/>
    </row>
    <row r="60" spans="5:33">
      <c r="E60" s="64"/>
      <c r="N60" s="67"/>
      <c r="O60" s="59"/>
      <c r="P60" s="63"/>
      <c r="Q60" s="142"/>
      <c r="R60" s="142"/>
      <c r="S60" s="142"/>
      <c r="T60" s="142"/>
      <c r="U60" s="142"/>
      <c r="V60" s="58"/>
      <c r="X60" s="54"/>
      <c r="Y60" s="54"/>
      <c r="Z60" s="54"/>
      <c r="AB60" s="54"/>
    </row>
    <row r="61" spans="5:33">
      <c r="E61" s="64"/>
      <c r="N61" s="67"/>
      <c r="O61" s="59"/>
      <c r="P61" s="63"/>
      <c r="Q61" s="142"/>
      <c r="R61" s="142"/>
      <c r="S61" s="142"/>
      <c r="T61" s="142"/>
      <c r="U61" s="142"/>
      <c r="V61" s="58"/>
      <c r="X61" s="54"/>
      <c r="Y61" s="54"/>
      <c r="Z61" s="54"/>
    </row>
    <row r="62" spans="5:33">
      <c r="E62" s="64"/>
      <c r="N62" s="67"/>
      <c r="O62" s="59"/>
      <c r="P62" s="63"/>
      <c r="Q62" s="142"/>
      <c r="R62" s="142"/>
      <c r="S62" s="142"/>
      <c r="T62" s="142"/>
      <c r="U62" s="142"/>
      <c r="V62" s="58"/>
      <c r="X62" s="54"/>
      <c r="Y62" s="54"/>
      <c r="Z62" s="54"/>
    </row>
    <row r="63" spans="5:33">
      <c r="E63" s="64"/>
      <c r="N63" s="67"/>
      <c r="O63" s="59"/>
      <c r="P63" s="63"/>
      <c r="Q63" s="142"/>
      <c r="R63" s="142"/>
      <c r="S63" s="142"/>
      <c r="T63" s="142"/>
      <c r="U63" s="142"/>
      <c r="V63" s="58"/>
      <c r="X63" s="54"/>
      <c r="Y63" s="54"/>
      <c r="Z63" s="54"/>
    </row>
    <row r="64" spans="5:33">
      <c r="E64" s="64"/>
      <c r="N64" s="67">
        <f>'Data 3'!I60-'Data 3'!I59</f>
        <v>0</v>
      </c>
      <c r="O64" s="61">
        <f>'Data 3'!I60-'Data 3'!I48</f>
        <v>-39.202692689261895</v>
      </c>
      <c r="P64" s="63"/>
      <c r="Q64" s="142"/>
      <c r="R64" s="142"/>
      <c r="S64" s="142"/>
      <c r="T64" s="142"/>
      <c r="U64" s="142"/>
      <c r="V64" s="58"/>
      <c r="X64" s="54"/>
      <c r="Y64" s="54"/>
      <c r="Z64" s="54"/>
    </row>
    <row r="65" spans="5:26">
      <c r="E65" s="64"/>
      <c r="N65" s="67"/>
      <c r="O65" s="59"/>
      <c r="P65" s="63"/>
      <c r="Q65" s="142"/>
      <c r="R65" s="142"/>
      <c r="S65" s="142"/>
      <c r="T65" s="142"/>
      <c r="U65" s="142"/>
      <c r="V65" s="58"/>
      <c r="X65" s="54"/>
      <c r="Y65" s="54"/>
      <c r="Z65" s="54"/>
    </row>
    <row r="66" spans="5:26">
      <c r="E66" s="64"/>
      <c r="N66" s="67"/>
      <c r="O66" s="59"/>
      <c r="P66" s="63"/>
      <c r="Q66" s="142"/>
      <c r="R66" s="142"/>
      <c r="S66" s="142"/>
      <c r="T66" s="142"/>
      <c r="U66" s="142"/>
      <c r="V66" s="58"/>
      <c r="X66" s="54"/>
      <c r="Y66" s="54"/>
      <c r="Z66" s="54"/>
    </row>
    <row r="67" spans="5:26">
      <c r="E67" s="64"/>
      <c r="N67" s="67"/>
      <c r="O67" s="59"/>
      <c r="P67" s="63"/>
      <c r="Q67" s="142"/>
      <c r="R67" s="142"/>
      <c r="S67" s="142"/>
      <c r="T67" s="142"/>
      <c r="U67" s="142"/>
      <c r="V67" s="58"/>
      <c r="X67" s="54"/>
      <c r="Y67" s="54"/>
      <c r="Z67" s="54"/>
    </row>
    <row r="68" spans="5:26">
      <c r="E68" s="64"/>
      <c r="N68" s="67"/>
      <c r="O68" s="59"/>
      <c r="P68" s="63"/>
      <c r="Q68" s="142"/>
      <c r="R68" s="142"/>
      <c r="S68" s="142"/>
      <c r="T68" s="142"/>
      <c r="U68" s="142"/>
      <c r="V68" s="58"/>
      <c r="X68" s="54"/>
      <c r="Y68" s="54"/>
      <c r="Z68" s="54"/>
    </row>
    <row r="69" spans="5:26">
      <c r="N69" s="68"/>
      <c r="O69" s="59"/>
      <c r="P69" s="63"/>
      <c r="Q69" s="142"/>
      <c r="R69" s="142"/>
      <c r="S69" s="142"/>
      <c r="T69" s="142"/>
      <c r="U69" s="142"/>
      <c r="V69" s="58"/>
      <c r="X69" s="54"/>
      <c r="Y69" s="54"/>
      <c r="Z69" s="54"/>
    </row>
    <row r="70" spans="5:26">
      <c r="O70" s="59"/>
      <c r="P70" s="63"/>
      <c r="Q70" s="142"/>
      <c r="R70" s="142"/>
      <c r="S70" s="142"/>
      <c r="T70" s="142"/>
      <c r="U70" s="142"/>
      <c r="V70" s="58"/>
      <c r="X70" s="54"/>
      <c r="Y70" s="54"/>
      <c r="Z70" s="54"/>
    </row>
    <row r="71" spans="5:26">
      <c r="O71" s="59"/>
      <c r="P71" s="63"/>
      <c r="Q71" s="142"/>
      <c r="R71" s="142"/>
      <c r="S71" s="142"/>
      <c r="T71" s="142"/>
      <c r="U71" s="142"/>
      <c r="V71" s="58"/>
      <c r="X71" s="54"/>
      <c r="Y71" s="54"/>
      <c r="Z71" s="54"/>
    </row>
    <row r="72" spans="5:26">
      <c r="O72" s="59"/>
      <c r="P72" s="63"/>
      <c r="Q72" s="142"/>
      <c r="R72" s="142"/>
      <c r="S72" s="142"/>
      <c r="T72" s="142"/>
      <c r="U72" s="142"/>
      <c r="V72" s="58"/>
      <c r="X72" s="54"/>
      <c r="Y72" s="54"/>
      <c r="Z72" s="54"/>
    </row>
    <row r="73" spans="5:26">
      <c r="O73" s="59"/>
      <c r="P73" s="63"/>
      <c r="Q73" s="142"/>
      <c r="R73" s="142"/>
      <c r="S73" s="142"/>
      <c r="T73" s="142"/>
      <c r="U73" s="142"/>
      <c r="V73" s="58"/>
      <c r="X73" s="54"/>
      <c r="Y73" s="54"/>
      <c r="Z73" s="54"/>
    </row>
    <row r="74" spans="5:26">
      <c r="O74" s="59"/>
      <c r="P74" s="63"/>
      <c r="Q74" s="142"/>
      <c r="R74" s="142"/>
      <c r="S74" s="142"/>
      <c r="T74" s="142"/>
      <c r="U74" s="142"/>
      <c r="V74" s="58"/>
      <c r="X74" s="54"/>
      <c r="Y74" s="54"/>
      <c r="Z74" s="54"/>
    </row>
    <row r="75" spans="5:26">
      <c r="O75" s="59"/>
      <c r="P75" s="63"/>
      <c r="Q75" s="142"/>
      <c r="R75" s="142"/>
      <c r="S75" s="142"/>
      <c r="T75" s="142"/>
      <c r="U75" s="142"/>
      <c r="V75" s="58"/>
      <c r="X75" s="54"/>
      <c r="Y75" s="54"/>
      <c r="Z75" s="54"/>
    </row>
    <row r="76" spans="5:26">
      <c r="O76" s="59"/>
      <c r="P76" s="63"/>
      <c r="Q76" s="142"/>
      <c r="R76" s="142"/>
      <c r="S76" s="142"/>
      <c r="T76" s="142"/>
      <c r="U76" s="142"/>
      <c r="V76" s="58"/>
      <c r="X76" s="54"/>
      <c r="Y76" s="54"/>
      <c r="Z76" s="54"/>
    </row>
    <row r="77" spans="5:26">
      <c r="O77" s="59"/>
      <c r="P77" s="63"/>
      <c r="Q77" s="142"/>
      <c r="R77" s="142"/>
      <c r="S77" s="142"/>
      <c r="T77" s="142"/>
      <c r="U77" s="142"/>
      <c r="V77" s="58"/>
      <c r="X77" s="54"/>
      <c r="Y77" s="54"/>
      <c r="Z77" s="54"/>
    </row>
    <row r="78" spans="5:26">
      <c r="O78" s="59"/>
      <c r="P78" s="63"/>
      <c r="Q78" s="142"/>
      <c r="R78" s="142"/>
      <c r="S78" s="142"/>
      <c r="T78" s="142"/>
      <c r="U78" s="142"/>
      <c r="V78" s="58"/>
      <c r="X78" s="54"/>
      <c r="Y78" s="54"/>
      <c r="Z78" s="54"/>
    </row>
    <row r="79" spans="5:26">
      <c r="O79" s="59"/>
      <c r="P79" s="63"/>
      <c r="Q79" s="142"/>
      <c r="R79" s="142"/>
      <c r="S79" s="142"/>
      <c r="T79" s="142"/>
      <c r="U79" s="142"/>
      <c r="V79" s="58"/>
      <c r="X79" s="54"/>
      <c r="Y79" s="54"/>
      <c r="Z79" s="54"/>
    </row>
    <row r="80" spans="5:26">
      <c r="O80" s="59"/>
      <c r="P80" s="63"/>
      <c r="Q80" s="142"/>
      <c r="R80" s="142"/>
      <c r="S80" s="142"/>
      <c r="T80" s="142"/>
      <c r="U80" s="142"/>
      <c r="V80" s="58"/>
      <c r="X80" s="54"/>
      <c r="Y80" s="54"/>
      <c r="Z80" s="54"/>
    </row>
    <row r="81" spans="15:26">
      <c r="O81" s="59"/>
      <c r="P81" s="63"/>
      <c r="Q81" s="142"/>
      <c r="R81" s="142"/>
      <c r="S81" s="142"/>
      <c r="T81" s="142"/>
      <c r="U81" s="142"/>
      <c r="V81" s="58"/>
      <c r="X81" s="54"/>
      <c r="Y81" s="54"/>
      <c r="Z81" s="54"/>
    </row>
    <row r="82" spans="15:26">
      <c r="O82" s="59"/>
      <c r="P82" s="63"/>
      <c r="Q82" s="142"/>
      <c r="R82" s="142"/>
      <c r="S82" s="142"/>
      <c r="T82" s="142"/>
      <c r="U82" s="142"/>
      <c r="V82" s="58"/>
      <c r="X82" s="54"/>
      <c r="Y82" s="54"/>
      <c r="Z82" s="54"/>
    </row>
    <row r="83" spans="15:26">
      <c r="O83" s="59"/>
      <c r="P83" s="63"/>
      <c r="Q83" s="142"/>
      <c r="R83" s="142"/>
      <c r="S83" s="142"/>
      <c r="T83" s="142"/>
      <c r="U83" s="142"/>
      <c r="V83" s="58"/>
      <c r="X83" s="54"/>
      <c r="Y83" s="54"/>
      <c r="Z83" s="54"/>
    </row>
    <row r="84" spans="15:26">
      <c r="O84" s="60"/>
      <c r="P84" s="63"/>
      <c r="Q84" s="142"/>
      <c r="R84" s="142"/>
      <c r="S84" s="142"/>
      <c r="T84" s="142"/>
      <c r="U84" s="142"/>
      <c r="V84" s="58"/>
      <c r="X84" s="54"/>
      <c r="Y84" s="54"/>
      <c r="Z84" s="54"/>
    </row>
    <row r="85" spans="15:26">
      <c r="O85" s="60">
        <v>42248</v>
      </c>
      <c r="P85" s="63"/>
      <c r="Q85" s="142"/>
      <c r="R85" s="142"/>
      <c r="S85" s="142"/>
      <c r="T85" s="142"/>
      <c r="U85" s="142"/>
      <c r="V85" s="58"/>
      <c r="X85" s="54"/>
      <c r="Y85" s="54"/>
      <c r="Z85" s="54"/>
    </row>
    <row r="86" spans="15:26">
      <c r="O86" s="59"/>
      <c r="P86" s="63"/>
      <c r="Q86" s="142"/>
      <c r="R86" s="142"/>
      <c r="S86" s="142"/>
      <c r="T86" s="142"/>
      <c r="U86" s="142"/>
      <c r="V86" s="58"/>
      <c r="X86" s="54"/>
      <c r="Y86" s="54"/>
      <c r="Z86" s="54"/>
    </row>
    <row r="87" spans="15:26">
      <c r="O87" s="59"/>
      <c r="P87" s="63"/>
      <c r="Q87" s="142"/>
      <c r="R87" s="142"/>
      <c r="S87" s="142"/>
      <c r="T87" s="142"/>
      <c r="U87" s="142"/>
      <c r="V87" s="58"/>
      <c r="X87" s="54"/>
      <c r="Y87" s="54"/>
      <c r="Z87" s="54"/>
    </row>
    <row r="88" spans="15:26">
      <c r="O88" s="59"/>
      <c r="P88" s="63"/>
      <c r="Q88" s="142"/>
      <c r="R88" s="142"/>
      <c r="S88" s="142"/>
      <c r="T88" s="142"/>
      <c r="U88" s="142"/>
      <c r="V88" s="58"/>
      <c r="X88" s="54"/>
      <c r="Y88" s="54"/>
      <c r="Z88" s="54"/>
    </row>
    <row r="89" spans="15:26">
      <c r="O89" s="59"/>
      <c r="P89" s="63"/>
      <c r="Q89" s="142"/>
      <c r="R89" s="142"/>
      <c r="S89" s="142"/>
      <c r="T89" s="142"/>
      <c r="U89" s="142"/>
      <c r="V89" s="58"/>
      <c r="X89" s="54"/>
      <c r="Y89" s="54"/>
      <c r="Z89" s="54"/>
    </row>
    <row r="90" spans="15:26">
      <c r="O90" s="59"/>
      <c r="P90" s="63"/>
      <c r="Q90" s="142"/>
      <c r="R90" s="142"/>
      <c r="S90" s="142"/>
      <c r="T90" s="142"/>
      <c r="U90" s="142"/>
      <c r="V90" s="58"/>
      <c r="X90" s="54"/>
      <c r="Y90" s="54"/>
      <c r="Z90" s="54"/>
    </row>
    <row r="91" spans="15:26">
      <c r="O91" s="59"/>
      <c r="P91" s="63"/>
      <c r="Q91" s="142"/>
      <c r="R91" s="142"/>
      <c r="S91" s="142"/>
      <c r="T91" s="142"/>
      <c r="U91" s="142"/>
      <c r="V91" s="58"/>
      <c r="X91" s="54"/>
      <c r="Y91" s="54"/>
      <c r="Z91" s="54"/>
    </row>
    <row r="92" spans="15:26">
      <c r="O92" s="59"/>
      <c r="P92" s="63"/>
      <c r="Q92" s="142"/>
      <c r="R92" s="142"/>
      <c r="S92" s="142"/>
      <c r="T92" s="142"/>
      <c r="U92" s="142"/>
      <c r="V92" s="58"/>
      <c r="X92" s="54"/>
      <c r="Y92" s="54"/>
      <c r="Z92" s="54"/>
    </row>
    <row r="93" spans="15:26">
      <c r="O93" s="59"/>
      <c r="P93" s="63"/>
      <c r="Q93" s="142"/>
      <c r="R93" s="142"/>
      <c r="S93" s="142"/>
      <c r="T93" s="142"/>
      <c r="U93" s="142"/>
      <c r="V93" s="58"/>
      <c r="X93" s="54"/>
      <c r="Y93" s="54"/>
      <c r="Z93" s="54"/>
    </row>
    <row r="94" spans="15:26">
      <c r="O94" s="59"/>
      <c r="P94" s="63"/>
      <c r="Q94" s="142"/>
      <c r="R94" s="142"/>
      <c r="S94" s="142"/>
      <c r="T94" s="142"/>
      <c r="U94" s="142"/>
      <c r="V94" s="58"/>
      <c r="X94" s="54"/>
      <c r="Y94" s="54"/>
      <c r="Z94" s="54"/>
    </row>
    <row r="95" spans="15:26">
      <c r="O95" s="59"/>
      <c r="P95" s="63"/>
      <c r="Q95" s="142"/>
      <c r="R95" s="142"/>
      <c r="S95" s="142"/>
      <c r="T95" s="142"/>
      <c r="U95" s="142"/>
      <c r="V95" s="58"/>
      <c r="X95" s="54"/>
      <c r="Y95" s="54"/>
      <c r="Z95" s="54"/>
    </row>
    <row r="96" spans="15:26">
      <c r="O96" s="59"/>
      <c r="P96" s="63"/>
      <c r="Q96" s="142"/>
      <c r="R96" s="142"/>
      <c r="S96" s="142"/>
      <c r="T96" s="142"/>
      <c r="U96" s="142"/>
      <c r="V96" s="58"/>
      <c r="X96" s="54"/>
      <c r="Y96" s="54"/>
      <c r="Z96" s="54"/>
    </row>
    <row r="97" spans="15:26">
      <c r="O97" s="59"/>
      <c r="P97" s="63"/>
      <c r="Q97" s="142"/>
      <c r="R97" s="142"/>
      <c r="S97" s="142"/>
      <c r="T97" s="142"/>
      <c r="U97" s="142"/>
      <c r="V97" s="58"/>
      <c r="X97" s="54"/>
      <c r="Y97" s="54"/>
      <c r="Z97" s="54"/>
    </row>
    <row r="98" spans="15:26">
      <c r="O98" s="59"/>
      <c r="P98" s="63"/>
      <c r="Q98" s="142"/>
      <c r="R98" s="142"/>
      <c r="S98" s="142"/>
      <c r="T98" s="142"/>
      <c r="U98" s="142"/>
      <c r="V98" s="58"/>
      <c r="X98" s="54"/>
      <c r="Y98" s="54"/>
      <c r="Z98" s="54"/>
    </row>
    <row r="99" spans="15:26">
      <c r="O99" s="59"/>
      <c r="P99" s="63"/>
      <c r="Q99" s="142"/>
      <c r="R99" s="142"/>
      <c r="S99" s="142"/>
      <c r="T99" s="142"/>
      <c r="U99" s="142"/>
      <c r="V99" s="58"/>
      <c r="X99" s="54"/>
      <c r="Y99" s="54"/>
      <c r="Z99" s="54"/>
    </row>
    <row r="100" spans="15:26">
      <c r="O100" s="59"/>
      <c r="P100" s="63"/>
      <c r="Q100" s="142"/>
      <c r="R100" s="142"/>
      <c r="S100" s="142"/>
      <c r="T100" s="142"/>
      <c r="U100" s="142"/>
      <c r="V100" s="58"/>
      <c r="X100" s="54"/>
      <c r="Y100" s="54"/>
      <c r="Z100" s="54"/>
    </row>
    <row r="101" spans="15:26">
      <c r="O101" s="59"/>
      <c r="P101" s="63"/>
      <c r="Q101" s="142"/>
      <c r="R101" s="142"/>
      <c r="S101" s="142"/>
      <c r="T101" s="142"/>
      <c r="U101" s="142"/>
      <c r="V101" s="58"/>
      <c r="X101" s="54"/>
      <c r="Y101" s="54"/>
      <c r="Z101" s="54"/>
    </row>
    <row r="102" spans="15:26">
      <c r="O102" s="59"/>
      <c r="P102" s="63"/>
      <c r="Q102" s="142"/>
      <c r="R102" s="142"/>
      <c r="S102" s="142"/>
      <c r="T102" s="142"/>
      <c r="U102" s="142"/>
      <c r="V102" s="58"/>
      <c r="X102" s="54"/>
      <c r="Y102" s="54"/>
      <c r="Z102" s="54"/>
    </row>
    <row r="103" spans="15:26">
      <c r="O103" s="59"/>
      <c r="P103" s="63"/>
      <c r="Q103" s="142"/>
      <c r="R103" s="142"/>
      <c r="S103" s="142"/>
      <c r="T103" s="142"/>
      <c r="U103" s="142"/>
      <c r="V103" s="58"/>
      <c r="X103" s="54"/>
      <c r="Y103" s="54"/>
      <c r="Z103" s="54"/>
    </row>
    <row r="104" spans="15:26">
      <c r="O104" s="59"/>
      <c r="P104" s="63"/>
      <c r="Q104" s="142"/>
      <c r="R104" s="142"/>
      <c r="S104" s="142"/>
      <c r="T104" s="142"/>
      <c r="U104" s="142"/>
      <c r="V104" s="58"/>
      <c r="X104" s="54"/>
      <c r="Y104" s="54"/>
      <c r="Z104" s="54"/>
    </row>
    <row r="105" spans="15:26">
      <c r="O105" s="59"/>
      <c r="P105" s="63"/>
      <c r="Q105" s="142"/>
      <c r="R105" s="142"/>
      <c r="S105" s="142"/>
      <c r="T105" s="142"/>
      <c r="U105" s="142"/>
      <c r="V105" s="58"/>
      <c r="X105" s="54"/>
      <c r="Y105" s="54"/>
      <c r="Z105" s="54"/>
    </row>
    <row r="106" spans="15:26">
      <c r="O106" s="59"/>
      <c r="P106" s="63"/>
      <c r="Q106" s="142"/>
      <c r="R106" s="142"/>
      <c r="S106" s="142"/>
      <c r="T106" s="142"/>
      <c r="U106" s="142"/>
      <c r="V106" s="58"/>
      <c r="X106" s="54"/>
      <c r="Y106" s="54"/>
      <c r="Z106" s="54"/>
    </row>
    <row r="107" spans="15:26">
      <c r="O107" s="59"/>
      <c r="P107" s="63"/>
      <c r="Q107" s="142"/>
      <c r="R107" s="142"/>
      <c r="S107" s="142"/>
      <c r="T107" s="142"/>
      <c r="U107" s="142"/>
      <c r="V107" s="58"/>
      <c r="X107" s="54"/>
      <c r="Y107" s="54"/>
      <c r="Z107" s="54"/>
    </row>
    <row r="108" spans="15:26">
      <c r="O108" s="59"/>
      <c r="P108" s="63"/>
      <c r="Q108" s="142"/>
      <c r="R108" s="142"/>
      <c r="S108" s="142"/>
      <c r="T108" s="142"/>
      <c r="U108" s="142"/>
      <c r="V108" s="58"/>
      <c r="X108" s="54"/>
      <c r="Y108" s="54"/>
      <c r="Z108" s="54"/>
    </row>
    <row r="109" spans="15:26">
      <c r="O109" s="59"/>
      <c r="P109" s="63"/>
      <c r="Q109" s="142"/>
      <c r="R109" s="142"/>
      <c r="S109" s="142"/>
      <c r="T109" s="142"/>
      <c r="U109" s="142"/>
      <c r="V109" s="58"/>
      <c r="X109" s="54"/>
      <c r="Y109" s="54"/>
      <c r="Z109" s="54"/>
    </row>
    <row r="110" spans="15:26">
      <c r="O110" s="59"/>
      <c r="P110" s="63"/>
      <c r="Q110" s="142"/>
      <c r="R110" s="142"/>
      <c r="S110" s="142"/>
      <c r="T110" s="142"/>
      <c r="U110" s="142"/>
      <c r="V110" s="58"/>
      <c r="X110" s="54"/>
      <c r="Y110" s="54"/>
      <c r="Z110" s="54"/>
    </row>
    <row r="111" spans="15:26">
      <c r="O111" s="59"/>
      <c r="P111" s="63"/>
      <c r="Q111" s="142"/>
      <c r="R111" s="142"/>
      <c r="S111" s="142"/>
      <c r="T111" s="142"/>
      <c r="U111" s="142"/>
      <c r="V111" s="58"/>
      <c r="X111" s="54"/>
      <c r="Y111" s="54"/>
      <c r="Z111" s="54"/>
    </row>
    <row r="112" spans="15:26">
      <c r="O112" s="59"/>
      <c r="P112" s="63"/>
      <c r="Q112" s="142"/>
      <c r="R112" s="142"/>
      <c r="S112" s="142"/>
      <c r="T112" s="142"/>
      <c r="U112" s="142"/>
      <c r="V112" s="58"/>
      <c r="X112" s="54"/>
      <c r="Y112" s="54"/>
      <c r="Z112" s="54"/>
    </row>
    <row r="113" spans="15:26">
      <c r="O113" s="59"/>
      <c r="P113" s="63"/>
      <c r="Q113" s="142"/>
      <c r="R113" s="142"/>
      <c r="S113" s="142"/>
      <c r="T113" s="142"/>
      <c r="U113" s="142"/>
      <c r="V113" s="58"/>
      <c r="X113" s="54"/>
      <c r="Y113" s="54"/>
      <c r="Z113" s="54"/>
    </row>
    <row r="114" spans="15:26">
      <c r="O114" s="59"/>
      <c r="P114" s="63"/>
      <c r="Q114" s="142"/>
      <c r="R114" s="142"/>
      <c r="S114" s="142"/>
      <c r="T114" s="142"/>
      <c r="U114" s="142"/>
      <c r="V114" s="58"/>
      <c r="X114" s="54"/>
      <c r="Y114" s="54"/>
      <c r="Z114" s="54"/>
    </row>
    <row r="115" spans="15:26">
      <c r="O115" s="60">
        <v>42278</v>
      </c>
      <c r="P115" s="63"/>
      <c r="Q115" s="142"/>
      <c r="R115" s="142"/>
      <c r="S115" s="142"/>
      <c r="T115" s="142"/>
      <c r="U115" s="142"/>
      <c r="V115" s="58"/>
      <c r="X115" s="54"/>
      <c r="Y115" s="54"/>
      <c r="Z115" s="54"/>
    </row>
    <row r="116" spans="15:26">
      <c r="O116" s="60"/>
      <c r="P116" s="63"/>
      <c r="Q116" s="142"/>
      <c r="R116" s="142"/>
      <c r="S116" s="142"/>
      <c r="T116" s="142"/>
      <c r="U116" s="142"/>
      <c r="V116" s="58"/>
      <c r="X116" s="54"/>
      <c r="Y116" s="54"/>
      <c r="Z116" s="54"/>
    </row>
    <row r="117" spans="15:26">
      <c r="O117" s="59"/>
      <c r="P117" s="63"/>
      <c r="Q117" s="142"/>
      <c r="R117" s="142"/>
      <c r="S117" s="142"/>
      <c r="T117" s="142"/>
      <c r="U117" s="142"/>
      <c r="V117" s="58"/>
      <c r="X117" s="54"/>
      <c r="Y117" s="54"/>
      <c r="Z117" s="54"/>
    </row>
    <row r="118" spans="15:26">
      <c r="O118" s="59"/>
      <c r="P118" s="63"/>
      <c r="Q118" s="142"/>
      <c r="R118" s="142"/>
      <c r="S118" s="142"/>
      <c r="T118" s="142"/>
      <c r="U118" s="142"/>
      <c r="V118" s="58"/>
      <c r="X118" s="54"/>
      <c r="Y118" s="54"/>
      <c r="Z118" s="54"/>
    </row>
    <row r="119" spans="15:26">
      <c r="O119" s="59"/>
      <c r="P119" s="63"/>
      <c r="Q119" s="142"/>
      <c r="R119" s="142"/>
      <c r="S119" s="142"/>
      <c r="T119" s="142"/>
      <c r="U119" s="142"/>
      <c r="V119" s="58"/>
      <c r="X119" s="54"/>
      <c r="Y119" s="54"/>
      <c r="Z119" s="54"/>
    </row>
    <row r="120" spans="15:26">
      <c r="O120" s="59"/>
      <c r="P120" s="63"/>
      <c r="Q120" s="142"/>
      <c r="R120" s="142"/>
      <c r="S120" s="142"/>
      <c r="T120" s="142"/>
      <c r="U120" s="142"/>
      <c r="V120" s="58"/>
      <c r="X120" s="54"/>
      <c r="Y120" s="54"/>
      <c r="Z120" s="54"/>
    </row>
    <row r="121" spans="15:26">
      <c r="O121" s="59"/>
      <c r="P121" s="63"/>
      <c r="Q121" s="142"/>
      <c r="R121" s="142"/>
      <c r="S121" s="142"/>
      <c r="T121" s="142"/>
      <c r="U121" s="142"/>
      <c r="V121" s="58"/>
      <c r="X121" s="54"/>
      <c r="Y121" s="54"/>
      <c r="Z121" s="54"/>
    </row>
    <row r="122" spans="15:26">
      <c r="O122" s="59"/>
      <c r="P122" s="63"/>
      <c r="Q122" s="142"/>
      <c r="R122" s="142"/>
      <c r="S122" s="142"/>
      <c r="T122" s="142"/>
      <c r="U122" s="142"/>
      <c r="V122" s="58"/>
      <c r="X122" s="54"/>
      <c r="Y122" s="54"/>
      <c r="Z122" s="54"/>
    </row>
    <row r="123" spans="15:26">
      <c r="O123" s="59"/>
      <c r="P123" s="63"/>
      <c r="Q123" s="142"/>
      <c r="R123" s="142"/>
      <c r="S123" s="142"/>
      <c r="T123" s="142"/>
      <c r="U123" s="142"/>
      <c r="V123" s="58"/>
      <c r="X123" s="54"/>
      <c r="Y123" s="54"/>
      <c r="Z123" s="54"/>
    </row>
    <row r="124" spans="15:26">
      <c r="O124" s="59"/>
      <c r="P124" s="63"/>
      <c r="Q124" s="142"/>
      <c r="R124" s="142"/>
      <c r="S124" s="142"/>
      <c r="T124" s="142"/>
      <c r="U124" s="142"/>
      <c r="V124" s="58"/>
      <c r="X124" s="54"/>
      <c r="Y124" s="54"/>
      <c r="Z124" s="54"/>
    </row>
    <row r="125" spans="15:26">
      <c r="O125" s="59"/>
      <c r="P125" s="63"/>
      <c r="Q125" s="142"/>
      <c r="R125" s="142"/>
      <c r="S125" s="142"/>
      <c r="T125" s="142"/>
      <c r="U125" s="142"/>
      <c r="V125" s="58"/>
      <c r="X125" s="54"/>
      <c r="Y125" s="54"/>
      <c r="Z125" s="54"/>
    </row>
    <row r="126" spans="15:26">
      <c r="O126" s="59"/>
      <c r="P126" s="63"/>
      <c r="Q126" s="142"/>
      <c r="R126" s="142"/>
      <c r="S126" s="142"/>
      <c r="T126" s="142"/>
      <c r="U126" s="142"/>
      <c r="V126" s="58"/>
      <c r="X126" s="54"/>
      <c r="Y126" s="54"/>
      <c r="Z126" s="54"/>
    </row>
    <row r="127" spans="15:26">
      <c r="O127" s="59"/>
      <c r="P127" s="63"/>
      <c r="Q127" s="142"/>
      <c r="R127" s="142"/>
      <c r="S127" s="142"/>
      <c r="T127" s="142"/>
      <c r="U127" s="142"/>
      <c r="V127" s="58"/>
      <c r="X127" s="54"/>
      <c r="Y127" s="54"/>
      <c r="Z127" s="54"/>
    </row>
    <row r="128" spans="15:26">
      <c r="O128" s="59"/>
      <c r="P128" s="63"/>
      <c r="Q128" s="142"/>
      <c r="R128" s="142"/>
      <c r="S128" s="142"/>
      <c r="T128" s="142"/>
      <c r="U128" s="142"/>
      <c r="V128" s="58"/>
      <c r="X128" s="54"/>
      <c r="Y128" s="54"/>
      <c r="Z128" s="54"/>
    </row>
    <row r="129" spans="15:26">
      <c r="O129" s="59"/>
      <c r="P129" s="63"/>
      <c r="Q129" s="142"/>
      <c r="R129" s="142"/>
      <c r="S129" s="142"/>
      <c r="T129" s="142"/>
      <c r="U129" s="142"/>
      <c r="V129" s="58"/>
      <c r="X129" s="54"/>
      <c r="Y129" s="54"/>
      <c r="Z129" s="54"/>
    </row>
    <row r="130" spans="15:26">
      <c r="O130" s="59"/>
      <c r="P130" s="63"/>
      <c r="Q130" s="142"/>
      <c r="R130" s="142"/>
      <c r="S130" s="142"/>
      <c r="T130" s="142"/>
      <c r="U130" s="142"/>
      <c r="V130" s="58"/>
      <c r="X130" s="54"/>
      <c r="Y130" s="54"/>
      <c r="Z130" s="54"/>
    </row>
    <row r="131" spans="15:26">
      <c r="O131" s="59"/>
      <c r="P131" s="63"/>
      <c r="Q131" s="142"/>
      <c r="R131" s="142"/>
      <c r="S131" s="142"/>
      <c r="T131" s="142"/>
      <c r="U131" s="142"/>
      <c r="V131" s="58"/>
      <c r="X131" s="54"/>
      <c r="Y131" s="54"/>
      <c r="Z131" s="54"/>
    </row>
    <row r="132" spans="15:26">
      <c r="O132" s="59"/>
      <c r="P132" s="63"/>
      <c r="Q132" s="142"/>
      <c r="R132" s="142"/>
      <c r="S132" s="142"/>
      <c r="T132" s="142"/>
      <c r="U132" s="142"/>
      <c r="V132" s="58"/>
      <c r="X132" s="54"/>
      <c r="Y132" s="54"/>
      <c r="Z132" s="54"/>
    </row>
    <row r="133" spans="15:26">
      <c r="O133" s="59"/>
      <c r="P133" s="63"/>
      <c r="Q133" s="142"/>
      <c r="R133" s="142"/>
      <c r="S133" s="142"/>
      <c r="T133" s="142"/>
      <c r="U133" s="142"/>
      <c r="V133" s="58"/>
      <c r="X133" s="54"/>
      <c r="Y133" s="54"/>
      <c r="Z133" s="54"/>
    </row>
    <row r="134" spans="15:26">
      <c r="O134" s="59"/>
      <c r="P134" s="63"/>
      <c r="Q134" s="142"/>
      <c r="R134" s="142"/>
      <c r="S134" s="142"/>
      <c r="T134" s="142"/>
      <c r="U134" s="142"/>
      <c r="V134" s="58"/>
      <c r="X134" s="54"/>
      <c r="Y134" s="54"/>
      <c r="Z134" s="54"/>
    </row>
    <row r="135" spans="15:26">
      <c r="O135" s="59"/>
      <c r="P135" s="63"/>
      <c r="Q135" s="142"/>
      <c r="R135" s="142"/>
      <c r="S135" s="142"/>
      <c r="T135" s="142"/>
      <c r="U135" s="142"/>
      <c r="V135" s="58"/>
      <c r="X135" s="54"/>
      <c r="Y135" s="54"/>
      <c r="Z135" s="54"/>
    </row>
    <row r="136" spans="15:26">
      <c r="O136" s="59"/>
      <c r="P136" s="63"/>
      <c r="Q136" s="142"/>
      <c r="R136" s="142"/>
      <c r="S136" s="142"/>
      <c r="T136" s="142"/>
      <c r="U136" s="142"/>
      <c r="V136" s="58"/>
      <c r="X136" s="54"/>
      <c r="Y136" s="54"/>
      <c r="Z136" s="54"/>
    </row>
    <row r="137" spans="15:26">
      <c r="O137" s="59"/>
      <c r="P137" s="63"/>
      <c r="Q137" s="142"/>
      <c r="R137" s="142"/>
      <c r="S137" s="142"/>
      <c r="T137" s="142"/>
      <c r="U137" s="142"/>
      <c r="V137" s="58"/>
      <c r="X137" s="54"/>
      <c r="Y137" s="54"/>
      <c r="Z137" s="54"/>
    </row>
    <row r="138" spans="15:26">
      <c r="O138" s="59"/>
      <c r="P138" s="63"/>
      <c r="Q138" s="142"/>
      <c r="R138" s="142"/>
      <c r="S138" s="142"/>
      <c r="T138" s="142"/>
      <c r="U138" s="142"/>
      <c r="V138" s="58"/>
      <c r="X138" s="54"/>
      <c r="Y138" s="54"/>
      <c r="Z138" s="54"/>
    </row>
    <row r="139" spans="15:26">
      <c r="O139" s="59"/>
      <c r="P139" s="63"/>
      <c r="Q139" s="142"/>
      <c r="R139" s="142"/>
      <c r="S139" s="142"/>
      <c r="T139" s="142"/>
      <c r="U139" s="142"/>
      <c r="V139" s="58"/>
      <c r="X139" s="54"/>
      <c r="Y139" s="54"/>
      <c r="Z139" s="54"/>
    </row>
    <row r="140" spans="15:26">
      <c r="O140" s="59"/>
      <c r="P140" s="63"/>
      <c r="Q140" s="142"/>
      <c r="R140" s="142"/>
      <c r="S140" s="142"/>
      <c r="T140" s="142"/>
      <c r="U140" s="142"/>
      <c r="V140" s="58"/>
      <c r="X140" s="54"/>
      <c r="Y140" s="54"/>
      <c r="Z140" s="54"/>
    </row>
    <row r="141" spans="15:26">
      <c r="O141" s="59"/>
      <c r="P141" s="63"/>
      <c r="Q141" s="142"/>
      <c r="R141" s="142"/>
      <c r="S141" s="142"/>
      <c r="T141" s="142"/>
      <c r="U141" s="142"/>
      <c r="V141" s="58"/>
      <c r="X141" s="54"/>
      <c r="Y141" s="54"/>
      <c r="Z141" s="54"/>
    </row>
    <row r="142" spans="15:26">
      <c r="O142" s="59"/>
      <c r="P142" s="63"/>
      <c r="Q142" s="142"/>
      <c r="R142" s="142"/>
      <c r="S142" s="142"/>
      <c r="T142" s="142"/>
      <c r="U142" s="142"/>
      <c r="V142" s="58"/>
      <c r="X142" s="54"/>
      <c r="Y142" s="54"/>
      <c r="Z142" s="54"/>
    </row>
    <row r="143" spans="15:26">
      <c r="O143" s="59"/>
      <c r="P143" s="63"/>
      <c r="Q143" s="142"/>
      <c r="R143" s="142"/>
      <c r="S143" s="142"/>
      <c r="T143" s="142"/>
      <c r="U143" s="142"/>
      <c r="V143" s="58"/>
      <c r="X143" s="54"/>
      <c r="Y143" s="54"/>
      <c r="Z143" s="54"/>
    </row>
    <row r="144" spans="15:26">
      <c r="O144" s="59"/>
      <c r="P144" s="63"/>
      <c r="Q144" s="142"/>
      <c r="R144" s="142"/>
      <c r="S144" s="142"/>
      <c r="T144" s="142"/>
      <c r="U144" s="142"/>
      <c r="V144" s="58"/>
      <c r="X144" s="54"/>
      <c r="Y144" s="54"/>
      <c r="Z144" s="54"/>
    </row>
    <row r="145" spans="15:26">
      <c r="O145" s="59"/>
      <c r="P145" s="63"/>
      <c r="Q145" s="142"/>
      <c r="R145" s="142"/>
      <c r="S145" s="142"/>
      <c r="T145" s="142"/>
      <c r="U145" s="142"/>
      <c r="V145" s="58"/>
      <c r="X145" s="54"/>
      <c r="Y145" s="54"/>
      <c r="Z145" s="54"/>
    </row>
    <row r="146" spans="15:26">
      <c r="O146" s="60">
        <v>42309</v>
      </c>
      <c r="P146" s="63"/>
      <c r="Q146" s="142"/>
      <c r="R146" s="142"/>
      <c r="S146" s="142"/>
      <c r="T146" s="142"/>
      <c r="U146" s="142"/>
      <c r="V146" s="58"/>
      <c r="X146" s="54"/>
      <c r="Y146" s="54"/>
      <c r="Z146" s="54"/>
    </row>
    <row r="147" spans="15:26">
      <c r="O147" s="60"/>
      <c r="P147" s="63"/>
      <c r="Q147" s="142"/>
      <c r="R147" s="142"/>
      <c r="S147" s="142"/>
      <c r="T147" s="142"/>
      <c r="U147" s="142"/>
      <c r="V147" s="58"/>
      <c r="X147" s="54"/>
      <c r="Y147" s="54"/>
      <c r="Z147" s="54"/>
    </row>
    <row r="148" spans="15:26">
      <c r="O148" s="59"/>
      <c r="P148" s="63"/>
      <c r="Q148" s="142"/>
      <c r="R148" s="142"/>
      <c r="S148" s="142"/>
      <c r="T148" s="142"/>
      <c r="U148" s="142"/>
      <c r="V148" s="58"/>
      <c r="X148" s="54"/>
      <c r="Y148" s="54"/>
      <c r="Z148" s="54"/>
    </row>
    <row r="149" spans="15:26">
      <c r="O149" s="59"/>
      <c r="P149" s="63"/>
      <c r="Q149" s="142"/>
      <c r="R149" s="142"/>
      <c r="S149" s="142"/>
      <c r="T149" s="142"/>
      <c r="U149" s="142"/>
      <c r="V149" s="58"/>
      <c r="X149" s="54"/>
      <c r="Y149" s="54"/>
      <c r="Z149" s="54"/>
    </row>
    <row r="150" spans="15:26">
      <c r="O150" s="59"/>
      <c r="P150" s="63"/>
      <c r="Q150" s="142"/>
      <c r="R150" s="142"/>
      <c r="S150" s="142"/>
      <c r="T150" s="142"/>
      <c r="U150" s="142"/>
      <c r="V150" s="58"/>
      <c r="X150" s="54"/>
      <c r="Y150" s="54"/>
      <c r="Z150" s="54"/>
    </row>
    <row r="151" spans="15:26">
      <c r="O151" s="59"/>
      <c r="P151" s="63"/>
      <c r="Q151" s="142"/>
      <c r="R151" s="142"/>
      <c r="S151" s="142"/>
      <c r="T151" s="142"/>
      <c r="U151" s="142"/>
      <c r="V151" s="58"/>
      <c r="X151" s="54"/>
      <c r="Y151" s="54"/>
      <c r="Z151" s="54"/>
    </row>
    <row r="152" spans="15:26">
      <c r="O152" s="59"/>
      <c r="P152" s="63"/>
      <c r="Q152" s="142"/>
      <c r="R152" s="142"/>
      <c r="S152" s="142"/>
      <c r="T152" s="142"/>
      <c r="U152" s="142"/>
      <c r="V152" s="58"/>
      <c r="X152" s="54"/>
      <c r="Y152" s="54"/>
      <c r="Z152" s="54"/>
    </row>
    <row r="153" spans="15:26">
      <c r="O153" s="59"/>
      <c r="P153" s="63"/>
      <c r="Q153" s="142"/>
      <c r="R153" s="142"/>
      <c r="S153" s="142"/>
      <c r="T153" s="142"/>
      <c r="U153" s="142"/>
      <c r="V153" s="58"/>
      <c r="X153" s="54"/>
      <c r="Y153" s="54"/>
      <c r="Z153" s="54"/>
    </row>
    <row r="154" spans="15:26">
      <c r="O154" s="59"/>
      <c r="P154" s="63"/>
      <c r="Q154" s="142"/>
      <c r="R154" s="142"/>
      <c r="S154" s="142"/>
      <c r="T154" s="142"/>
      <c r="U154" s="142"/>
      <c r="V154" s="58"/>
      <c r="X154" s="54"/>
      <c r="Y154" s="54"/>
      <c r="Z154" s="54"/>
    </row>
    <row r="155" spans="15:26">
      <c r="O155" s="59"/>
      <c r="P155" s="63"/>
      <c r="Q155" s="142"/>
      <c r="R155" s="142"/>
      <c r="S155" s="142"/>
      <c r="T155" s="142"/>
      <c r="U155" s="142"/>
      <c r="V155" s="58"/>
      <c r="X155" s="54"/>
      <c r="Y155" s="54"/>
      <c r="Z155" s="54"/>
    </row>
    <row r="156" spans="15:26">
      <c r="O156" s="59"/>
      <c r="P156" s="63"/>
      <c r="Q156" s="142"/>
      <c r="R156" s="142"/>
      <c r="S156" s="142"/>
      <c r="T156" s="142"/>
      <c r="U156" s="142"/>
      <c r="V156" s="58"/>
      <c r="X156" s="54"/>
      <c r="Y156" s="54"/>
      <c r="Z156" s="54"/>
    </row>
    <row r="157" spans="15:26">
      <c r="O157" s="59"/>
      <c r="P157" s="63"/>
      <c r="Q157" s="142"/>
      <c r="R157" s="142"/>
      <c r="S157" s="142"/>
      <c r="T157" s="142"/>
      <c r="U157" s="142"/>
      <c r="V157" s="58"/>
      <c r="X157" s="54"/>
      <c r="Y157" s="54"/>
      <c r="Z157" s="54"/>
    </row>
    <row r="158" spans="15:26">
      <c r="O158" s="59"/>
      <c r="P158" s="63"/>
      <c r="Q158" s="142"/>
      <c r="R158" s="142"/>
      <c r="S158" s="142"/>
      <c r="T158" s="142"/>
      <c r="U158" s="142"/>
      <c r="V158" s="58"/>
      <c r="X158" s="54"/>
      <c r="Y158" s="54"/>
      <c r="Z158" s="54"/>
    </row>
    <row r="159" spans="15:26">
      <c r="O159" s="59"/>
      <c r="P159" s="63"/>
      <c r="Q159" s="142"/>
      <c r="R159" s="142"/>
      <c r="S159" s="142"/>
      <c r="T159" s="142"/>
      <c r="U159" s="142"/>
      <c r="V159" s="58"/>
      <c r="X159" s="54"/>
      <c r="Y159" s="54"/>
      <c r="Z159" s="54"/>
    </row>
    <row r="160" spans="15:26">
      <c r="O160" s="59"/>
      <c r="P160" s="63"/>
      <c r="Q160" s="142"/>
      <c r="R160" s="142"/>
      <c r="S160" s="142"/>
      <c r="T160" s="142"/>
      <c r="U160" s="142"/>
      <c r="V160" s="58"/>
      <c r="X160" s="54"/>
      <c r="Y160" s="54"/>
      <c r="Z160" s="54"/>
    </row>
    <row r="161" spans="15:26">
      <c r="O161" s="59"/>
      <c r="P161" s="63"/>
      <c r="Q161" s="142"/>
      <c r="R161" s="142"/>
      <c r="S161" s="142"/>
      <c r="T161" s="142"/>
      <c r="U161" s="142"/>
      <c r="V161" s="58"/>
      <c r="X161" s="54"/>
      <c r="Y161" s="54"/>
      <c r="Z161" s="54"/>
    </row>
    <row r="162" spans="15:26">
      <c r="O162" s="59"/>
      <c r="P162" s="63"/>
      <c r="Q162" s="142"/>
      <c r="R162" s="142"/>
      <c r="S162" s="142"/>
      <c r="T162" s="142"/>
      <c r="U162" s="142"/>
      <c r="V162" s="58"/>
      <c r="X162" s="54"/>
      <c r="Y162" s="54"/>
      <c r="Z162" s="54"/>
    </row>
    <row r="163" spans="15:26">
      <c r="O163" s="59"/>
      <c r="P163" s="63"/>
      <c r="Q163" s="142"/>
      <c r="R163" s="142"/>
      <c r="S163" s="142"/>
      <c r="T163" s="142"/>
      <c r="U163" s="142"/>
      <c r="V163" s="58"/>
      <c r="X163" s="54"/>
      <c r="Y163" s="54"/>
      <c r="Z163" s="54"/>
    </row>
    <row r="164" spans="15:26">
      <c r="O164" s="59"/>
      <c r="P164" s="63"/>
      <c r="Q164" s="142"/>
      <c r="R164" s="142"/>
      <c r="S164" s="142"/>
      <c r="T164" s="142"/>
      <c r="U164" s="142"/>
      <c r="V164" s="58"/>
      <c r="X164" s="54"/>
      <c r="Y164" s="54"/>
      <c r="Z164" s="54"/>
    </row>
    <row r="165" spans="15:26">
      <c r="O165" s="59"/>
      <c r="P165" s="63"/>
      <c r="Q165" s="142"/>
      <c r="R165" s="142"/>
      <c r="S165" s="142"/>
      <c r="T165" s="142"/>
      <c r="U165" s="142"/>
      <c r="V165" s="58"/>
      <c r="X165" s="54"/>
      <c r="Y165" s="54"/>
      <c r="Z165" s="54"/>
    </row>
    <row r="166" spans="15:26">
      <c r="O166" s="59"/>
      <c r="P166" s="63"/>
      <c r="Q166" s="142"/>
      <c r="R166" s="142"/>
      <c r="S166" s="142"/>
      <c r="T166" s="142"/>
      <c r="U166" s="142"/>
      <c r="V166" s="58"/>
      <c r="X166" s="54"/>
      <c r="Y166" s="54"/>
      <c r="Z166" s="54"/>
    </row>
    <row r="167" spans="15:26">
      <c r="O167" s="59"/>
      <c r="P167" s="63"/>
      <c r="Q167" s="142"/>
      <c r="R167" s="142"/>
      <c r="S167" s="142"/>
      <c r="T167" s="142"/>
      <c r="U167" s="142"/>
      <c r="V167" s="58"/>
      <c r="X167" s="54"/>
      <c r="Y167" s="54"/>
      <c r="Z167" s="54"/>
    </row>
    <row r="168" spans="15:26">
      <c r="O168" s="59"/>
      <c r="P168" s="63"/>
      <c r="Q168" s="142"/>
      <c r="R168" s="142"/>
      <c r="S168" s="142"/>
      <c r="T168" s="142"/>
      <c r="U168" s="142"/>
      <c r="V168" s="58"/>
      <c r="X168" s="54"/>
      <c r="Y168" s="54"/>
      <c r="Z168" s="54"/>
    </row>
    <row r="169" spans="15:26">
      <c r="O169" s="59"/>
      <c r="P169" s="63"/>
      <c r="Q169" s="142"/>
      <c r="R169" s="142"/>
      <c r="S169" s="142"/>
      <c r="T169" s="142"/>
      <c r="U169" s="142"/>
      <c r="V169" s="58"/>
      <c r="X169" s="54"/>
      <c r="Y169" s="54"/>
      <c r="Z169" s="54"/>
    </row>
    <row r="170" spans="15:26">
      <c r="O170" s="59"/>
      <c r="P170" s="63"/>
      <c r="Q170" s="142"/>
      <c r="R170" s="142"/>
      <c r="S170" s="142"/>
      <c r="T170" s="142"/>
      <c r="U170" s="142"/>
      <c r="V170" s="58"/>
      <c r="X170" s="54"/>
      <c r="Y170" s="54"/>
      <c r="Z170" s="54"/>
    </row>
    <row r="171" spans="15:26">
      <c r="O171" s="59"/>
      <c r="P171" s="63"/>
      <c r="Q171" s="142"/>
      <c r="R171" s="142"/>
      <c r="S171" s="142"/>
      <c r="T171" s="142"/>
      <c r="U171" s="142"/>
      <c r="V171" s="58"/>
      <c r="X171" s="54"/>
      <c r="Y171" s="54"/>
      <c r="Z171" s="54"/>
    </row>
    <row r="172" spans="15:26">
      <c r="O172" s="59"/>
      <c r="P172" s="63"/>
      <c r="Q172" s="142"/>
      <c r="R172" s="142"/>
      <c r="S172" s="142"/>
      <c r="T172" s="142"/>
      <c r="U172" s="142"/>
      <c r="V172" s="58"/>
      <c r="X172" s="54"/>
      <c r="Y172" s="54"/>
      <c r="Z172" s="54"/>
    </row>
    <row r="173" spans="15:26">
      <c r="O173" s="59"/>
      <c r="P173" s="63"/>
      <c r="Q173" s="142"/>
      <c r="R173" s="142"/>
      <c r="S173" s="142"/>
      <c r="T173" s="142"/>
      <c r="U173" s="142"/>
      <c r="V173" s="58"/>
      <c r="X173" s="54"/>
      <c r="Y173" s="54"/>
      <c r="Z173" s="54"/>
    </row>
    <row r="174" spans="15:26">
      <c r="O174" s="59"/>
      <c r="P174" s="63"/>
      <c r="Q174" s="142"/>
      <c r="R174" s="142"/>
      <c r="S174" s="142"/>
      <c r="T174" s="142"/>
      <c r="U174" s="142"/>
      <c r="V174" s="58"/>
      <c r="X174" s="54"/>
      <c r="Y174" s="54"/>
      <c r="Z174" s="54"/>
    </row>
    <row r="175" spans="15:26">
      <c r="O175" s="59"/>
      <c r="P175" s="63"/>
      <c r="Q175" s="142"/>
      <c r="R175" s="142"/>
      <c r="S175" s="142"/>
      <c r="T175" s="142"/>
      <c r="U175" s="142"/>
      <c r="V175" s="58"/>
      <c r="X175" s="54"/>
      <c r="Y175" s="54"/>
      <c r="Z175" s="54"/>
    </row>
    <row r="176" spans="15:26">
      <c r="O176" s="60">
        <v>42339</v>
      </c>
      <c r="P176" s="63"/>
      <c r="Q176" s="142"/>
      <c r="R176" s="142"/>
      <c r="S176" s="142"/>
      <c r="T176" s="142"/>
      <c r="U176" s="142"/>
      <c r="V176" s="58"/>
      <c r="X176" s="54"/>
      <c r="Y176" s="54"/>
      <c r="Z176" s="54"/>
    </row>
    <row r="177" spans="15:26">
      <c r="O177" s="60"/>
      <c r="P177" s="63"/>
      <c r="Q177" s="142"/>
      <c r="R177" s="142"/>
      <c r="S177" s="142"/>
      <c r="T177" s="142"/>
      <c r="U177" s="142"/>
      <c r="V177" s="58"/>
      <c r="X177" s="54"/>
      <c r="Y177" s="54"/>
      <c r="Z177" s="54"/>
    </row>
    <row r="178" spans="15:26">
      <c r="O178" s="59"/>
      <c r="P178" s="63"/>
      <c r="Q178" s="142"/>
      <c r="R178" s="142"/>
      <c r="S178" s="142"/>
      <c r="T178" s="142"/>
      <c r="U178" s="142"/>
      <c r="V178" s="58"/>
      <c r="X178" s="54"/>
      <c r="Y178" s="54"/>
      <c r="Z178" s="54"/>
    </row>
    <row r="179" spans="15:26">
      <c r="O179" s="59"/>
      <c r="P179" s="63"/>
      <c r="Q179" s="142"/>
      <c r="R179" s="142"/>
      <c r="S179" s="142"/>
      <c r="T179" s="142"/>
      <c r="U179" s="142"/>
      <c r="V179" s="58"/>
      <c r="X179" s="54"/>
      <c r="Y179" s="54"/>
      <c r="Z179" s="54"/>
    </row>
    <row r="180" spans="15:26">
      <c r="O180" s="59"/>
      <c r="P180" s="63"/>
      <c r="Q180" s="142"/>
      <c r="R180" s="142"/>
      <c r="S180" s="142"/>
      <c r="T180" s="142"/>
      <c r="U180" s="142"/>
      <c r="V180" s="58"/>
      <c r="X180" s="54"/>
      <c r="Y180" s="54"/>
      <c r="Z180" s="54"/>
    </row>
    <row r="181" spans="15:26">
      <c r="O181" s="59"/>
      <c r="P181" s="63"/>
      <c r="Q181" s="142"/>
      <c r="R181" s="142"/>
      <c r="S181" s="142"/>
      <c r="T181" s="142"/>
      <c r="U181" s="142"/>
      <c r="V181" s="58"/>
      <c r="X181" s="54"/>
      <c r="Y181" s="54"/>
      <c r="Z181" s="54"/>
    </row>
    <row r="182" spans="15:26">
      <c r="O182" s="59"/>
      <c r="P182" s="63"/>
      <c r="Q182" s="142"/>
      <c r="R182" s="142"/>
      <c r="S182" s="142"/>
      <c r="T182" s="142"/>
      <c r="U182" s="142"/>
      <c r="V182" s="58"/>
      <c r="X182" s="54"/>
      <c r="Y182" s="54"/>
      <c r="Z182" s="54"/>
    </row>
    <row r="183" spans="15:26">
      <c r="O183" s="59"/>
      <c r="P183" s="63"/>
      <c r="Q183" s="142"/>
      <c r="R183" s="142"/>
      <c r="S183" s="142"/>
      <c r="T183" s="142"/>
      <c r="U183" s="142"/>
      <c r="V183" s="58"/>
      <c r="X183" s="54"/>
      <c r="Y183" s="54"/>
      <c r="Z183" s="54"/>
    </row>
    <row r="184" spans="15:26">
      <c r="O184" s="59"/>
      <c r="P184" s="63"/>
      <c r="Q184" s="142"/>
      <c r="R184" s="142"/>
      <c r="S184" s="142"/>
      <c r="T184" s="142"/>
      <c r="U184" s="142"/>
      <c r="V184" s="58"/>
      <c r="X184" s="54"/>
      <c r="Y184" s="54"/>
      <c r="Z184" s="54"/>
    </row>
    <row r="185" spans="15:26">
      <c r="O185" s="59"/>
      <c r="P185" s="63"/>
      <c r="Q185" s="142"/>
      <c r="R185" s="142"/>
      <c r="S185" s="142"/>
      <c r="T185" s="142"/>
      <c r="U185" s="142"/>
      <c r="V185" s="58"/>
      <c r="X185" s="54"/>
      <c r="Y185" s="54"/>
      <c r="Z185" s="54"/>
    </row>
    <row r="186" spans="15:26">
      <c r="O186" s="59"/>
      <c r="P186" s="63"/>
      <c r="Q186" s="142"/>
      <c r="R186" s="142"/>
      <c r="S186" s="142"/>
      <c r="T186" s="142"/>
      <c r="U186" s="142"/>
      <c r="V186" s="58"/>
      <c r="X186" s="54"/>
      <c r="Y186" s="54"/>
      <c r="Z186" s="54"/>
    </row>
    <row r="187" spans="15:26">
      <c r="O187" s="59"/>
      <c r="P187" s="63"/>
      <c r="Q187" s="142"/>
      <c r="R187" s="142"/>
      <c r="S187" s="142"/>
      <c r="T187" s="142"/>
      <c r="U187" s="142"/>
      <c r="V187" s="58"/>
      <c r="X187" s="54"/>
      <c r="Y187" s="54"/>
      <c r="Z187" s="54"/>
    </row>
    <row r="188" spans="15:26">
      <c r="O188" s="59"/>
      <c r="P188" s="63"/>
      <c r="Q188" s="142"/>
      <c r="R188" s="142"/>
      <c r="S188" s="142"/>
      <c r="T188" s="142"/>
      <c r="U188" s="142"/>
      <c r="V188" s="58"/>
      <c r="X188" s="54"/>
      <c r="Y188" s="54"/>
      <c r="Z188" s="54"/>
    </row>
    <row r="189" spans="15:26">
      <c r="O189" s="59"/>
      <c r="P189" s="63"/>
      <c r="Q189" s="142"/>
      <c r="R189" s="142"/>
      <c r="S189" s="142"/>
      <c r="T189" s="142"/>
      <c r="U189" s="142"/>
      <c r="V189" s="58"/>
      <c r="X189" s="54"/>
      <c r="Y189" s="54"/>
      <c r="Z189" s="54"/>
    </row>
    <row r="190" spans="15:26">
      <c r="O190" s="59"/>
      <c r="P190" s="63"/>
      <c r="Q190" s="142"/>
      <c r="R190" s="142"/>
      <c r="S190" s="142"/>
      <c r="T190" s="142"/>
      <c r="U190" s="142"/>
      <c r="V190" s="58"/>
      <c r="X190" s="54"/>
      <c r="Y190" s="54"/>
      <c r="Z190" s="54"/>
    </row>
    <row r="191" spans="15:26">
      <c r="O191" s="59"/>
      <c r="P191" s="63"/>
      <c r="Q191" s="142"/>
      <c r="R191" s="142"/>
      <c r="S191" s="142"/>
      <c r="T191" s="142"/>
      <c r="U191" s="142"/>
      <c r="V191" s="58"/>
      <c r="X191" s="54"/>
      <c r="Y191" s="54"/>
      <c r="Z191" s="54"/>
    </row>
    <row r="192" spans="15:26">
      <c r="O192" s="59"/>
      <c r="P192" s="63"/>
      <c r="Q192" s="142"/>
      <c r="R192" s="142"/>
      <c r="S192" s="142"/>
      <c r="T192" s="142"/>
      <c r="U192" s="142"/>
      <c r="V192" s="58"/>
      <c r="X192" s="54"/>
      <c r="Y192" s="54"/>
      <c r="Z192" s="54"/>
    </row>
    <row r="193" spans="15:26">
      <c r="O193" s="59"/>
      <c r="P193" s="63"/>
      <c r="Q193" s="142"/>
      <c r="R193" s="142"/>
      <c r="S193" s="142"/>
      <c r="T193" s="142"/>
      <c r="U193" s="142"/>
      <c r="V193" s="58"/>
      <c r="X193" s="54"/>
      <c r="Y193" s="54"/>
      <c r="Z193" s="54"/>
    </row>
    <row r="194" spans="15:26">
      <c r="O194" s="59"/>
      <c r="P194" s="63"/>
      <c r="Q194" s="142"/>
      <c r="R194" s="142"/>
      <c r="S194" s="142"/>
      <c r="T194" s="142"/>
      <c r="U194" s="142"/>
      <c r="V194" s="58"/>
      <c r="X194" s="54"/>
      <c r="Y194" s="54"/>
      <c r="Z194" s="54"/>
    </row>
    <row r="195" spans="15:26">
      <c r="O195" s="59"/>
      <c r="P195" s="63"/>
      <c r="Q195" s="142"/>
      <c r="R195" s="142"/>
      <c r="S195" s="142"/>
      <c r="T195" s="142"/>
      <c r="U195" s="142"/>
      <c r="V195" s="58"/>
      <c r="X195" s="54"/>
      <c r="Y195" s="54"/>
      <c r="Z195" s="54"/>
    </row>
    <row r="196" spans="15:26">
      <c r="O196" s="59"/>
      <c r="P196" s="63"/>
      <c r="Q196" s="142"/>
      <c r="R196" s="142"/>
      <c r="S196" s="142"/>
      <c r="T196" s="142"/>
      <c r="U196" s="142"/>
      <c r="V196" s="58"/>
      <c r="X196" s="54"/>
      <c r="Y196" s="54"/>
      <c r="Z196" s="54"/>
    </row>
    <row r="197" spans="15:26">
      <c r="O197" s="59"/>
      <c r="P197" s="63"/>
      <c r="Q197" s="142"/>
      <c r="R197" s="142"/>
      <c r="S197" s="142"/>
      <c r="T197" s="142"/>
      <c r="U197" s="142"/>
      <c r="V197" s="58"/>
      <c r="X197" s="54"/>
      <c r="Y197" s="54"/>
      <c r="Z197" s="54"/>
    </row>
    <row r="198" spans="15:26">
      <c r="O198" s="59"/>
      <c r="P198" s="63"/>
      <c r="Q198" s="142"/>
      <c r="R198" s="142"/>
      <c r="S198" s="142"/>
      <c r="T198" s="142"/>
      <c r="U198" s="142"/>
      <c r="V198" s="58"/>
      <c r="X198" s="54"/>
      <c r="Y198" s="54"/>
      <c r="Z198" s="54"/>
    </row>
    <row r="199" spans="15:26">
      <c r="O199" s="59"/>
      <c r="P199" s="63"/>
      <c r="Q199" s="142"/>
      <c r="R199" s="142"/>
      <c r="S199" s="142"/>
      <c r="T199" s="142"/>
      <c r="U199" s="142"/>
      <c r="V199" s="58"/>
      <c r="X199" s="54"/>
      <c r="Y199" s="54"/>
      <c r="Z199" s="54"/>
    </row>
    <row r="200" spans="15:26">
      <c r="O200" s="59"/>
      <c r="P200" s="63"/>
      <c r="Q200" s="142"/>
      <c r="R200" s="142"/>
      <c r="S200" s="142"/>
      <c r="T200" s="142"/>
      <c r="U200" s="142"/>
      <c r="V200" s="58"/>
      <c r="X200" s="54"/>
      <c r="Y200" s="54"/>
      <c r="Z200" s="54"/>
    </row>
    <row r="201" spans="15:26">
      <c r="O201" s="59"/>
      <c r="P201" s="63"/>
      <c r="Q201" s="142"/>
      <c r="R201" s="142"/>
      <c r="S201" s="142"/>
      <c r="T201" s="142"/>
      <c r="U201" s="142"/>
      <c r="V201" s="58"/>
      <c r="X201" s="54"/>
      <c r="Y201" s="54"/>
      <c r="Z201" s="54"/>
    </row>
    <row r="202" spans="15:26">
      <c r="O202" s="59"/>
      <c r="P202" s="63"/>
      <c r="Q202" s="142"/>
      <c r="R202" s="142"/>
      <c r="S202" s="142"/>
      <c r="T202" s="142"/>
      <c r="U202" s="142"/>
      <c r="V202" s="58"/>
      <c r="X202" s="54"/>
      <c r="Y202" s="54"/>
      <c r="Z202" s="54"/>
    </row>
    <row r="203" spans="15:26">
      <c r="O203" s="59"/>
      <c r="P203" s="63"/>
      <c r="Q203" s="142"/>
      <c r="R203" s="142"/>
      <c r="S203" s="142"/>
      <c r="T203" s="142"/>
      <c r="U203" s="142"/>
      <c r="V203" s="58"/>
      <c r="X203" s="54"/>
      <c r="Y203" s="54"/>
      <c r="Z203" s="54"/>
    </row>
    <row r="204" spans="15:26">
      <c r="O204" s="59"/>
      <c r="P204" s="63"/>
      <c r="Q204" s="142"/>
      <c r="R204" s="142"/>
      <c r="S204" s="142"/>
      <c r="T204" s="142"/>
      <c r="U204" s="142"/>
      <c r="V204" s="58"/>
      <c r="X204" s="54"/>
      <c r="Y204" s="54"/>
      <c r="Z204" s="54"/>
    </row>
    <row r="205" spans="15:26">
      <c r="O205" s="59"/>
      <c r="P205" s="63"/>
      <c r="Q205" s="142"/>
      <c r="R205" s="142"/>
      <c r="S205" s="142"/>
      <c r="T205" s="142"/>
      <c r="U205" s="142"/>
      <c r="V205" s="58"/>
      <c r="X205" s="54"/>
      <c r="Y205" s="54"/>
      <c r="Z205" s="54"/>
    </row>
    <row r="206" spans="15:26">
      <c r="O206" s="59"/>
      <c r="P206" s="63"/>
      <c r="Q206" s="142"/>
      <c r="R206" s="142"/>
      <c r="S206" s="142"/>
      <c r="T206" s="142"/>
      <c r="U206" s="142"/>
      <c r="V206" s="58"/>
      <c r="X206" s="54"/>
      <c r="Y206" s="54"/>
      <c r="Z206" s="54"/>
    </row>
    <row r="207" spans="15:26">
      <c r="O207" s="60">
        <v>42370</v>
      </c>
      <c r="P207" s="63"/>
      <c r="Q207" s="142"/>
      <c r="R207" s="142"/>
      <c r="S207" s="142"/>
      <c r="T207" s="142"/>
      <c r="U207" s="142"/>
      <c r="V207" s="58"/>
      <c r="X207" s="54"/>
      <c r="Y207" s="54"/>
      <c r="Z207" s="54"/>
    </row>
    <row r="208" spans="15:26">
      <c r="O208" s="60"/>
      <c r="P208" s="63"/>
      <c r="Q208" s="142"/>
      <c r="R208" s="142"/>
      <c r="S208" s="142"/>
      <c r="T208" s="142"/>
      <c r="U208" s="142"/>
      <c r="V208" s="58"/>
      <c r="X208" s="54"/>
      <c r="Y208" s="54"/>
      <c r="Z208" s="54"/>
    </row>
    <row r="209" spans="15:26">
      <c r="O209" s="59"/>
      <c r="P209" s="63"/>
      <c r="Q209" s="142"/>
      <c r="R209" s="142"/>
      <c r="S209" s="142"/>
      <c r="T209" s="142"/>
      <c r="U209" s="142"/>
      <c r="V209" s="58"/>
      <c r="X209" s="54"/>
      <c r="Y209" s="54"/>
      <c r="Z209" s="54"/>
    </row>
    <row r="210" spans="15:26">
      <c r="O210" s="59"/>
      <c r="P210" s="63"/>
      <c r="Q210" s="142"/>
      <c r="R210" s="142"/>
      <c r="S210" s="142"/>
      <c r="T210" s="142"/>
      <c r="U210" s="142"/>
      <c r="V210" s="58"/>
      <c r="X210" s="54"/>
      <c r="Y210" s="54"/>
      <c r="Z210" s="54"/>
    </row>
    <row r="211" spans="15:26">
      <c r="O211" s="59"/>
      <c r="P211" s="63"/>
      <c r="Q211" s="142"/>
      <c r="R211" s="142"/>
      <c r="S211" s="142"/>
      <c r="T211" s="142"/>
      <c r="U211" s="142"/>
      <c r="V211" s="58"/>
      <c r="X211" s="54"/>
      <c r="Y211" s="54"/>
      <c r="Z211" s="54"/>
    </row>
    <row r="212" spans="15:26">
      <c r="O212" s="59"/>
      <c r="P212" s="63"/>
      <c r="Q212" s="142"/>
      <c r="R212" s="142"/>
      <c r="S212" s="142"/>
      <c r="T212" s="142"/>
      <c r="U212" s="142"/>
      <c r="V212" s="58"/>
      <c r="X212" s="54"/>
      <c r="Y212" s="54"/>
      <c r="Z212" s="54"/>
    </row>
    <row r="213" spans="15:26">
      <c r="O213" s="59"/>
      <c r="P213" s="63"/>
      <c r="Q213" s="142"/>
      <c r="R213" s="142"/>
      <c r="S213" s="142"/>
      <c r="T213" s="142"/>
      <c r="U213" s="142"/>
      <c r="V213" s="58"/>
      <c r="X213" s="54"/>
      <c r="Y213" s="54"/>
      <c r="Z213" s="54"/>
    </row>
    <row r="214" spans="15:26">
      <c r="O214" s="59"/>
      <c r="P214" s="63"/>
      <c r="Q214" s="142"/>
      <c r="R214" s="142"/>
      <c r="S214" s="142"/>
      <c r="T214" s="142"/>
      <c r="U214" s="142"/>
      <c r="V214" s="58"/>
      <c r="X214" s="54"/>
      <c r="Y214" s="54"/>
      <c r="Z214" s="54"/>
    </row>
    <row r="215" spans="15:26">
      <c r="O215" s="59"/>
      <c r="P215" s="63"/>
      <c r="Q215" s="142"/>
      <c r="R215" s="142"/>
      <c r="S215" s="142"/>
      <c r="T215" s="142"/>
      <c r="U215" s="142"/>
      <c r="V215" s="58"/>
      <c r="X215" s="54"/>
      <c r="Y215" s="54"/>
      <c r="Z215" s="54"/>
    </row>
    <row r="216" spans="15:26">
      <c r="O216" s="59"/>
      <c r="P216" s="63"/>
      <c r="Q216" s="142"/>
      <c r="R216" s="142"/>
      <c r="S216" s="142"/>
      <c r="T216" s="142"/>
      <c r="U216" s="142"/>
      <c r="V216" s="58"/>
      <c r="X216" s="54"/>
      <c r="Y216" s="54"/>
      <c r="Z216" s="54"/>
    </row>
    <row r="217" spans="15:26">
      <c r="O217" s="59"/>
      <c r="P217" s="63"/>
      <c r="Q217" s="142"/>
      <c r="R217" s="142"/>
      <c r="S217" s="142"/>
      <c r="T217" s="142"/>
      <c r="U217" s="142"/>
      <c r="V217" s="58"/>
      <c r="X217" s="54"/>
      <c r="Y217" s="54"/>
      <c r="Z217" s="54"/>
    </row>
    <row r="218" spans="15:26">
      <c r="O218" s="59"/>
      <c r="P218" s="63"/>
      <c r="Q218" s="142"/>
      <c r="R218" s="142"/>
      <c r="S218" s="142"/>
      <c r="T218" s="142"/>
      <c r="U218" s="142"/>
      <c r="V218" s="58"/>
      <c r="X218" s="54"/>
      <c r="Y218" s="54"/>
      <c r="Z218" s="54"/>
    </row>
    <row r="219" spans="15:26">
      <c r="O219" s="59"/>
      <c r="P219" s="63"/>
      <c r="Q219" s="142"/>
      <c r="R219" s="142"/>
      <c r="S219" s="142"/>
      <c r="T219" s="142"/>
      <c r="U219" s="142"/>
      <c r="V219" s="58"/>
      <c r="X219" s="54"/>
      <c r="Y219" s="54"/>
      <c r="Z219" s="54"/>
    </row>
    <row r="220" spans="15:26">
      <c r="O220" s="59"/>
      <c r="P220" s="63"/>
      <c r="Q220" s="142"/>
      <c r="R220" s="142"/>
      <c r="S220" s="142"/>
      <c r="T220" s="142"/>
      <c r="U220" s="142"/>
      <c r="V220" s="58"/>
      <c r="X220" s="54"/>
      <c r="Y220" s="54"/>
      <c r="Z220" s="54"/>
    </row>
    <row r="221" spans="15:26">
      <c r="O221" s="59"/>
      <c r="P221" s="63"/>
      <c r="Q221" s="142"/>
      <c r="R221" s="142"/>
      <c r="S221" s="142"/>
      <c r="T221" s="142"/>
      <c r="U221" s="142"/>
      <c r="V221" s="58"/>
      <c r="X221" s="54"/>
      <c r="Y221" s="54"/>
      <c r="Z221" s="54"/>
    </row>
    <row r="222" spans="15:26">
      <c r="O222" s="59"/>
      <c r="P222" s="63"/>
      <c r="Q222" s="142"/>
      <c r="R222" s="142"/>
      <c r="S222" s="142"/>
      <c r="T222" s="142"/>
      <c r="U222" s="142"/>
      <c r="V222" s="58"/>
      <c r="X222" s="54"/>
      <c r="Y222" s="54"/>
      <c r="Z222" s="54"/>
    </row>
    <row r="223" spans="15:26">
      <c r="O223" s="59"/>
      <c r="P223" s="63"/>
      <c r="Q223" s="142"/>
      <c r="R223" s="142"/>
      <c r="S223" s="142"/>
      <c r="T223" s="142"/>
      <c r="U223" s="142"/>
      <c r="V223" s="58"/>
      <c r="X223" s="54"/>
      <c r="Y223" s="54"/>
      <c r="Z223" s="54"/>
    </row>
    <row r="224" spans="15:26">
      <c r="O224" s="59"/>
      <c r="P224" s="63"/>
      <c r="Q224" s="142"/>
      <c r="R224" s="142"/>
      <c r="S224" s="142"/>
      <c r="T224" s="142"/>
      <c r="U224" s="142"/>
      <c r="V224" s="58"/>
      <c r="X224" s="54"/>
      <c r="Y224" s="54"/>
      <c r="Z224" s="54"/>
    </row>
    <row r="225" spans="15:26">
      <c r="O225" s="59"/>
      <c r="P225" s="63"/>
      <c r="Q225" s="142"/>
      <c r="R225" s="142"/>
      <c r="S225" s="142"/>
      <c r="T225" s="142"/>
      <c r="U225" s="142"/>
      <c r="V225" s="58"/>
      <c r="X225" s="54"/>
      <c r="Y225" s="54"/>
      <c r="Z225" s="54"/>
    </row>
    <row r="226" spans="15:26">
      <c r="O226" s="59"/>
      <c r="P226" s="63"/>
      <c r="Q226" s="142"/>
      <c r="R226" s="142"/>
      <c r="S226" s="142"/>
      <c r="T226" s="142"/>
      <c r="U226" s="142"/>
      <c r="V226" s="58"/>
      <c r="X226" s="54"/>
      <c r="Y226" s="54"/>
      <c r="Z226" s="54"/>
    </row>
    <row r="227" spans="15:26">
      <c r="O227" s="59"/>
      <c r="P227" s="63"/>
      <c r="Q227" s="142"/>
      <c r="R227" s="142"/>
      <c r="S227" s="142"/>
      <c r="T227" s="142"/>
      <c r="U227" s="142"/>
      <c r="V227" s="58"/>
      <c r="X227" s="54"/>
      <c r="Y227" s="54"/>
      <c r="Z227" s="54"/>
    </row>
    <row r="228" spans="15:26">
      <c r="O228" s="59"/>
      <c r="P228" s="63"/>
      <c r="Q228" s="142"/>
      <c r="R228" s="142"/>
      <c r="S228" s="142"/>
      <c r="T228" s="142"/>
      <c r="U228" s="142"/>
      <c r="V228" s="58"/>
      <c r="X228" s="54"/>
      <c r="Y228" s="54"/>
      <c r="Z228" s="54"/>
    </row>
    <row r="229" spans="15:26">
      <c r="O229" s="59"/>
      <c r="P229" s="63"/>
      <c r="Q229" s="142"/>
      <c r="R229" s="142"/>
      <c r="S229" s="142"/>
      <c r="T229" s="142"/>
      <c r="U229" s="142"/>
      <c r="V229" s="58"/>
      <c r="X229" s="54"/>
      <c r="Y229" s="54"/>
      <c r="Z229" s="54"/>
    </row>
    <row r="230" spans="15:26">
      <c r="O230" s="59"/>
      <c r="P230" s="63"/>
      <c r="Q230" s="142"/>
      <c r="R230" s="142"/>
      <c r="S230" s="142"/>
      <c r="T230" s="142"/>
      <c r="U230" s="142"/>
      <c r="V230" s="58"/>
      <c r="X230" s="54"/>
      <c r="Y230" s="54"/>
      <c r="Z230" s="54"/>
    </row>
    <row r="231" spans="15:26">
      <c r="O231" s="59"/>
      <c r="P231" s="63"/>
      <c r="Q231" s="142"/>
      <c r="R231" s="142"/>
      <c r="S231" s="142"/>
      <c r="T231" s="142"/>
      <c r="U231" s="142"/>
      <c r="V231" s="58"/>
      <c r="X231" s="54"/>
      <c r="Y231" s="54"/>
      <c r="Z231" s="54"/>
    </row>
    <row r="232" spans="15:26">
      <c r="O232" s="59"/>
      <c r="P232" s="63"/>
      <c r="Q232" s="142"/>
      <c r="R232" s="142"/>
      <c r="S232" s="142"/>
      <c r="T232" s="142"/>
      <c r="U232" s="142"/>
      <c r="V232" s="58"/>
      <c r="X232" s="54"/>
      <c r="Y232" s="54"/>
      <c r="Z232" s="54"/>
    </row>
    <row r="233" spans="15:26">
      <c r="O233" s="59"/>
      <c r="P233" s="63"/>
      <c r="Q233" s="142"/>
      <c r="R233" s="142"/>
      <c r="S233" s="142"/>
      <c r="T233" s="142"/>
      <c r="U233" s="142"/>
      <c r="V233" s="58"/>
      <c r="X233" s="54"/>
      <c r="Y233" s="54"/>
      <c r="Z233" s="54"/>
    </row>
    <row r="234" spans="15:26">
      <c r="O234" s="59"/>
      <c r="P234" s="63"/>
      <c r="Q234" s="142"/>
      <c r="R234" s="142"/>
      <c r="S234" s="142"/>
      <c r="T234" s="142"/>
      <c r="U234" s="142"/>
      <c r="V234" s="58"/>
      <c r="X234" s="54"/>
      <c r="Y234" s="54"/>
      <c r="Z234" s="54"/>
    </row>
    <row r="235" spans="15:26">
      <c r="O235" s="59"/>
      <c r="P235" s="63"/>
      <c r="Q235" s="142"/>
      <c r="R235" s="142"/>
      <c r="S235" s="142"/>
      <c r="T235" s="142"/>
      <c r="U235" s="142"/>
      <c r="V235" s="58"/>
      <c r="X235" s="54"/>
      <c r="Y235" s="54"/>
      <c r="Z235" s="54"/>
    </row>
    <row r="236" spans="15:26">
      <c r="O236" s="59"/>
      <c r="P236" s="63"/>
      <c r="Q236" s="142"/>
      <c r="R236" s="142"/>
      <c r="S236" s="142"/>
      <c r="T236" s="142"/>
      <c r="U236" s="142"/>
      <c r="V236" s="58"/>
      <c r="X236" s="54"/>
      <c r="Y236" s="54"/>
      <c r="Z236" s="54"/>
    </row>
    <row r="237" spans="15:26">
      <c r="O237" s="59"/>
      <c r="P237" s="63"/>
      <c r="Q237" s="142"/>
      <c r="R237" s="142"/>
      <c r="S237" s="142"/>
      <c r="T237" s="142"/>
      <c r="U237" s="142"/>
      <c r="V237" s="58"/>
      <c r="X237" s="54"/>
      <c r="Y237" s="54"/>
      <c r="Z237" s="54"/>
    </row>
    <row r="238" spans="15:26">
      <c r="O238" s="60">
        <v>42401</v>
      </c>
      <c r="P238" s="63"/>
      <c r="Q238" s="142"/>
      <c r="R238" s="142"/>
      <c r="S238" s="142"/>
      <c r="T238" s="142"/>
      <c r="U238" s="142"/>
      <c r="V238" s="58"/>
      <c r="X238" s="54"/>
      <c r="Y238" s="54"/>
      <c r="Z238" s="54"/>
    </row>
    <row r="239" spans="15:26">
      <c r="O239" s="60"/>
      <c r="P239" s="63"/>
      <c r="Q239" s="142"/>
      <c r="R239" s="142"/>
      <c r="S239" s="142"/>
      <c r="T239" s="142"/>
      <c r="U239" s="142"/>
      <c r="V239" s="58"/>
      <c r="X239" s="54"/>
      <c r="Y239" s="54"/>
      <c r="Z239" s="54"/>
    </row>
    <row r="240" spans="15:26">
      <c r="O240" s="59"/>
      <c r="P240" s="63"/>
      <c r="Q240" s="142"/>
      <c r="R240" s="142"/>
      <c r="S240" s="142"/>
      <c r="T240" s="142"/>
      <c r="U240" s="142"/>
      <c r="V240" s="58"/>
      <c r="X240" s="54"/>
      <c r="Y240" s="54"/>
      <c r="Z240" s="54"/>
    </row>
    <row r="241" spans="15:26">
      <c r="O241" s="59"/>
      <c r="P241" s="63"/>
      <c r="Q241" s="142"/>
      <c r="R241" s="142"/>
      <c r="S241" s="142"/>
      <c r="T241" s="142"/>
      <c r="U241" s="142"/>
      <c r="V241" s="58"/>
      <c r="X241" s="54"/>
      <c r="Y241" s="54"/>
      <c r="Z241" s="54"/>
    </row>
    <row r="242" spans="15:26">
      <c r="O242" s="59"/>
      <c r="P242" s="63"/>
      <c r="Q242" s="142"/>
      <c r="R242" s="142"/>
      <c r="S242" s="142"/>
      <c r="T242" s="142"/>
      <c r="U242" s="142"/>
      <c r="V242" s="58"/>
      <c r="X242" s="54"/>
      <c r="Y242" s="54"/>
      <c r="Z242" s="54"/>
    </row>
    <row r="243" spans="15:26">
      <c r="O243" s="59"/>
      <c r="P243" s="63"/>
      <c r="Q243" s="142"/>
      <c r="R243" s="142"/>
      <c r="S243" s="142"/>
      <c r="T243" s="142"/>
      <c r="U243" s="142"/>
      <c r="V243" s="58"/>
      <c r="X243" s="54"/>
      <c r="Y243" s="54"/>
      <c r="Z243" s="54"/>
    </row>
    <row r="244" spans="15:26">
      <c r="O244" s="59"/>
      <c r="P244" s="63"/>
      <c r="Q244" s="142"/>
      <c r="R244" s="142"/>
      <c r="S244" s="142"/>
      <c r="T244" s="142"/>
      <c r="U244" s="142"/>
      <c r="V244" s="58"/>
      <c r="X244" s="54"/>
      <c r="Y244" s="54"/>
      <c r="Z244" s="54"/>
    </row>
    <row r="245" spans="15:26">
      <c r="O245" s="59"/>
      <c r="P245" s="63"/>
      <c r="Q245" s="142"/>
      <c r="R245" s="142"/>
      <c r="S245" s="142"/>
      <c r="T245" s="142"/>
      <c r="U245" s="142"/>
      <c r="V245" s="58"/>
      <c r="X245" s="54"/>
      <c r="Y245" s="54"/>
      <c r="Z245" s="54"/>
    </row>
    <row r="246" spans="15:26">
      <c r="O246" s="59"/>
      <c r="P246" s="63"/>
      <c r="Q246" s="142"/>
      <c r="R246" s="142"/>
      <c r="S246" s="142"/>
      <c r="T246" s="142"/>
      <c r="U246" s="142"/>
      <c r="V246" s="58"/>
      <c r="X246" s="54"/>
      <c r="Y246" s="54"/>
      <c r="Z246" s="54"/>
    </row>
    <row r="247" spans="15:26">
      <c r="O247" s="59"/>
      <c r="P247" s="63"/>
      <c r="Q247" s="142"/>
      <c r="R247" s="142"/>
      <c r="S247" s="142"/>
      <c r="T247" s="142"/>
      <c r="U247" s="142"/>
      <c r="V247" s="58"/>
      <c r="X247" s="54"/>
      <c r="Y247" s="54"/>
      <c r="Z247" s="54"/>
    </row>
    <row r="248" spans="15:26">
      <c r="O248" s="59"/>
      <c r="P248" s="63"/>
      <c r="Q248" s="142"/>
      <c r="R248" s="142"/>
      <c r="S248" s="142"/>
      <c r="T248" s="142"/>
      <c r="U248" s="142"/>
      <c r="V248" s="58"/>
      <c r="X248" s="54"/>
      <c r="Y248" s="54"/>
      <c r="Z248" s="54"/>
    </row>
    <row r="249" spans="15:26">
      <c r="O249" s="59"/>
      <c r="P249" s="63"/>
      <c r="Q249" s="142"/>
      <c r="R249" s="142"/>
      <c r="S249" s="142"/>
      <c r="T249" s="142"/>
      <c r="U249" s="142"/>
      <c r="V249" s="58"/>
      <c r="X249" s="54"/>
      <c r="Y249" s="54"/>
      <c r="Z249" s="54"/>
    </row>
    <row r="250" spans="15:26">
      <c r="O250" s="59"/>
      <c r="P250" s="63"/>
      <c r="Q250" s="142"/>
      <c r="R250" s="142"/>
      <c r="S250" s="142"/>
      <c r="T250" s="142"/>
      <c r="U250" s="142"/>
      <c r="V250" s="58"/>
      <c r="X250" s="54"/>
      <c r="Y250" s="54"/>
      <c r="Z250" s="54"/>
    </row>
    <row r="251" spans="15:26">
      <c r="O251" s="59"/>
      <c r="P251" s="63"/>
      <c r="Q251" s="142"/>
      <c r="R251" s="142"/>
      <c r="S251" s="142"/>
      <c r="T251" s="142"/>
      <c r="U251" s="142"/>
      <c r="V251" s="58"/>
      <c r="X251" s="54"/>
      <c r="Y251" s="54"/>
      <c r="Z251" s="54"/>
    </row>
    <row r="252" spans="15:26">
      <c r="O252" s="59"/>
      <c r="P252" s="63"/>
      <c r="Q252" s="142"/>
      <c r="R252" s="142"/>
      <c r="S252" s="142"/>
      <c r="T252" s="142"/>
      <c r="U252" s="142"/>
      <c r="V252" s="58"/>
      <c r="X252" s="54"/>
      <c r="Y252" s="54"/>
      <c r="Z252" s="54"/>
    </row>
    <row r="253" spans="15:26">
      <c r="O253" s="59"/>
      <c r="P253" s="63"/>
      <c r="Q253" s="142"/>
      <c r="R253" s="142"/>
      <c r="S253" s="142"/>
      <c r="T253" s="142"/>
      <c r="U253" s="142"/>
      <c r="V253" s="58"/>
      <c r="X253" s="54"/>
      <c r="Y253" s="54"/>
      <c r="Z253" s="54"/>
    </row>
    <row r="254" spans="15:26">
      <c r="O254" s="59"/>
      <c r="P254" s="63"/>
      <c r="Q254" s="142"/>
      <c r="R254" s="142"/>
      <c r="S254" s="142"/>
      <c r="T254" s="142"/>
      <c r="U254" s="142"/>
      <c r="V254" s="58"/>
      <c r="X254" s="54"/>
      <c r="Y254" s="54"/>
      <c r="Z254" s="54"/>
    </row>
    <row r="255" spans="15:26">
      <c r="O255" s="59"/>
      <c r="P255" s="63"/>
      <c r="Q255" s="142"/>
      <c r="R255" s="142"/>
      <c r="S255" s="142"/>
      <c r="T255" s="142"/>
      <c r="U255" s="142"/>
      <c r="V255" s="58"/>
      <c r="X255" s="54"/>
      <c r="Y255" s="54"/>
      <c r="Z255" s="54"/>
    </row>
    <row r="256" spans="15:26">
      <c r="O256" s="59"/>
      <c r="P256" s="63"/>
      <c r="Q256" s="142"/>
      <c r="R256" s="142"/>
      <c r="S256" s="142"/>
      <c r="T256" s="142"/>
      <c r="U256" s="142"/>
      <c r="V256" s="58"/>
      <c r="X256" s="54"/>
      <c r="Y256" s="54"/>
      <c r="Z256" s="54"/>
    </row>
    <row r="257" spans="15:26">
      <c r="O257" s="59"/>
      <c r="P257" s="63"/>
      <c r="Q257" s="142"/>
      <c r="R257" s="142"/>
      <c r="S257" s="142"/>
      <c r="T257" s="142"/>
      <c r="U257" s="142"/>
      <c r="V257" s="58"/>
      <c r="X257" s="54"/>
      <c r="Y257" s="54"/>
      <c r="Z257" s="54"/>
    </row>
    <row r="258" spans="15:26">
      <c r="O258" s="59"/>
      <c r="P258" s="63"/>
      <c r="Q258" s="142"/>
      <c r="R258" s="142"/>
      <c r="S258" s="142"/>
      <c r="T258" s="142"/>
      <c r="U258" s="142"/>
      <c r="V258" s="58"/>
      <c r="X258" s="54"/>
      <c r="Y258" s="54"/>
      <c r="Z258" s="54"/>
    </row>
    <row r="259" spans="15:26">
      <c r="O259" s="59"/>
      <c r="P259" s="63"/>
      <c r="Q259" s="142"/>
      <c r="R259" s="142"/>
      <c r="S259" s="142"/>
      <c r="T259" s="142"/>
      <c r="U259" s="142"/>
      <c r="V259" s="58"/>
      <c r="X259" s="54"/>
      <c r="Y259" s="54"/>
      <c r="Z259" s="54"/>
    </row>
    <row r="260" spans="15:26">
      <c r="O260" s="59"/>
      <c r="P260" s="63"/>
      <c r="Q260" s="142"/>
      <c r="R260" s="142"/>
      <c r="S260" s="142"/>
      <c r="T260" s="142"/>
      <c r="U260" s="142"/>
      <c r="V260" s="58"/>
      <c r="X260" s="54"/>
      <c r="Y260" s="54"/>
      <c r="Z260" s="54"/>
    </row>
    <row r="261" spans="15:26">
      <c r="O261" s="59"/>
      <c r="P261" s="63"/>
      <c r="Q261" s="142"/>
      <c r="R261" s="142"/>
      <c r="S261" s="142"/>
      <c r="T261" s="142"/>
      <c r="U261" s="142"/>
      <c r="V261" s="58"/>
      <c r="X261" s="54"/>
      <c r="Y261" s="54"/>
      <c r="Z261" s="54"/>
    </row>
    <row r="262" spans="15:26">
      <c r="O262" s="59"/>
      <c r="P262" s="63"/>
      <c r="Q262" s="142"/>
      <c r="R262" s="142"/>
      <c r="S262" s="142"/>
      <c r="T262" s="142"/>
      <c r="U262" s="142"/>
      <c r="V262" s="58"/>
      <c r="X262" s="54"/>
      <c r="Y262" s="54"/>
      <c r="Z262" s="54"/>
    </row>
    <row r="263" spans="15:26">
      <c r="O263" s="59"/>
      <c r="P263" s="63"/>
      <c r="Q263" s="142"/>
      <c r="R263" s="142"/>
      <c r="S263" s="142"/>
      <c r="T263" s="142"/>
      <c r="U263" s="142"/>
      <c r="V263" s="58"/>
      <c r="X263" s="54"/>
      <c r="Y263" s="54"/>
      <c r="Z263" s="54"/>
    </row>
    <row r="264" spans="15:26">
      <c r="O264" s="59"/>
      <c r="P264" s="63"/>
      <c r="Q264" s="142"/>
      <c r="R264" s="142"/>
      <c r="S264" s="142"/>
      <c r="T264" s="142"/>
      <c r="U264" s="142"/>
      <c r="V264" s="58"/>
      <c r="X264" s="54"/>
      <c r="Y264" s="54"/>
      <c r="Z264" s="54"/>
    </row>
    <row r="265" spans="15:26">
      <c r="O265" s="59"/>
      <c r="P265" s="63"/>
      <c r="Q265" s="142"/>
      <c r="R265" s="142"/>
      <c r="S265" s="142"/>
      <c r="T265" s="142"/>
      <c r="U265" s="142"/>
      <c r="V265" s="58"/>
      <c r="X265" s="54"/>
      <c r="Y265" s="54"/>
      <c r="Z265" s="54"/>
    </row>
    <row r="266" spans="15:26">
      <c r="O266" s="59"/>
      <c r="P266" s="63"/>
      <c r="Q266" s="142"/>
      <c r="R266" s="142"/>
      <c r="S266" s="142"/>
      <c r="T266" s="142"/>
      <c r="U266" s="142"/>
      <c r="V266" s="58"/>
      <c r="X266" s="54"/>
      <c r="Y266" s="54"/>
      <c r="Z266" s="54"/>
    </row>
    <row r="267" spans="15:26">
      <c r="O267" s="60">
        <v>42430</v>
      </c>
      <c r="P267" s="63"/>
      <c r="Q267" s="142"/>
      <c r="R267" s="142"/>
      <c r="S267" s="142"/>
      <c r="T267" s="142"/>
      <c r="U267" s="142"/>
      <c r="V267" s="58"/>
      <c r="X267" s="54"/>
      <c r="Y267" s="54"/>
      <c r="Z267" s="54"/>
    </row>
    <row r="268" spans="15:26">
      <c r="O268" s="59"/>
      <c r="P268" s="63"/>
      <c r="Q268" s="142"/>
      <c r="R268" s="142"/>
      <c r="S268" s="142"/>
      <c r="T268" s="142"/>
      <c r="U268" s="142"/>
      <c r="V268" s="58"/>
      <c r="X268" s="54"/>
      <c r="Y268" s="54"/>
      <c r="Z268" s="54"/>
    </row>
    <row r="269" spans="15:26">
      <c r="O269" s="60"/>
      <c r="P269" s="63"/>
      <c r="Q269" s="142"/>
      <c r="R269" s="142"/>
      <c r="S269" s="142"/>
      <c r="T269" s="142"/>
      <c r="U269" s="142"/>
      <c r="V269" s="58"/>
      <c r="X269" s="54"/>
      <c r="Y269" s="54"/>
      <c r="Z269" s="54"/>
    </row>
    <row r="270" spans="15:26">
      <c r="O270" s="60"/>
      <c r="P270" s="63"/>
      <c r="Q270" s="142"/>
      <c r="R270" s="142"/>
      <c r="S270" s="142"/>
      <c r="T270" s="142"/>
      <c r="U270" s="142"/>
      <c r="V270" s="58"/>
      <c r="X270" s="54"/>
      <c r="Y270" s="54"/>
      <c r="Z270" s="54"/>
    </row>
    <row r="271" spans="15:26">
      <c r="O271" s="59"/>
      <c r="P271" s="63"/>
      <c r="Q271" s="142"/>
      <c r="R271" s="142"/>
      <c r="S271" s="142"/>
      <c r="T271" s="142"/>
      <c r="U271" s="142"/>
      <c r="V271" s="58"/>
      <c r="X271" s="54"/>
      <c r="Y271" s="54"/>
      <c r="Z271" s="54"/>
    </row>
    <row r="272" spans="15:26">
      <c r="O272" s="59"/>
      <c r="P272" s="63"/>
      <c r="Q272" s="142"/>
      <c r="R272" s="142"/>
      <c r="S272" s="142"/>
      <c r="T272" s="142"/>
      <c r="U272" s="142"/>
      <c r="V272" s="58"/>
      <c r="X272" s="54"/>
      <c r="Y272" s="54"/>
      <c r="Z272" s="54"/>
    </row>
    <row r="273" spans="15:26">
      <c r="O273" s="59"/>
      <c r="P273" s="63"/>
      <c r="Q273" s="142"/>
      <c r="R273" s="142"/>
      <c r="S273" s="142"/>
      <c r="T273" s="142"/>
      <c r="U273" s="142"/>
      <c r="V273" s="58"/>
      <c r="X273" s="54"/>
      <c r="Y273" s="54"/>
      <c r="Z273" s="54"/>
    </row>
    <row r="274" spans="15:26">
      <c r="O274" s="59"/>
      <c r="P274" s="63"/>
      <c r="Q274" s="142"/>
      <c r="R274" s="142"/>
      <c r="S274" s="142"/>
      <c r="T274" s="142"/>
      <c r="U274" s="142"/>
      <c r="V274" s="58"/>
      <c r="X274" s="54"/>
      <c r="Y274" s="54"/>
      <c r="Z274" s="54"/>
    </row>
    <row r="275" spans="15:26">
      <c r="O275" s="59"/>
      <c r="P275" s="63"/>
      <c r="Q275" s="142"/>
      <c r="R275" s="142"/>
      <c r="S275" s="142"/>
      <c r="T275" s="142"/>
      <c r="U275" s="142"/>
      <c r="V275" s="58"/>
      <c r="X275" s="54"/>
      <c r="Y275" s="54"/>
      <c r="Z275" s="54"/>
    </row>
    <row r="276" spans="15:26">
      <c r="O276" s="59"/>
      <c r="P276" s="63"/>
      <c r="Q276" s="142"/>
      <c r="R276" s="142"/>
      <c r="S276" s="142"/>
      <c r="T276" s="142"/>
      <c r="U276" s="142"/>
      <c r="V276" s="58"/>
      <c r="X276" s="54"/>
      <c r="Y276" s="54"/>
      <c r="Z276" s="54"/>
    </row>
    <row r="277" spans="15:26">
      <c r="O277" s="59"/>
      <c r="P277" s="63"/>
      <c r="Q277" s="142"/>
      <c r="R277" s="142"/>
      <c r="S277" s="142"/>
      <c r="T277" s="142"/>
      <c r="U277" s="142"/>
      <c r="V277" s="58"/>
      <c r="X277" s="54"/>
      <c r="Y277" s="54"/>
      <c r="Z277" s="54"/>
    </row>
    <row r="278" spans="15:26">
      <c r="O278" s="59"/>
      <c r="P278" s="63"/>
      <c r="Q278" s="142"/>
      <c r="R278" s="142"/>
      <c r="S278" s="142"/>
      <c r="T278" s="142"/>
      <c r="U278" s="142"/>
      <c r="V278" s="58"/>
      <c r="X278" s="54"/>
      <c r="Y278" s="54"/>
      <c r="Z278" s="54"/>
    </row>
    <row r="279" spans="15:26">
      <c r="O279" s="59"/>
      <c r="P279" s="63"/>
      <c r="Q279" s="142"/>
      <c r="R279" s="142"/>
      <c r="S279" s="142"/>
      <c r="T279" s="142"/>
      <c r="U279" s="142"/>
      <c r="V279" s="58"/>
      <c r="X279" s="54"/>
      <c r="Y279" s="54"/>
      <c r="Z279" s="54"/>
    </row>
    <row r="280" spans="15:26">
      <c r="O280" s="59"/>
      <c r="P280" s="63"/>
      <c r="Q280" s="142"/>
      <c r="R280" s="142"/>
      <c r="S280" s="142"/>
      <c r="T280" s="142"/>
      <c r="U280" s="142"/>
      <c r="V280" s="58"/>
      <c r="X280" s="54"/>
      <c r="Y280" s="54"/>
      <c r="Z280" s="54"/>
    </row>
    <row r="281" spans="15:26">
      <c r="O281" s="59"/>
      <c r="P281" s="63"/>
      <c r="Q281" s="142"/>
      <c r="R281" s="142"/>
      <c r="S281" s="142"/>
      <c r="T281" s="142"/>
      <c r="U281" s="142"/>
      <c r="V281" s="58"/>
      <c r="X281" s="54"/>
      <c r="Y281" s="54"/>
      <c r="Z281" s="54"/>
    </row>
    <row r="282" spans="15:26">
      <c r="O282" s="59"/>
      <c r="P282" s="63"/>
      <c r="Q282" s="142"/>
      <c r="R282" s="142"/>
      <c r="S282" s="142"/>
      <c r="T282" s="142"/>
      <c r="U282" s="142"/>
      <c r="V282" s="58"/>
      <c r="X282" s="54"/>
      <c r="Y282" s="54"/>
      <c r="Z282" s="54"/>
    </row>
    <row r="283" spans="15:26">
      <c r="O283" s="59"/>
      <c r="P283" s="63"/>
      <c r="Q283" s="142"/>
      <c r="R283" s="142"/>
      <c r="S283" s="142"/>
      <c r="T283" s="142"/>
      <c r="U283" s="142"/>
      <c r="V283" s="58"/>
      <c r="X283" s="54"/>
      <c r="Y283" s="54"/>
      <c r="Z283" s="54"/>
    </row>
    <row r="284" spans="15:26">
      <c r="O284" s="59"/>
      <c r="P284" s="63"/>
      <c r="Q284" s="142"/>
      <c r="R284" s="142"/>
      <c r="S284" s="142"/>
      <c r="T284" s="142"/>
      <c r="U284" s="142"/>
      <c r="V284" s="58"/>
      <c r="X284" s="54"/>
      <c r="Y284" s="54"/>
      <c r="Z284" s="54"/>
    </row>
    <row r="285" spans="15:26">
      <c r="O285" s="59"/>
      <c r="P285" s="63"/>
      <c r="Q285" s="142"/>
      <c r="R285" s="142"/>
      <c r="S285" s="142"/>
      <c r="T285" s="142"/>
      <c r="U285" s="142"/>
      <c r="V285" s="58"/>
      <c r="X285" s="54"/>
      <c r="Y285" s="54"/>
      <c r="Z285" s="54"/>
    </row>
    <row r="286" spans="15:26">
      <c r="O286" s="59"/>
      <c r="P286" s="63"/>
      <c r="Q286" s="142"/>
      <c r="R286" s="142"/>
      <c r="S286" s="142"/>
      <c r="T286" s="142"/>
      <c r="U286" s="142"/>
      <c r="V286" s="58"/>
      <c r="X286" s="54"/>
      <c r="Y286" s="54"/>
      <c r="Z286" s="54"/>
    </row>
    <row r="287" spans="15:26">
      <c r="O287" s="59"/>
      <c r="P287" s="63"/>
      <c r="Q287" s="142"/>
      <c r="R287" s="142"/>
      <c r="S287" s="142"/>
      <c r="T287" s="142"/>
      <c r="U287" s="142"/>
      <c r="V287" s="58"/>
      <c r="X287" s="54"/>
      <c r="Y287" s="54"/>
      <c r="Z287" s="54"/>
    </row>
    <row r="288" spans="15:26">
      <c r="O288" s="59"/>
      <c r="P288" s="63"/>
      <c r="Q288" s="142"/>
      <c r="R288" s="142"/>
      <c r="S288" s="142"/>
      <c r="T288" s="142"/>
      <c r="U288" s="142"/>
      <c r="V288" s="58"/>
      <c r="X288" s="54"/>
      <c r="Y288" s="54"/>
      <c r="Z288" s="54"/>
    </row>
    <row r="289" spans="15:26">
      <c r="O289" s="59"/>
      <c r="P289" s="63"/>
      <c r="Q289" s="142"/>
      <c r="R289" s="142"/>
      <c r="S289" s="142"/>
      <c r="T289" s="142"/>
      <c r="U289" s="142"/>
      <c r="V289" s="58"/>
      <c r="X289" s="54"/>
      <c r="Y289" s="54"/>
      <c r="Z289" s="54"/>
    </row>
    <row r="290" spans="15:26">
      <c r="O290" s="59"/>
      <c r="P290" s="63"/>
      <c r="Q290" s="142"/>
      <c r="R290" s="142"/>
      <c r="S290" s="142"/>
      <c r="T290" s="142"/>
      <c r="U290" s="142"/>
      <c r="V290" s="58"/>
      <c r="X290" s="54"/>
      <c r="Y290" s="54"/>
      <c r="Z290" s="54"/>
    </row>
    <row r="291" spans="15:26">
      <c r="O291" s="59"/>
      <c r="P291" s="63"/>
      <c r="Q291" s="142"/>
      <c r="R291" s="142"/>
      <c r="S291" s="142"/>
      <c r="T291" s="142"/>
      <c r="U291" s="142"/>
      <c r="V291" s="58"/>
      <c r="X291" s="54"/>
      <c r="Y291" s="54"/>
      <c r="Z291" s="54"/>
    </row>
    <row r="292" spans="15:26">
      <c r="O292" s="59"/>
      <c r="P292" s="63"/>
      <c r="Q292" s="142"/>
      <c r="R292" s="142"/>
      <c r="S292" s="142"/>
      <c r="T292" s="142"/>
      <c r="U292" s="142"/>
      <c r="V292" s="58"/>
      <c r="X292" s="54"/>
      <c r="Y292" s="54"/>
      <c r="Z292" s="54"/>
    </row>
    <row r="293" spans="15:26">
      <c r="O293" s="59"/>
      <c r="P293" s="63"/>
      <c r="Q293" s="142"/>
      <c r="R293" s="142"/>
      <c r="S293" s="142"/>
      <c r="T293" s="142"/>
      <c r="U293" s="142"/>
      <c r="V293" s="58"/>
      <c r="X293" s="54"/>
      <c r="Y293" s="54"/>
      <c r="Z293" s="54"/>
    </row>
    <row r="294" spans="15:26">
      <c r="O294" s="59"/>
      <c r="P294" s="63"/>
      <c r="Q294" s="142"/>
      <c r="R294" s="142"/>
      <c r="S294" s="142"/>
      <c r="T294" s="142"/>
      <c r="U294" s="142"/>
      <c r="V294" s="58"/>
      <c r="X294" s="54"/>
      <c r="Y294" s="54"/>
      <c r="Z294" s="54"/>
    </row>
    <row r="295" spans="15:26">
      <c r="O295" s="59"/>
      <c r="P295" s="63"/>
      <c r="Q295" s="142"/>
      <c r="R295" s="142"/>
      <c r="S295" s="142"/>
      <c r="T295" s="142"/>
      <c r="U295" s="142"/>
      <c r="V295" s="58"/>
      <c r="X295" s="54"/>
      <c r="Y295" s="54"/>
      <c r="Z295" s="54"/>
    </row>
    <row r="296" spans="15:26">
      <c r="O296" s="59"/>
      <c r="P296" s="63"/>
      <c r="Q296" s="142"/>
      <c r="R296" s="142"/>
      <c r="S296" s="142"/>
      <c r="T296" s="142"/>
      <c r="U296" s="142"/>
      <c r="V296" s="58"/>
      <c r="X296" s="54"/>
      <c r="Y296" s="54"/>
      <c r="Z296" s="54"/>
    </row>
    <row r="297" spans="15:26">
      <c r="O297" s="60"/>
      <c r="P297" s="63"/>
      <c r="Q297" s="142"/>
      <c r="R297" s="142"/>
      <c r="S297" s="142"/>
      <c r="T297" s="142"/>
      <c r="U297" s="142"/>
      <c r="V297" s="58"/>
      <c r="X297" s="54"/>
      <c r="Y297" s="54"/>
      <c r="Z297" s="54"/>
    </row>
    <row r="298" spans="15:26">
      <c r="O298" s="60">
        <v>42461</v>
      </c>
      <c r="P298" s="63"/>
      <c r="Q298" s="142"/>
      <c r="R298" s="142"/>
      <c r="S298" s="142"/>
      <c r="T298" s="142"/>
      <c r="U298" s="142"/>
      <c r="V298" s="58"/>
      <c r="X298" s="54"/>
      <c r="Y298" s="54"/>
      <c r="Z298" s="54"/>
    </row>
    <row r="299" spans="15:26">
      <c r="O299" s="59"/>
      <c r="P299" s="63"/>
      <c r="Q299" s="142"/>
      <c r="R299" s="142"/>
      <c r="S299" s="142"/>
      <c r="T299" s="142"/>
      <c r="U299" s="142"/>
      <c r="V299" s="58"/>
      <c r="X299" s="54"/>
      <c r="Y299" s="54"/>
      <c r="Z299" s="54"/>
    </row>
    <row r="300" spans="15:26">
      <c r="O300" s="59"/>
      <c r="P300" s="63"/>
      <c r="Q300" s="142"/>
      <c r="R300" s="142"/>
      <c r="S300" s="142"/>
      <c r="T300" s="142"/>
      <c r="U300" s="142"/>
      <c r="V300" s="58"/>
      <c r="X300" s="54"/>
      <c r="Y300" s="54"/>
      <c r="Z300" s="54"/>
    </row>
    <row r="301" spans="15:26">
      <c r="O301" s="59"/>
      <c r="P301" s="63"/>
      <c r="Q301" s="142"/>
      <c r="R301" s="142"/>
      <c r="S301" s="142"/>
      <c r="T301" s="142"/>
      <c r="U301" s="142"/>
      <c r="V301" s="58"/>
      <c r="X301" s="54"/>
      <c r="Y301" s="54"/>
      <c r="Z301" s="54"/>
    </row>
    <row r="302" spans="15:26">
      <c r="O302" s="59"/>
      <c r="P302" s="63"/>
      <c r="Q302" s="142"/>
      <c r="R302" s="142"/>
      <c r="S302" s="142"/>
      <c r="T302" s="142"/>
      <c r="U302" s="142"/>
      <c r="V302" s="58"/>
      <c r="X302" s="54"/>
      <c r="Y302" s="54"/>
      <c r="Z302" s="54"/>
    </row>
    <row r="303" spans="15:26">
      <c r="O303" s="59"/>
      <c r="P303" s="63"/>
      <c r="Q303" s="142"/>
      <c r="R303" s="142"/>
      <c r="S303" s="142"/>
      <c r="T303" s="142"/>
      <c r="U303" s="142"/>
      <c r="V303" s="58"/>
      <c r="X303" s="54"/>
      <c r="Y303" s="54"/>
      <c r="Z303" s="54"/>
    </row>
    <row r="304" spans="15:26">
      <c r="O304" s="59"/>
      <c r="P304" s="63"/>
      <c r="Q304" s="142"/>
      <c r="R304" s="142"/>
      <c r="S304" s="142"/>
      <c r="T304" s="142"/>
      <c r="U304" s="142"/>
      <c r="V304" s="58"/>
      <c r="X304" s="54"/>
      <c r="Y304" s="54"/>
      <c r="Z304" s="54"/>
    </row>
    <row r="305" spans="15:26">
      <c r="O305" s="59"/>
      <c r="P305" s="63"/>
      <c r="Q305" s="142"/>
      <c r="R305" s="142"/>
      <c r="S305" s="142"/>
      <c r="T305" s="142"/>
      <c r="U305" s="142"/>
      <c r="V305" s="58"/>
      <c r="X305" s="54"/>
      <c r="Y305" s="54"/>
      <c r="Z305" s="54"/>
    </row>
    <row r="306" spans="15:26">
      <c r="O306" s="59"/>
      <c r="P306" s="63"/>
      <c r="Q306" s="142"/>
      <c r="R306" s="142"/>
      <c r="S306" s="142"/>
      <c r="T306" s="142"/>
      <c r="U306" s="142"/>
      <c r="V306" s="58"/>
      <c r="X306" s="54"/>
      <c r="Y306" s="54"/>
      <c r="Z306" s="54"/>
    </row>
    <row r="307" spans="15:26">
      <c r="O307" s="59"/>
      <c r="P307" s="63"/>
      <c r="Q307" s="142"/>
      <c r="R307" s="142"/>
      <c r="S307" s="142"/>
      <c r="T307" s="142"/>
      <c r="U307" s="142"/>
      <c r="V307" s="58"/>
      <c r="X307" s="54"/>
      <c r="Y307" s="54"/>
      <c r="Z307" s="54"/>
    </row>
    <row r="308" spans="15:26">
      <c r="O308" s="59"/>
      <c r="P308" s="63"/>
      <c r="Q308" s="142"/>
      <c r="R308" s="142"/>
      <c r="S308" s="142"/>
      <c r="T308" s="142"/>
      <c r="U308" s="142"/>
      <c r="V308" s="58"/>
      <c r="X308" s="54"/>
      <c r="Y308" s="54"/>
      <c r="Z308" s="54"/>
    </row>
    <row r="309" spans="15:26">
      <c r="O309" s="59"/>
      <c r="P309" s="63"/>
      <c r="Q309" s="142"/>
      <c r="R309" s="142"/>
      <c r="S309" s="142"/>
      <c r="T309" s="142"/>
      <c r="U309" s="142"/>
      <c r="V309" s="58"/>
      <c r="X309" s="54"/>
      <c r="Y309" s="54"/>
      <c r="Z309" s="54"/>
    </row>
    <row r="310" spans="15:26">
      <c r="O310" s="59"/>
      <c r="P310" s="63"/>
      <c r="Q310" s="142"/>
      <c r="R310" s="142"/>
      <c r="S310" s="142"/>
      <c r="T310" s="142"/>
      <c r="U310" s="142"/>
      <c r="V310" s="58"/>
      <c r="X310" s="54"/>
      <c r="Y310" s="54"/>
      <c r="Z310" s="54"/>
    </row>
    <row r="311" spans="15:26">
      <c r="O311" s="59"/>
      <c r="P311" s="63"/>
      <c r="Q311" s="142"/>
      <c r="R311" s="142"/>
      <c r="S311" s="142"/>
      <c r="T311" s="142"/>
      <c r="U311" s="142"/>
      <c r="V311" s="58"/>
      <c r="X311" s="54"/>
      <c r="Y311" s="54"/>
      <c r="Z311" s="54"/>
    </row>
    <row r="312" spans="15:26">
      <c r="O312" s="59"/>
      <c r="P312" s="63"/>
      <c r="Q312" s="142"/>
      <c r="R312" s="142"/>
      <c r="S312" s="142"/>
      <c r="T312" s="142"/>
      <c r="U312" s="142"/>
      <c r="V312" s="58"/>
      <c r="X312" s="54"/>
      <c r="Y312" s="54"/>
      <c r="Z312" s="54"/>
    </row>
    <row r="313" spans="15:26">
      <c r="O313" s="59"/>
      <c r="P313" s="63"/>
      <c r="Q313" s="142"/>
      <c r="R313" s="142"/>
      <c r="S313" s="142"/>
      <c r="T313" s="142"/>
      <c r="U313" s="142"/>
      <c r="V313" s="58"/>
      <c r="X313" s="54"/>
      <c r="Y313" s="54"/>
      <c r="Z313" s="54"/>
    </row>
    <row r="314" spans="15:26">
      <c r="O314" s="59"/>
      <c r="P314" s="63"/>
      <c r="Q314" s="142"/>
      <c r="R314" s="142"/>
      <c r="S314" s="142"/>
      <c r="T314" s="142"/>
      <c r="U314" s="142"/>
      <c r="V314" s="58"/>
      <c r="X314" s="54"/>
      <c r="Y314" s="54"/>
      <c r="Z314" s="54"/>
    </row>
    <row r="315" spans="15:26">
      <c r="O315" s="59"/>
      <c r="P315" s="63"/>
      <c r="Q315" s="142"/>
      <c r="R315" s="142"/>
      <c r="S315" s="142"/>
      <c r="T315" s="142"/>
      <c r="U315" s="142"/>
      <c r="V315" s="58"/>
      <c r="X315" s="54"/>
      <c r="Y315" s="54"/>
      <c r="Z315" s="54"/>
    </row>
    <row r="316" spans="15:26">
      <c r="O316" s="59"/>
      <c r="P316" s="63"/>
      <c r="Q316" s="142"/>
      <c r="R316" s="142"/>
      <c r="S316" s="142"/>
      <c r="T316" s="142"/>
      <c r="U316" s="142"/>
      <c r="V316" s="58"/>
      <c r="X316" s="54"/>
      <c r="Y316" s="54"/>
      <c r="Z316" s="54"/>
    </row>
    <row r="317" spans="15:26">
      <c r="O317" s="59"/>
      <c r="P317" s="63"/>
      <c r="Q317" s="142"/>
      <c r="R317" s="142"/>
      <c r="S317" s="142"/>
      <c r="T317" s="142"/>
      <c r="U317" s="142"/>
      <c r="V317" s="58"/>
      <c r="X317" s="54"/>
      <c r="Y317" s="54"/>
      <c r="Z317" s="54"/>
    </row>
    <row r="318" spans="15:26">
      <c r="O318" s="59"/>
      <c r="P318" s="63"/>
      <c r="Q318" s="142"/>
      <c r="R318" s="142"/>
      <c r="S318" s="142"/>
      <c r="T318" s="142"/>
      <c r="U318" s="142"/>
      <c r="V318" s="58"/>
      <c r="X318" s="54"/>
      <c r="Y318" s="54"/>
      <c r="Z318" s="54"/>
    </row>
    <row r="319" spans="15:26">
      <c r="O319" s="59"/>
      <c r="P319" s="63"/>
      <c r="Q319" s="142"/>
      <c r="R319" s="142"/>
      <c r="S319" s="142"/>
      <c r="T319" s="142"/>
      <c r="U319" s="142"/>
      <c r="V319" s="58"/>
      <c r="X319" s="54"/>
      <c r="Y319" s="54"/>
      <c r="Z319" s="54"/>
    </row>
    <row r="320" spans="15:26">
      <c r="O320" s="59"/>
      <c r="P320" s="63"/>
      <c r="Q320" s="142"/>
      <c r="R320" s="142"/>
      <c r="S320" s="142"/>
      <c r="T320" s="142"/>
      <c r="U320" s="142"/>
      <c r="V320" s="58"/>
      <c r="X320" s="54"/>
      <c r="Y320" s="54"/>
      <c r="Z320" s="54"/>
    </row>
    <row r="321" spans="15:26">
      <c r="O321" s="59"/>
      <c r="P321" s="63"/>
      <c r="Q321" s="142"/>
      <c r="R321" s="142"/>
      <c r="S321" s="142"/>
      <c r="T321" s="142"/>
      <c r="U321" s="142"/>
      <c r="V321" s="58"/>
      <c r="X321" s="54"/>
      <c r="Y321" s="54"/>
      <c r="Z321" s="54"/>
    </row>
    <row r="322" spans="15:26">
      <c r="O322" s="59"/>
      <c r="P322" s="63"/>
      <c r="Q322" s="142"/>
      <c r="R322" s="142"/>
      <c r="S322" s="142"/>
      <c r="T322" s="142"/>
      <c r="U322" s="142"/>
      <c r="V322" s="58"/>
      <c r="X322" s="54"/>
      <c r="Y322" s="54"/>
      <c r="Z322" s="54"/>
    </row>
    <row r="323" spans="15:26">
      <c r="O323" s="59"/>
      <c r="P323" s="63"/>
      <c r="Q323" s="142"/>
      <c r="R323" s="142"/>
      <c r="S323" s="142"/>
      <c r="T323" s="142"/>
      <c r="U323" s="142"/>
      <c r="V323" s="58"/>
      <c r="X323" s="54"/>
      <c r="Y323" s="54"/>
      <c r="Z323" s="54"/>
    </row>
    <row r="324" spans="15:26">
      <c r="O324" s="59"/>
      <c r="P324" s="63"/>
      <c r="Q324" s="142"/>
      <c r="R324" s="142"/>
      <c r="S324" s="142"/>
      <c r="T324" s="142"/>
      <c r="U324" s="142"/>
      <c r="V324" s="58"/>
      <c r="X324" s="54"/>
      <c r="Y324" s="54"/>
      <c r="Z324" s="54"/>
    </row>
    <row r="325" spans="15:26">
      <c r="O325" s="59"/>
      <c r="P325" s="63"/>
      <c r="Q325" s="142"/>
      <c r="R325" s="142"/>
      <c r="S325" s="142"/>
      <c r="T325" s="142"/>
      <c r="U325" s="142"/>
      <c r="V325" s="58"/>
      <c r="X325" s="54"/>
      <c r="Y325" s="54"/>
      <c r="Z325" s="54"/>
    </row>
    <row r="326" spans="15:26">
      <c r="O326" s="59"/>
      <c r="P326" s="63"/>
      <c r="Q326" s="142"/>
      <c r="R326" s="142"/>
      <c r="S326" s="142"/>
      <c r="T326" s="142"/>
      <c r="U326" s="142"/>
      <c r="V326" s="58"/>
      <c r="X326" s="54"/>
      <c r="Y326" s="54"/>
      <c r="Z326" s="54"/>
    </row>
    <row r="327" spans="15:26">
      <c r="O327" s="59"/>
      <c r="P327" s="63"/>
      <c r="Q327" s="142"/>
      <c r="R327" s="142"/>
      <c r="S327" s="142"/>
      <c r="T327" s="142"/>
      <c r="U327" s="142"/>
      <c r="V327" s="58"/>
      <c r="X327" s="54"/>
      <c r="Y327" s="54"/>
      <c r="Z327" s="54"/>
    </row>
    <row r="328" spans="15:26">
      <c r="O328" s="60">
        <v>42491</v>
      </c>
      <c r="P328" s="63"/>
      <c r="Q328" s="142"/>
      <c r="R328" s="142"/>
      <c r="S328" s="142"/>
      <c r="T328" s="142"/>
      <c r="U328" s="142"/>
      <c r="V328" s="58"/>
      <c r="X328" s="54"/>
      <c r="Y328" s="54"/>
      <c r="Z328" s="54"/>
    </row>
    <row r="329" spans="15:26">
      <c r="O329" s="60"/>
      <c r="P329" s="63"/>
      <c r="Q329" s="142"/>
      <c r="R329" s="142"/>
      <c r="S329" s="142"/>
      <c r="T329" s="142"/>
      <c r="U329" s="142"/>
      <c r="V329" s="58"/>
      <c r="X329" s="54"/>
      <c r="Y329" s="54"/>
      <c r="Z329" s="54"/>
    </row>
    <row r="330" spans="15:26">
      <c r="O330" s="59"/>
      <c r="P330" s="63"/>
      <c r="Q330" s="142"/>
      <c r="R330" s="142"/>
      <c r="S330" s="142"/>
      <c r="T330" s="142"/>
      <c r="U330" s="142"/>
      <c r="V330" s="58"/>
      <c r="X330" s="54"/>
      <c r="Y330" s="54"/>
      <c r="Z330" s="54"/>
    </row>
    <row r="331" spans="15:26">
      <c r="O331" s="59"/>
      <c r="P331" s="63"/>
      <c r="Q331" s="142"/>
      <c r="R331" s="142"/>
      <c r="S331" s="142"/>
      <c r="T331" s="142"/>
      <c r="U331" s="142"/>
      <c r="V331" s="58"/>
      <c r="X331" s="54"/>
      <c r="Y331" s="54"/>
      <c r="Z331" s="54"/>
    </row>
    <row r="332" spans="15:26">
      <c r="O332" s="59"/>
      <c r="P332" s="63"/>
      <c r="Q332" s="142"/>
      <c r="R332" s="142"/>
      <c r="S332" s="142"/>
      <c r="T332" s="142"/>
      <c r="U332" s="142"/>
      <c r="V332" s="58"/>
      <c r="X332" s="54"/>
      <c r="Y332" s="54"/>
      <c r="Z332" s="54"/>
    </row>
    <row r="333" spans="15:26">
      <c r="O333" s="59"/>
      <c r="P333" s="63"/>
      <c r="Q333" s="142"/>
      <c r="R333" s="142"/>
      <c r="S333" s="142"/>
      <c r="T333" s="142"/>
      <c r="U333" s="142"/>
      <c r="V333" s="58"/>
      <c r="X333" s="54"/>
      <c r="Y333" s="54"/>
      <c r="Z333" s="54"/>
    </row>
    <row r="334" spans="15:26">
      <c r="O334" s="59"/>
      <c r="P334" s="63"/>
      <c r="Q334" s="142"/>
      <c r="R334" s="142"/>
      <c r="S334" s="142"/>
      <c r="T334" s="142"/>
      <c r="U334" s="142"/>
      <c r="V334" s="58"/>
      <c r="X334" s="54"/>
      <c r="Y334" s="54"/>
      <c r="Z334" s="54"/>
    </row>
    <row r="335" spans="15:26">
      <c r="O335" s="59"/>
      <c r="P335" s="63"/>
      <c r="Q335" s="142"/>
      <c r="R335" s="142"/>
      <c r="S335" s="142"/>
      <c r="T335" s="142"/>
      <c r="U335" s="142"/>
      <c r="V335" s="58"/>
      <c r="X335" s="54"/>
      <c r="Y335" s="54"/>
      <c r="Z335" s="54"/>
    </row>
    <row r="336" spans="15:26">
      <c r="O336" s="59"/>
      <c r="P336" s="63"/>
      <c r="Q336" s="142"/>
      <c r="R336" s="142"/>
      <c r="S336" s="142"/>
      <c r="T336" s="142"/>
      <c r="U336" s="142"/>
      <c r="V336" s="58"/>
      <c r="X336" s="54"/>
      <c r="Y336" s="54"/>
      <c r="Z336" s="54"/>
    </row>
    <row r="337" spans="15:26">
      <c r="O337" s="59"/>
      <c r="P337" s="63"/>
      <c r="Q337" s="142"/>
      <c r="R337" s="142"/>
      <c r="S337" s="142"/>
      <c r="T337" s="142"/>
      <c r="U337" s="142"/>
      <c r="V337" s="58"/>
      <c r="X337" s="54"/>
      <c r="Y337" s="54"/>
      <c r="Z337" s="54"/>
    </row>
    <row r="338" spans="15:26">
      <c r="O338" s="59"/>
      <c r="P338" s="63"/>
      <c r="Q338" s="142"/>
      <c r="R338" s="142"/>
      <c r="S338" s="142"/>
      <c r="T338" s="142"/>
      <c r="U338" s="142"/>
      <c r="V338" s="58"/>
      <c r="X338" s="54"/>
      <c r="Y338" s="54"/>
      <c r="Z338" s="54"/>
    </row>
    <row r="339" spans="15:26">
      <c r="O339" s="59"/>
      <c r="P339" s="63"/>
      <c r="Q339" s="142"/>
      <c r="R339" s="142"/>
      <c r="S339" s="142"/>
      <c r="T339" s="142"/>
      <c r="U339" s="142"/>
      <c r="V339" s="58"/>
      <c r="X339" s="54"/>
      <c r="Y339" s="54"/>
      <c r="Z339" s="54"/>
    </row>
    <row r="340" spans="15:26">
      <c r="O340" s="59"/>
      <c r="P340" s="63"/>
      <c r="Q340" s="142"/>
      <c r="R340" s="142"/>
      <c r="S340" s="142"/>
      <c r="T340" s="142"/>
      <c r="U340" s="142"/>
      <c r="V340" s="58"/>
      <c r="X340" s="54"/>
      <c r="Y340" s="54"/>
      <c r="Z340" s="54"/>
    </row>
    <row r="341" spans="15:26">
      <c r="O341" s="59"/>
      <c r="P341" s="63"/>
      <c r="Q341" s="142"/>
      <c r="R341" s="142"/>
      <c r="S341" s="142"/>
      <c r="T341" s="142"/>
      <c r="U341" s="142"/>
      <c r="V341" s="58"/>
      <c r="X341" s="54"/>
      <c r="Y341" s="54"/>
      <c r="Z341" s="54"/>
    </row>
    <row r="342" spans="15:26">
      <c r="O342" s="59"/>
      <c r="P342" s="63"/>
      <c r="Q342" s="142"/>
      <c r="R342" s="142"/>
      <c r="S342" s="142"/>
      <c r="T342" s="142"/>
      <c r="U342" s="142"/>
      <c r="V342" s="58"/>
      <c r="X342" s="54"/>
      <c r="Y342" s="54"/>
      <c r="Z342" s="54"/>
    </row>
    <row r="343" spans="15:26">
      <c r="O343" s="59"/>
      <c r="P343" s="63"/>
      <c r="Q343" s="142"/>
      <c r="R343" s="142"/>
      <c r="S343" s="142"/>
      <c r="T343" s="142"/>
      <c r="U343" s="142"/>
      <c r="V343" s="58"/>
      <c r="X343" s="54"/>
      <c r="Y343" s="54"/>
      <c r="Z343" s="54"/>
    </row>
    <row r="344" spans="15:26">
      <c r="O344" s="59"/>
      <c r="P344" s="63"/>
      <c r="Q344" s="142"/>
      <c r="R344" s="142"/>
      <c r="S344" s="142"/>
      <c r="T344" s="142"/>
      <c r="U344" s="142"/>
      <c r="V344" s="58"/>
      <c r="X344" s="54"/>
      <c r="Y344" s="54"/>
      <c r="Z344" s="54"/>
    </row>
    <row r="345" spans="15:26">
      <c r="O345" s="59"/>
      <c r="P345" s="63"/>
      <c r="Q345" s="142"/>
      <c r="R345" s="142"/>
      <c r="S345" s="142"/>
      <c r="T345" s="142"/>
      <c r="U345" s="142"/>
      <c r="V345" s="58"/>
      <c r="X345" s="54"/>
      <c r="Y345" s="54"/>
      <c r="Z345" s="54"/>
    </row>
    <row r="346" spans="15:26">
      <c r="O346" s="59"/>
      <c r="P346" s="63"/>
      <c r="Q346" s="142"/>
      <c r="R346" s="142"/>
      <c r="S346" s="142"/>
      <c r="T346" s="142"/>
      <c r="U346" s="142"/>
      <c r="V346" s="58"/>
      <c r="X346" s="54"/>
      <c r="Y346" s="54"/>
      <c r="Z346" s="54"/>
    </row>
    <row r="347" spans="15:26">
      <c r="O347" s="59"/>
      <c r="P347" s="63"/>
      <c r="Q347" s="142"/>
      <c r="R347" s="142"/>
      <c r="S347" s="142"/>
      <c r="T347" s="142"/>
      <c r="U347" s="142"/>
      <c r="V347" s="58"/>
      <c r="X347" s="54"/>
      <c r="Y347" s="54"/>
      <c r="Z347" s="54"/>
    </row>
    <row r="348" spans="15:26">
      <c r="O348" s="59"/>
      <c r="P348" s="63"/>
      <c r="Q348" s="142"/>
      <c r="R348" s="142"/>
      <c r="S348" s="142"/>
      <c r="T348" s="142"/>
      <c r="U348" s="142"/>
      <c r="V348" s="58"/>
      <c r="X348" s="54"/>
      <c r="Y348" s="54"/>
      <c r="Z348" s="54"/>
    </row>
    <row r="349" spans="15:26">
      <c r="O349" s="59"/>
      <c r="P349" s="63"/>
      <c r="Q349" s="142"/>
      <c r="R349" s="142"/>
      <c r="S349" s="142"/>
      <c r="T349" s="142"/>
      <c r="U349" s="142"/>
      <c r="V349" s="58"/>
      <c r="X349" s="54"/>
      <c r="Y349" s="54"/>
      <c r="Z349" s="54"/>
    </row>
    <row r="350" spans="15:26">
      <c r="O350" s="59"/>
      <c r="P350" s="63"/>
      <c r="Q350" s="142"/>
      <c r="R350" s="142"/>
      <c r="S350" s="142"/>
      <c r="T350" s="142"/>
      <c r="U350" s="142"/>
      <c r="V350" s="58"/>
      <c r="X350" s="54"/>
      <c r="Y350" s="54"/>
      <c r="Z350" s="54"/>
    </row>
    <row r="351" spans="15:26">
      <c r="O351" s="59"/>
      <c r="P351" s="63"/>
      <c r="Q351" s="142"/>
      <c r="R351" s="142"/>
      <c r="S351" s="142"/>
      <c r="T351" s="142"/>
      <c r="U351" s="142"/>
      <c r="V351" s="58"/>
      <c r="X351" s="54"/>
      <c r="Y351" s="54"/>
      <c r="Z351" s="54"/>
    </row>
    <row r="352" spans="15:26">
      <c r="O352" s="59"/>
      <c r="P352" s="63"/>
      <c r="Q352" s="142"/>
      <c r="R352" s="142"/>
      <c r="S352" s="142"/>
      <c r="T352" s="142"/>
      <c r="U352" s="142"/>
      <c r="V352" s="58"/>
      <c r="X352" s="54"/>
      <c r="Y352" s="54"/>
      <c r="Z352" s="54"/>
    </row>
    <row r="353" spans="15:26">
      <c r="O353" s="59"/>
      <c r="P353" s="63"/>
      <c r="Q353" s="142"/>
      <c r="R353" s="142"/>
      <c r="S353" s="142"/>
      <c r="T353" s="142"/>
      <c r="U353" s="142"/>
      <c r="V353" s="58"/>
      <c r="X353" s="54"/>
      <c r="Y353" s="54"/>
      <c r="Z353" s="54"/>
    </row>
    <row r="354" spans="15:26">
      <c r="O354" s="59"/>
      <c r="P354" s="63"/>
      <c r="Q354" s="142"/>
      <c r="R354" s="142"/>
      <c r="S354" s="142"/>
      <c r="T354" s="142"/>
      <c r="U354" s="142"/>
      <c r="V354" s="58"/>
      <c r="X354" s="54"/>
      <c r="Y354" s="54"/>
      <c r="Z354" s="54"/>
    </row>
    <row r="355" spans="15:26">
      <c r="O355" s="59"/>
      <c r="P355" s="63"/>
      <c r="Q355" s="142"/>
      <c r="R355" s="142"/>
      <c r="S355" s="142"/>
      <c r="T355" s="142"/>
      <c r="U355" s="142"/>
      <c r="V355" s="58"/>
      <c r="X355" s="54"/>
      <c r="Y355" s="54"/>
      <c r="Z355" s="54"/>
    </row>
    <row r="356" spans="15:26">
      <c r="O356" s="59"/>
      <c r="P356" s="63"/>
      <c r="Q356" s="142"/>
      <c r="R356" s="142"/>
      <c r="S356" s="142"/>
      <c r="T356" s="142"/>
      <c r="U356" s="142"/>
      <c r="V356" s="58"/>
      <c r="X356" s="54"/>
      <c r="Y356" s="54"/>
      <c r="Z356" s="54"/>
    </row>
    <row r="357" spans="15:26">
      <c r="O357" s="59"/>
      <c r="P357" s="63"/>
      <c r="Q357" s="142"/>
      <c r="R357" s="142"/>
      <c r="S357" s="142"/>
      <c r="T357" s="142"/>
      <c r="U357" s="142"/>
      <c r="V357" s="58"/>
      <c r="X357" s="54"/>
      <c r="Y357" s="54"/>
      <c r="Z357" s="54"/>
    </row>
    <row r="358" spans="15:26">
      <c r="O358" s="60"/>
      <c r="P358" s="63"/>
      <c r="Q358" s="142"/>
      <c r="R358" s="142"/>
      <c r="S358" s="142"/>
      <c r="T358" s="142"/>
      <c r="U358" s="142"/>
      <c r="V358" s="58"/>
      <c r="X358" s="54"/>
      <c r="Y358" s="54"/>
      <c r="Z358" s="54"/>
    </row>
    <row r="359" spans="15:26">
      <c r="O359" s="60">
        <v>42522</v>
      </c>
      <c r="P359" s="63"/>
      <c r="Q359" s="142"/>
      <c r="R359" s="142"/>
      <c r="S359" s="142"/>
      <c r="T359" s="142"/>
      <c r="U359" s="142"/>
      <c r="V359" s="58"/>
      <c r="X359" s="54"/>
      <c r="Y359" s="54"/>
      <c r="Z359" s="54"/>
    </row>
    <row r="360" spans="15:26">
      <c r="O360" s="59"/>
      <c r="P360" s="63"/>
      <c r="Q360" s="142"/>
      <c r="R360" s="142"/>
      <c r="S360" s="142"/>
      <c r="T360" s="142"/>
      <c r="U360" s="142"/>
      <c r="V360" s="58"/>
      <c r="X360" s="54"/>
      <c r="Y360" s="54"/>
      <c r="Z360" s="54"/>
    </row>
    <row r="361" spans="15:26">
      <c r="O361" s="59"/>
      <c r="P361" s="63"/>
      <c r="Q361" s="142"/>
      <c r="R361" s="142"/>
      <c r="S361" s="142"/>
      <c r="T361" s="142"/>
      <c r="U361" s="142"/>
      <c r="V361" s="58"/>
      <c r="X361" s="54"/>
      <c r="Y361" s="54"/>
      <c r="Z361" s="54"/>
    </row>
    <row r="362" spans="15:26">
      <c r="O362" s="59"/>
      <c r="P362" s="63"/>
      <c r="Q362" s="142"/>
      <c r="R362" s="142"/>
      <c r="S362" s="142"/>
      <c r="T362" s="142"/>
      <c r="U362" s="142"/>
      <c r="V362" s="58"/>
      <c r="X362" s="54"/>
      <c r="Y362" s="54"/>
      <c r="Z362" s="54"/>
    </row>
    <row r="363" spans="15:26">
      <c r="O363" s="59"/>
      <c r="P363" s="63"/>
      <c r="Q363" s="142"/>
      <c r="R363" s="142"/>
      <c r="S363" s="142"/>
      <c r="T363" s="142"/>
      <c r="U363" s="142"/>
      <c r="V363" s="58"/>
      <c r="X363" s="54"/>
      <c r="Y363" s="54"/>
      <c r="Z363" s="54"/>
    </row>
    <row r="364" spans="15:26">
      <c r="O364" s="59"/>
      <c r="P364" s="63"/>
      <c r="Q364" s="142"/>
      <c r="R364" s="142"/>
      <c r="S364" s="142"/>
      <c r="T364" s="142"/>
      <c r="U364" s="142"/>
      <c r="V364" s="58"/>
      <c r="X364" s="54"/>
      <c r="Y364" s="54"/>
      <c r="Z364" s="54"/>
    </row>
    <row r="365" spans="15:26">
      <c r="O365" s="59"/>
      <c r="P365" s="63"/>
      <c r="Q365" s="142"/>
      <c r="R365" s="142"/>
      <c r="S365" s="142"/>
      <c r="T365" s="142"/>
      <c r="U365" s="142"/>
      <c r="V365" s="58"/>
      <c r="X365" s="54"/>
      <c r="Y365" s="54"/>
      <c r="Z365" s="54"/>
    </row>
    <row r="366" spans="15:26">
      <c r="O366" s="59"/>
      <c r="P366" s="63"/>
      <c r="Q366" s="142"/>
      <c r="R366" s="142"/>
      <c r="S366" s="142"/>
      <c r="T366" s="142"/>
      <c r="U366" s="142"/>
      <c r="V366" s="58"/>
      <c r="X366" s="54"/>
      <c r="Y366" s="54"/>
      <c r="Z366" s="54"/>
    </row>
    <row r="367" spans="15:26">
      <c r="O367" s="59"/>
      <c r="P367" s="63"/>
      <c r="Q367" s="142"/>
      <c r="R367" s="142"/>
      <c r="S367" s="142"/>
      <c r="T367" s="142"/>
      <c r="U367" s="142"/>
      <c r="V367" s="58"/>
      <c r="X367" s="54"/>
      <c r="Y367" s="54"/>
      <c r="Z367" s="54"/>
    </row>
    <row r="368" spans="15:26">
      <c r="O368" s="59"/>
      <c r="P368" s="63"/>
      <c r="Q368" s="142"/>
      <c r="R368" s="142"/>
      <c r="S368" s="142"/>
      <c r="T368" s="142"/>
      <c r="U368" s="142"/>
      <c r="V368" s="58"/>
      <c r="X368" s="54"/>
      <c r="Y368" s="54"/>
      <c r="Z368" s="54"/>
    </row>
    <row r="369" spans="15:26">
      <c r="O369" s="59"/>
      <c r="P369" s="63"/>
      <c r="Q369" s="142"/>
      <c r="R369" s="142"/>
      <c r="S369" s="142"/>
      <c r="T369" s="142"/>
      <c r="U369" s="142"/>
      <c r="V369" s="58"/>
      <c r="X369" s="54"/>
      <c r="Y369" s="54"/>
      <c r="Z369" s="54"/>
    </row>
    <row r="370" spans="15:26">
      <c r="O370" s="59"/>
      <c r="P370" s="63"/>
      <c r="Q370" s="142"/>
      <c r="R370" s="142"/>
      <c r="S370" s="142"/>
      <c r="T370" s="142"/>
      <c r="U370" s="142"/>
      <c r="V370" s="58"/>
      <c r="X370" s="54"/>
      <c r="Y370" s="54"/>
      <c r="Z370" s="54"/>
    </row>
    <row r="371" spans="15:26">
      <c r="O371" s="59"/>
      <c r="P371" s="63"/>
      <c r="Q371" s="142"/>
      <c r="R371" s="142"/>
      <c r="S371" s="142"/>
      <c r="T371" s="142"/>
      <c r="U371" s="142"/>
      <c r="V371" s="58"/>
      <c r="X371" s="54"/>
      <c r="Y371" s="54"/>
      <c r="Z371" s="54"/>
    </row>
    <row r="372" spans="15:26">
      <c r="O372" s="59"/>
      <c r="P372" s="63"/>
      <c r="Q372" s="142"/>
      <c r="R372" s="142"/>
      <c r="S372" s="142"/>
      <c r="T372" s="142"/>
      <c r="U372" s="142"/>
      <c r="V372" s="58"/>
      <c r="X372" s="54"/>
      <c r="Y372" s="54"/>
      <c r="Z372" s="54"/>
    </row>
    <row r="373" spans="15:26">
      <c r="O373" s="59"/>
      <c r="P373" s="63"/>
      <c r="Q373" s="142"/>
      <c r="R373" s="142"/>
      <c r="S373" s="142"/>
      <c r="T373" s="142"/>
      <c r="U373" s="142"/>
      <c r="V373" s="58"/>
      <c r="X373" s="54"/>
      <c r="Y373" s="54"/>
      <c r="Z373" s="54"/>
    </row>
    <row r="374" spans="15:26">
      <c r="O374" s="59"/>
      <c r="P374" s="63"/>
      <c r="Q374" s="142"/>
      <c r="R374" s="142"/>
      <c r="S374" s="142"/>
      <c r="T374" s="142"/>
      <c r="U374" s="142"/>
      <c r="V374" s="58"/>
      <c r="X374" s="54"/>
      <c r="Y374" s="54"/>
      <c r="Z374" s="54"/>
    </row>
    <row r="375" spans="15:26">
      <c r="O375" s="59"/>
      <c r="P375" s="63"/>
      <c r="Q375" s="142"/>
      <c r="R375" s="142"/>
      <c r="S375" s="142"/>
      <c r="T375" s="142"/>
      <c r="U375" s="142"/>
      <c r="V375" s="58"/>
      <c r="X375" s="54"/>
      <c r="Y375" s="54"/>
      <c r="Z375" s="54"/>
    </row>
    <row r="376" spans="15:26">
      <c r="O376" s="59"/>
      <c r="P376" s="63"/>
      <c r="Q376" s="142"/>
      <c r="R376" s="142"/>
      <c r="S376" s="142"/>
      <c r="T376" s="142"/>
      <c r="U376" s="142"/>
      <c r="V376" s="58"/>
      <c r="X376" s="54"/>
      <c r="Y376" s="54"/>
      <c r="Z376" s="54"/>
    </row>
    <row r="377" spans="15:26">
      <c r="O377" s="59"/>
      <c r="P377" s="63"/>
      <c r="Q377" s="142"/>
      <c r="R377" s="142"/>
      <c r="S377" s="142"/>
      <c r="T377" s="142"/>
      <c r="U377" s="142"/>
      <c r="V377" s="58"/>
      <c r="X377" s="54"/>
      <c r="Y377" s="54"/>
      <c r="Z377" s="54"/>
    </row>
    <row r="378" spans="15:26">
      <c r="O378" s="59"/>
      <c r="P378" s="63"/>
      <c r="Q378" s="142"/>
      <c r="R378" s="142"/>
      <c r="S378" s="142"/>
      <c r="T378" s="142"/>
      <c r="U378" s="142"/>
      <c r="V378" s="58"/>
      <c r="X378" s="54"/>
      <c r="Y378" s="54"/>
      <c r="Z378" s="54"/>
    </row>
    <row r="379" spans="15:26">
      <c r="O379" s="59"/>
      <c r="P379" s="63"/>
      <c r="Q379" s="142"/>
      <c r="R379" s="142"/>
      <c r="S379" s="142"/>
      <c r="T379" s="142"/>
      <c r="U379" s="142"/>
      <c r="V379" s="58"/>
      <c r="X379" s="54"/>
      <c r="Y379" s="54"/>
      <c r="Z379" s="54"/>
    </row>
    <row r="380" spans="15:26">
      <c r="O380" s="59"/>
      <c r="P380" s="63"/>
      <c r="Q380" s="142"/>
      <c r="R380" s="142"/>
      <c r="S380" s="142"/>
      <c r="T380" s="142"/>
      <c r="U380" s="142"/>
      <c r="V380" s="58"/>
      <c r="X380" s="54"/>
      <c r="Y380" s="54"/>
      <c r="Z380" s="54"/>
    </row>
    <row r="381" spans="15:26">
      <c r="O381" s="59"/>
      <c r="P381" s="63"/>
      <c r="Q381" s="142"/>
      <c r="R381" s="142"/>
      <c r="S381" s="142"/>
      <c r="T381" s="142"/>
      <c r="U381" s="142"/>
      <c r="V381" s="58"/>
      <c r="X381" s="54"/>
      <c r="Y381" s="54"/>
      <c r="Z381" s="54"/>
    </row>
    <row r="382" spans="15:26">
      <c r="O382" s="59"/>
      <c r="P382" s="63"/>
      <c r="Q382" s="142"/>
      <c r="R382" s="142"/>
      <c r="S382" s="142"/>
      <c r="T382" s="142"/>
      <c r="U382" s="142"/>
      <c r="V382" s="58"/>
      <c r="X382" s="54"/>
      <c r="Y382" s="54"/>
      <c r="Z382" s="54"/>
    </row>
    <row r="383" spans="15:26">
      <c r="O383" s="59"/>
      <c r="P383" s="63"/>
      <c r="Q383" s="142"/>
      <c r="R383" s="142"/>
      <c r="S383" s="142"/>
      <c r="T383" s="142"/>
      <c r="U383" s="142"/>
      <c r="V383" s="58"/>
      <c r="X383" s="54"/>
      <c r="Y383" s="54"/>
      <c r="Z383" s="54"/>
    </row>
    <row r="384" spans="15:26">
      <c r="O384" s="59"/>
      <c r="P384" s="63"/>
      <c r="Q384" s="142"/>
      <c r="R384" s="142"/>
      <c r="S384" s="142"/>
      <c r="T384" s="142"/>
      <c r="U384" s="142"/>
      <c r="V384" s="58"/>
      <c r="X384" s="54"/>
      <c r="Y384" s="54"/>
      <c r="Z384" s="54"/>
    </row>
    <row r="385" spans="15:26">
      <c r="O385" s="59"/>
      <c r="P385" s="63"/>
      <c r="Q385" s="142"/>
      <c r="R385" s="142"/>
      <c r="S385" s="142"/>
      <c r="T385" s="142"/>
      <c r="U385" s="142"/>
      <c r="V385" s="58"/>
      <c r="X385" s="54"/>
      <c r="Y385" s="54"/>
      <c r="Z385" s="54"/>
    </row>
    <row r="386" spans="15:26">
      <c r="O386" s="59"/>
      <c r="P386" s="63"/>
      <c r="Q386" s="142"/>
      <c r="R386" s="142"/>
      <c r="S386" s="142"/>
      <c r="T386" s="142"/>
      <c r="U386" s="142"/>
      <c r="V386" s="58"/>
      <c r="X386" s="54"/>
      <c r="Y386" s="54"/>
      <c r="Z386" s="54"/>
    </row>
    <row r="387" spans="15:26">
      <c r="O387" s="59"/>
      <c r="P387" s="63"/>
      <c r="Q387" s="142"/>
      <c r="R387" s="142"/>
      <c r="S387" s="142"/>
      <c r="T387" s="142"/>
      <c r="U387" s="142"/>
      <c r="V387" s="58"/>
      <c r="X387" s="54"/>
      <c r="Y387" s="54"/>
      <c r="Z387" s="54"/>
    </row>
    <row r="388" spans="15:26">
      <c r="O388" s="60"/>
      <c r="P388" s="63"/>
      <c r="Q388" s="142"/>
      <c r="R388" s="142"/>
      <c r="S388" s="142"/>
      <c r="T388" s="142"/>
      <c r="U388" s="142"/>
      <c r="V388" s="58"/>
      <c r="X388" s="54"/>
      <c r="Y388" s="54"/>
      <c r="Z388" s="54"/>
    </row>
    <row r="389" spans="15:26">
      <c r="O389" s="60">
        <v>42552</v>
      </c>
      <c r="P389" s="63"/>
      <c r="Q389" s="142"/>
      <c r="R389" s="142"/>
      <c r="S389" s="142"/>
      <c r="T389" s="142"/>
      <c r="U389" s="142"/>
      <c r="V389" s="58"/>
      <c r="X389" s="54"/>
      <c r="Y389" s="54"/>
      <c r="Z389" s="54"/>
    </row>
    <row r="390" spans="15:26">
      <c r="O390" s="59"/>
      <c r="P390" s="63"/>
      <c r="Q390" s="142"/>
      <c r="R390" s="142"/>
      <c r="S390" s="142"/>
      <c r="T390" s="142"/>
      <c r="U390" s="142"/>
      <c r="V390" s="58"/>
      <c r="X390" s="54"/>
      <c r="Y390" s="54"/>
      <c r="Z390" s="54"/>
    </row>
    <row r="391" spans="15:26">
      <c r="O391" s="59"/>
      <c r="P391" s="63"/>
      <c r="Q391" s="142"/>
      <c r="R391" s="142"/>
      <c r="S391" s="142"/>
      <c r="T391" s="142"/>
      <c r="U391" s="142"/>
      <c r="V391" s="58"/>
      <c r="X391" s="54"/>
      <c r="Y391" s="54"/>
      <c r="Z391" s="54"/>
    </row>
    <row r="392" spans="15:26">
      <c r="O392" s="59"/>
      <c r="P392" s="63"/>
      <c r="Q392" s="142"/>
      <c r="R392" s="142"/>
      <c r="S392" s="142"/>
      <c r="T392" s="142"/>
      <c r="U392" s="142"/>
      <c r="V392" s="58"/>
      <c r="X392" s="54"/>
      <c r="Y392" s="54"/>
      <c r="Z392" s="54"/>
    </row>
    <row r="393" spans="15:26">
      <c r="O393" s="59"/>
      <c r="P393" s="63"/>
      <c r="Q393" s="142"/>
      <c r="R393" s="142"/>
      <c r="S393" s="142"/>
      <c r="T393" s="142"/>
      <c r="U393" s="142"/>
      <c r="V393" s="58"/>
      <c r="X393" s="54"/>
      <c r="Y393" s="54"/>
      <c r="Z393" s="54"/>
    </row>
    <row r="394" spans="15:26">
      <c r="O394" s="59"/>
      <c r="P394" s="63"/>
      <c r="Q394" s="142"/>
      <c r="R394" s="142"/>
      <c r="S394" s="142"/>
      <c r="T394" s="142"/>
      <c r="U394" s="142"/>
      <c r="V394" s="58"/>
      <c r="X394" s="54"/>
      <c r="Y394" s="54"/>
      <c r="Z394" s="54"/>
    </row>
    <row r="395" spans="15:26">
      <c r="O395" s="59"/>
      <c r="P395" s="63"/>
      <c r="Q395" s="142"/>
      <c r="R395" s="142"/>
      <c r="S395" s="142"/>
      <c r="T395" s="142"/>
      <c r="U395" s="142"/>
      <c r="V395" s="58"/>
      <c r="X395" s="54"/>
      <c r="Y395" s="54"/>
      <c r="Z395" s="54"/>
    </row>
    <row r="396" spans="15:26">
      <c r="O396" s="59"/>
      <c r="P396" s="63"/>
      <c r="Q396" s="142"/>
      <c r="R396" s="142"/>
      <c r="S396" s="142"/>
      <c r="T396" s="142"/>
      <c r="U396" s="142"/>
      <c r="V396" s="58"/>
      <c r="X396" s="54"/>
      <c r="Y396" s="54"/>
      <c r="Z396" s="54"/>
    </row>
    <row r="397" spans="15:26">
      <c r="O397" s="59"/>
      <c r="P397" s="63"/>
      <c r="Q397" s="142"/>
      <c r="R397" s="142"/>
      <c r="S397" s="142"/>
      <c r="T397" s="142"/>
      <c r="U397" s="142"/>
      <c r="V397" s="58"/>
      <c r="X397" s="54"/>
      <c r="Y397" s="54"/>
      <c r="Z397" s="54"/>
    </row>
    <row r="398" spans="15:26">
      <c r="O398" s="59"/>
      <c r="P398" s="63"/>
      <c r="Q398" s="142"/>
      <c r="R398" s="142"/>
      <c r="S398" s="142"/>
      <c r="T398" s="142"/>
      <c r="U398" s="142"/>
      <c r="V398" s="58"/>
      <c r="X398" s="54"/>
      <c r="Y398" s="54"/>
      <c r="Z398" s="54"/>
    </row>
    <row r="399" spans="15:26">
      <c r="O399" s="59"/>
      <c r="P399" s="63"/>
      <c r="Q399" s="142"/>
      <c r="R399" s="142"/>
      <c r="S399" s="142"/>
      <c r="T399" s="142"/>
      <c r="U399" s="142"/>
      <c r="V399" s="58"/>
      <c r="X399" s="54"/>
      <c r="Y399" s="54"/>
      <c r="Z399" s="54"/>
    </row>
    <row r="400" spans="15:26">
      <c r="O400" s="59"/>
      <c r="P400" s="63"/>
      <c r="Q400" s="142"/>
      <c r="R400" s="142"/>
      <c r="S400" s="142"/>
      <c r="T400" s="142"/>
      <c r="U400" s="142"/>
      <c r="V400" s="58"/>
      <c r="X400" s="54"/>
      <c r="Y400" s="54"/>
      <c r="Z400" s="54"/>
    </row>
    <row r="401" spans="15:26">
      <c r="O401" s="59"/>
      <c r="P401" s="63"/>
      <c r="Q401" s="142"/>
      <c r="R401" s="142"/>
      <c r="S401" s="142"/>
      <c r="T401" s="142"/>
      <c r="U401" s="142"/>
      <c r="V401" s="58"/>
      <c r="X401" s="54"/>
      <c r="Y401" s="54"/>
      <c r="Z401" s="54"/>
    </row>
    <row r="402" spans="15:26">
      <c r="O402" s="59"/>
      <c r="P402" s="63"/>
      <c r="Q402" s="142"/>
      <c r="R402" s="142"/>
      <c r="S402" s="142"/>
      <c r="T402" s="142"/>
      <c r="U402" s="142"/>
      <c r="V402" s="58"/>
      <c r="X402" s="54"/>
      <c r="Y402" s="54"/>
      <c r="Z402" s="54"/>
    </row>
    <row r="403" spans="15:26">
      <c r="O403" s="59"/>
      <c r="P403" s="63"/>
      <c r="Q403" s="142"/>
      <c r="R403" s="142"/>
      <c r="S403" s="142"/>
      <c r="T403" s="142"/>
      <c r="U403" s="142"/>
      <c r="V403" s="58"/>
      <c r="X403" s="54"/>
      <c r="Y403" s="54"/>
      <c r="Z403" s="54"/>
    </row>
    <row r="404" spans="15:26">
      <c r="O404" s="59"/>
      <c r="P404" s="63"/>
      <c r="Q404" s="142"/>
      <c r="R404" s="142"/>
      <c r="S404" s="142"/>
      <c r="T404" s="142"/>
      <c r="U404" s="142"/>
      <c r="V404" s="58"/>
      <c r="X404" s="54"/>
      <c r="Y404" s="54"/>
      <c r="Z404" s="54"/>
    </row>
    <row r="405" spans="15:26">
      <c r="O405" s="59"/>
      <c r="P405" s="63"/>
      <c r="Q405" s="142"/>
      <c r="R405" s="142"/>
      <c r="S405" s="142"/>
      <c r="T405" s="142"/>
      <c r="U405" s="142"/>
      <c r="V405" s="58"/>
      <c r="X405" s="54"/>
      <c r="Y405" s="54"/>
      <c r="Z405" s="54"/>
    </row>
  </sheetData>
  <pageMargins left="0.75" right="0.75" top="1" bottom="1" header="0" footer="0"/>
  <pageSetup paperSize="9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440325-584D-4657-A657-8EED785A07AC}">
  <dimension ref="A1:AG405"/>
  <sheetViews>
    <sheetView showGridLines="0" showRowColHeaders="0" topLeftCell="A2" workbookViewId="0">
      <selection activeCell="A2" sqref="A2"/>
    </sheetView>
  </sheetViews>
  <sheetFormatPr baseColWidth="10" defaultRowHeight="12.75"/>
  <cols>
    <col min="1" max="1" width="2.5703125" customWidth="1"/>
    <col min="2" max="2" width="23.5703125" customWidth="1"/>
    <col min="3" max="3" width="1.42578125" customWidth="1"/>
    <col min="4" max="4" width="105.5703125" customWidth="1"/>
    <col min="5" max="5" width="13.5703125" style="50" customWidth="1"/>
    <col min="6" max="6" width="6.42578125" style="50" bestFit="1" customWidth="1"/>
    <col min="7" max="7" width="13.42578125" style="50" customWidth="1"/>
    <col min="8" max="12" width="11.5703125" style="50" bestFit="1" customWidth="1"/>
    <col min="13" max="13" width="9" style="50" bestFit="1" customWidth="1"/>
    <col min="14" max="14" width="9" style="50" customWidth="1"/>
    <col min="15" max="22" width="13.5703125" style="50" customWidth="1"/>
    <col min="23" max="264" width="11.5703125" style="50"/>
    <col min="265" max="265" width="4.42578125" style="50" customWidth="1"/>
    <col min="266" max="266" width="13.42578125" style="50" customWidth="1"/>
    <col min="267" max="271" width="11.5703125" style="50"/>
    <col min="272" max="272" width="4.5703125" style="50" customWidth="1"/>
    <col min="273" max="520" width="11.5703125" style="50"/>
    <col min="521" max="521" width="4.42578125" style="50" customWidth="1"/>
    <col min="522" max="522" width="13.42578125" style="50" customWidth="1"/>
    <col min="523" max="527" width="11.5703125" style="50"/>
    <col min="528" max="528" width="4.5703125" style="50" customWidth="1"/>
    <col min="529" max="776" width="11.5703125" style="50"/>
    <col min="777" max="777" width="4.42578125" style="50" customWidth="1"/>
    <col min="778" max="778" width="13.42578125" style="50" customWidth="1"/>
    <col min="779" max="783" width="11.5703125" style="50"/>
    <col min="784" max="784" width="4.5703125" style="50" customWidth="1"/>
    <col min="785" max="1032" width="11.5703125" style="50"/>
    <col min="1033" max="1033" width="4.42578125" style="50" customWidth="1"/>
    <col min="1034" max="1034" width="13.42578125" style="50" customWidth="1"/>
    <col min="1035" max="1039" width="11.5703125" style="50"/>
    <col min="1040" max="1040" width="4.5703125" style="50" customWidth="1"/>
    <col min="1041" max="1288" width="11.5703125" style="50"/>
    <col min="1289" max="1289" width="4.42578125" style="50" customWidth="1"/>
    <col min="1290" max="1290" width="13.42578125" style="50" customWidth="1"/>
    <col min="1291" max="1295" width="11.5703125" style="50"/>
    <col min="1296" max="1296" width="4.5703125" style="50" customWidth="1"/>
    <col min="1297" max="1544" width="11.5703125" style="50"/>
    <col min="1545" max="1545" width="4.42578125" style="50" customWidth="1"/>
    <col min="1546" max="1546" width="13.42578125" style="50" customWidth="1"/>
    <col min="1547" max="1551" width="11.5703125" style="50"/>
    <col min="1552" max="1552" width="4.5703125" style="50" customWidth="1"/>
    <col min="1553" max="1800" width="11.5703125" style="50"/>
    <col min="1801" max="1801" width="4.42578125" style="50" customWidth="1"/>
    <col min="1802" max="1802" width="13.42578125" style="50" customWidth="1"/>
    <col min="1803" max="1807" width="11.5703125" style="50"/>
    <col min="1808" max="1808" width="4.5703125" style="50" customWidth="1"/>
    <col min="1809" max="2056" width="11.5703125" style="50"/>
    <col min="2057" max="2057" width="4.42578125" style="50" customWidth="1"/>
    <col min="2058" max="2058" width="13.42578125" style="50" customWidth="1"/>
    <col min="2059" max="2063" width="11.5703125" style="50"/>
    <col min="2064" max="2064" width="4.5703125" style="50" customWidth="1"/>
    <col min="2065" max="2312" width="11.5703125" style="50"/>
    <col min="2313" max="2313" width="4.42578125" style="50" customWidth="1"/>
    <col min="2314" max="2314" width="13.42578125" style="50" customWidth="1"/>
    <col min="2315" max="2319" width="11.5703125" style="50"/>
    <col min="2320" max="2320" width="4.5703125" style="50" customWidth="1"/>
    <col min="2321" max="2568" width="11.5703125" style="50"/>
    <col min="2569" max="2569" width="4.42578125" style="50" customWidth="1"/>
    <col min="2570" max="2570" width="13.42578125" style="50" customWidth="1"/>
    <col min="2571" max="2575" width="11.5703125" style="50"/>
    <col min="2576" max="2576" width="4.5703125" style="50" customWidth="1"/>
    <col min="2577" max="2824" width="11.5703125" style="50"/>
    <col min="2825" max="2825" width="4.42578125" style="50" customWidth="1"/>
    <col min="2826" max="2826" width="13.42578125" style="50" customWidth="1"/>
    <col min="2827" max="2831" width="11.5703125" style="50"/>
    <col min="2832" max="2832" width="4.5703125" style="50" customWidth="1"/>
    <col min="2833" max="3080" width="11.5703125" style="50"/>
    <col min="3081" max="3081" width="4.42578125" style="50" customWidth="1"/>
    <col min="3082" max="3082" width="13.42578125" style="50" customWidth="1"/>
    <col min="3083" max="3087" width="11.5703125" style="50"/>
    <col min="3088" max="3088" width="4.5703125" style="50" customWidth="1"/>
    <col min="3089" max="3336" width="11.5703125" style="50"/>
    <col min="3337" max="3337" width="4.42578125" style="50" customWidth="1"/>
    <col min="3338" max="3338" width="13.42578125" style="50" customWidth="1"/>
    <col min="3339" max="3343" width="11.5703125" style="50"/>
    <col min="3344" max="3344" width="4.5703125" style="50" customWidth="1"/>
    <col min="3345" max="3592" width="11.5703125" style="50"/>
    <col min="3593" max="3593" width="4.42578125" style="50" customWidth="1"/>
    <col min="3594" max="3594" width="13.42578125" style="50" customWidth="1"/>
    <col min="3595" max="3599" width="11.5703125" style="50"/>
    <col min="3600" max="3600" width="4.5703125" style="50" customWidth="1"/>
    <col min="3601" max="3848" width="11.5703125" style="50"/>
    <col min="3849" max="3849" width="4.42578125" style="50" customWidth="1"/>
    <col min="3850" max="3850" width="13.42578125" style="50" customWidth="1"/>
    <col min="3851" max="3855" width="11.5703125" style="50"/>
    <col min="3856" max="3856" width="4.5703125" style="50" customWidth="1"/>
    <col min="3857" max="4104" width="11.5703125" style="50"/>
    <col min="4105" max="4105" width="4.42578125" style="50" customWidth="1"/>
    <col min="4106" max="4106" width="13.42578125" style="50" customWidth="1"/>
    <col min="4107" max="4111" width="11.5703125" style="50"/>
    <col min="4112" max="4112" width="4.5703125" style="50" customWidth="1"/>
    <col min="4113" max="4360" width="11.5703125" style="50"/>
    <col min="4361" max="4361" width="4.42578125" style="50" customWidth="1"/>
    <col min="4362" max="4362" width="13.42578125" style="50" customWidth="1"/>
    <col min="4363" max="4367" width="11.5703125" style="50"/>
    <col min="4368" max="4368" width="4.5703125" style="50" customWidth="1"/>
    <col min="4369" max="4616" width="11.5703125" style="50"/>
    <col min="4617" max="4617" width="4.42578125" style="50" customWidth="1"/>
    <col min="4618" max="4618" width="13.42578125" style="50" customWidth="1"/>
    <col min="4619" max="4623" width="11.5703125" style="50"/>
    <col min="4624" max="4624" width="4.5703125" style="50" customWidth="1"/>
    <col min="4625" max="4872" width="11.5703125" style="50"/>
    <col min="4873" max="4873" width="4.42578125" style="50" customWidth="1"/>
    <col min="4874" max="4874" width="13.42578125" style="50" customWidth="1"/>
    <col min="4875" max="4879" width="11.5703125" style="50"/>
    <col min="4880" max="4880" width="4.5703125" style="50" customWidth="1"/>
    <col min="4881" max="5128" width="11.5703125" style="50"/>
    <col min="5129" max="5129" width="4.42578125" style="50" customWidth="1"/>
    <col min="5130" max="5130" width="13.42578125" style="50" customWidth="1"/>
    <col min="5131" max="5135" width="11.5703125" style="50"/>
    <col min="5136" max="5136" width="4.5703125" style="50" customWidth="1"/>
    <col min="5137" max="5384" width="11.5703125" style="50"/>
    <col min="5385" max="5385" width="4.42578125" style="50" customWidth="1"/>
    <col min="5386" max="5386" width="13.42578125" style="50" customWidth="1"/>
    <col min="5387" max="5391" width="11.5703125" style="50"/>
    <col min="5392" max="5392" width="4.5703125" style="50" customWidth="1"/>
    <col min="5393" max="5640" width="11.5703125" style="50"/>
    <col min="5641" max="5641" width="4.42578125" style="50" customWidth="1"/>
    <col min="5642" max="5642" width="13.42578125" style="50" customWidth="1"/>
    <col min="5643" max="5647" width="11.5703125" style="50"/>
    <col min="5648" max="5648" width="4.5703125" style="50" customWidth="1"/>
    <col min="5649" max="5896" width="11.5703125" style="50"/>
    <col min="5897" max="5897" width="4.42578125" style="50" customWidth="1"/>
    <col min="5898" max="5898" width="13.42578125" style="50" customWidth="1"/>
    <col min="5899" max="5903" width="11.5703125" style="50"/>
    <col min="5904" max="5904" width="4.5703125" style="50" customWidth="1"/>
    <col min="5905" max="6152" width="11.5703125" style="50"/>
    <col min="6153" max="6153" width="4.42578125" style="50" customWidth="1"/>
    <col min="6154" max="6154" width="13.42578125" style="50" customWidth="1"/>
    <col min="6155" max="6159" width="11.5703125" style="50"/>
    <col min="6160" max="6160" width="4.5703125" style="50" customWidth="1"/>
    <col min="6161" max="6408" width="11.5703125" style="50"/>
    <col min="6409" max="6409" width="4.42578125" style="50" customWidth="1"/>
    <col min="6410" max="6410" width="13.42578125" style="50" customWidth="1"/>
    <col min="6411" max="6415" width="11.5703125" style="50"/>
    <col min="6416" max="6416" width="4.5703125" style="50" customWidth="1"/>
    <col min="6417" max="6664" width="11.5703125" style="50"/>
    <col min="6665" max="6665" width="4.42578125" style="50" customWidth="1"/>
    <col min="6666" max="6666" width="13.42578125" style="50" customWidth="1"/>
    <col min="6667" max="6671" width="11.5703125" style="50"/>
    <col min="6672" max="6672" width="4.5703125" style="50" customWidth="1"/>
    <col min="6673" max="6920" width="11.5703125" style="50"/>
    <col min="6921" max="6921" width="4.42578125" style="50" customWidth="1"/>
    <col min="6922" max="6922" width="13.42578125" style="50" customWidth="1"/>
    <col min="6923" max="6927" width="11.5703125" style="50"/>
    <col min="6928" max="6928" width="4.5703125" style="50" customWidth="1"/>
    <col min="6929" max="7176" width="11.5703125" style="50"/>
    <col min="7177" max="7177" width="4.42578125" style="50" customWidth="1"/>
    <col min="7178" max="7178" width="13.42578125" style="50" customWidth="1"/>
    <col min="7179" max="7183" width="11.5703125" style="50"/>
    <col min="7184" max="7184" width="4.5703125" style="50" customWidth="1"/>
    <col min="7185" max="7432" width="11.5703125" style="50"/>
    <col min="7433" max="7433" width="4.42578125" style="50" customWidth="1"/>
    <col min="7434" max="7434" width="13.42578125" style="50" customWidth="1"/>
    <col min="7435" max="7439" width="11.5703125" style="50"/>
    <col min="7440" max="7440" width="4.5703125" style="50" customWidth="1"/>
    <col min="7441" max="7688" width="11.5703125" style="50"/>
    <col min="7689" max="7689" width="4.42578125" style="50" customWidth="1"/>
    <col min="7690" max="7690" width="13.42578125" style="50" customWidth="1"/>
    <col min="7691" max="7695" width="11.5703125" style="50"/>
    <col min="7696" max="7696" width="4.5703125" style="50" customWidth="1"/>
    <col min="7697" max="7944" width="11.5703125" style="50"/>
    <col min="7945" max="7945" width="4.42578125" style="50" customWidth="1"/>
    <col min="7946" max="7946" width="13.42578125" style="50" customWidth="1"/>
    <col min="7947" max="7951" width="11.5703125" style="50"/>
    <col min="7952" max="7952" width="4.5703125" style="50" customWidth="1"/>
    <col min="7953" max="8200" width="11.5703125" style="50"/>
    <col min="8201" max="8201" width="4.42578125" style="50" customWidth="1"/>
    <col min="8202" max="8202" width="13.42578125" style="50" customWidth="1"/>
    <col min="8203" max="8207" width="11.5703125" style="50"/>
    <col min="8208" max="8208" width="4.5703125" style="50" customWidth="1"/>
    <col min="8209" max="8456" width="11.5703125" style="50"/>
    <col min="8457" max="8457" width="4.42578125" style="50" customWidth="1"/>
    <col min="8458" max="8458" width="13.42578125" style="50" customWidth="1"/>
    <col min="8459" max="8463" width="11.5703125" style="50"/>
    <col min="8464" max="8464" width="4.5703125" style="50" customWidth="1"/>
    <col min="8465" max="8712" width="11.5703125" style="50"/>
    <col min="8713" max="8713" width="4.42578125" style="50" customWidth="1"/>
    <col min="8714" max="8714" width="13.42578125" style="50" customWidth="1"/>
    <col min="8715" max="8719" width="11.5703125" style="50"/>
    <col min="8720" max="8720" width="4.5703125" style="50" customWidth="1"/>
    <col min="8721" max="8968" width="11.5703125" style="50"/>
    <col min="8969" max="8969" width="4.42578125" style="50" customWidth="1"/>
    <col min="8970" max="8970" width="13.42578125" style="50" customWidth="1"/>
    <col min="8971" max="8975" width="11.5703125" style="50"/>
    <col min="8976" max="8976" width="4.5703125" style="50" customWidth="1"/>
    <col min="8977" max="9224" width="11.5703125" style="50"/>
    <col min="9225" max="9225" width="4.42578125" style="50" customWidth="1"/>
    <col min="9226" max="9226" width="13.42578125" style="50" customWidth="1"/>
    <col min="9227" max="9231" width="11.5703125" style="50"/>
    <col min="9232" max="9232" width="4.5703125" style="50" customWidth="1"/>
    <col min="9233" max="9480" width="11.5703125" style="50"/>
    <col min="9481" max="9481" width="4.42578125" style="50" customWidth="1"/>
    <col min="9482" max="9482" width="13.42578125" style="50" customWidth="1"/>
    <col min="9483" max="9487" width="11.5703125" style="50"/>
    <col min="9488" max="9488" width="4.5703125" style="50" customWidth="1"/>
    <col min="9489" max="9736" width="11.5703125" style="50"/>
    <col min="9737" max="9737" width="4.42578125" style="50" customWidth="1"/>
    <col min="9738" max="9738" width="13.42578125" style="50" customWidth="1"/>
    <col min="9739" max="9743" width="11.5703125" style="50"/>
    <col min="9744" max="9744" width="4.5703125" style="50" customWidth="1"/>
    <col min="9745" max="9992" width="11.5703125" style="50"/>
    <col min="9993" max="9993" width="4.42578125" style="50" customWidth="1"/>
    <col min="9994" max="9994" width="13.42578125" style="50" customWidth="1"/>
    <col min="9995" max="9999" width="11.5703125" style="50"/>
    <col min="10000" max="10000" width="4.5703125" style="50" customWidth="1"/>
    <col min="10001" max="10248" width="11.5703125" style="50"/>
    <col min="10249" max="10249" width="4.42578125" style="50" customWidth="1"/>
    <col min="10250" max="10250" width="13.42578125" style="50" customWidth="1"/>
    <col min="10251" max="10255" width="11.5703125" style="50"/>
    <col min="10256" max="10256" width="4.5703125" style="50" customWidth="1"/>
    <col min="10257" max="10504" width="11.5703125" style="50"/>
    <col min="10505" max="10505" width="4.42578125" style="50" customWidth="1"/>
    <col min="10506" max="10506" width="13.42578125" style="50" customWidth="1"/>
    <col min="10507" max="10511" width="11.5703125" style="50"/>
    <col min="10512" max="10512" width="4.5703125" style="50" customWidth="1"/>
    <col min="10513" max="10760" width="11.5703125" style="50"/>
    <col min="10761" max="10761" width="4.42578125" style="50" customWidth="1"/>
    <col min="10762" max="10762" width="13.42578125" style="50" customWidth="1"/>
    <col min="10763" max="10767" width="11.5703125" style="50"/>
    <col min="10768" max="10768" width="4.5703125" style="50" customWidth="1"/>
    <col min="10769" max="11016" width="11.5703125" style="50"/>
    <col min="11017" max="11017" width="4.42578125" style="50" customWidth="1"/>
    <col min="11018" max="11018" width="13.42578125" style="50" customWidth="1"/>
    <col min="11019" max="11023" width="11.5703125" style="50"/>
    <col min="11024" max="11024" width="4.5703125" style="50" customWidth="1"/>
    <col min="11025" max="11272" width="11.5703125" style="50"/>
    <col min="11273" max="11273" width="4.42578125" style="50" customWidth="1"/>
    <col min="11274" max="11274" width="13.42578125" style="50" customWidth="1"/>
    <col min="11275" max="11279" width="11.5703125" style="50"/>
    <col min="11280" max="11280" width="4.5703125" style="50" customWidth="1"/>
    <col min="11281" max="11528" width="11.5703125" style="50"/>
    <col min="11529" max="11529" width="4.42578125" style="50" customWidth="1"/>
    <col min="11530" max="11530" width="13.42578125" style="50" customWidth="1"/>
    <col min="11531" max="11535" width="11.5703125" style="50"/>
    <col min="11536" max="11536" width="4.5703125" style="50" customWidth="1"/>
    <col min="11537" max="11784" width="11.5703125" style="50"/>
    <col min="11785" max="11785" width="4.42578125" style="50" customWidth="1"/>
    <col min="11786" max="11786" width="13.42578125" style="50" customWidth="1"/>
    <col min="11787" max="11791" width="11.5703125" style="50"/>
    <col min="11792" max="11792" width="4.5703125" style="50" customWidth="1"/>
    <col min="11793" max="12040" width="11.5703125" style="50"/>
    <col min="12041" max="12041" width="4.42578125" style="50" customWidth="1"/>
    <col min="12042" max="12042" width="13.42578125" style="50" customWidth="1"/>
    <col min="12043" max="12047" width="11.5703125" style="50"/>
    <col min="12048" max="12048" width="4.5703125" style="50" customWidth="1"/>
    <col min="12049" max="12296" width="11.5703125" style="50"/>
    <col min="12297" max="12297" width="4.42578125" style="50" customWidth="1"/>
    <col min="12298" max="12298" width="13.42578125" style="50" customWidth="1"/>
    <col min="12299" max="12303" width="11.5703125" style="50"/>
    <col min="12304" max="12304" width="4.5703125" style="50" customWidth="1"/>
    <col min="12305" max="12552" width="11.5703125" style="50"/>
    <col min="12553" max="12553" width="4.42578125" style="50" customWidth="1"/>
    <col min="12554" max="12554" width="13.42578125" style="50" customWidth="1"/>
    <col min="12555" max="12559" width="11.5703125" style="50"/>
    <col min="12560" max="12560" width="4.5703125" style="50" customWidth="1"/>
    <col min="12561" max="12808" width="11.5703125" style="50"/>
    <col min="12809" max="12809" width="4.42578125" style="50" customWidth="1"/>
    <col min="12810" max="12810" width="13.42578125" style="50" customWidth="1"/>
    <col min="12811" max="12815" width="11.5703125" style="50"/>
    <col min="12816" max="12816" width="4.5703125" style="50" customWidth="1"/>
    <col min="12817" max="13064" width="11.5703125" style="50"/>
    <col min="13065" max="13065" width="4.42578125" style="50" customWidth="1"/>
    <col min="13066" max="13066" width="13.42578125" style="50" customWidth="1"/>
    <col min="13067" max="13071" width="11.5703125" style="50"/>
    <col min="13072" max="13072" width="4.5703125" style="50" customWidth="1"/>
    <col min="13073" max="13320" width="11.5703125" style="50"/>
    <col min="13321" max="13321" width="4.42578125" style="50" customWidth="1"/>
    <col min="13322" max="13322" width="13.42578125" style="50" customWidth="1"/>
    <col min="13323" max="13327" width="11.5703125" style="50"/>
    <col min="13328" max="13328" width="4.5703125" style="50" customWidth="1"/>
    <col min="13329" max="13576" width="11.5703125" style="50"/>
    <col min="13577" max="13577" width="4.42578125" style="50" customWidth="1"/>
    <col min="13578" max="13578" width="13.42578125" style="50" customWidth="1"/>
    <col min="13579" max="13583" width="11.5703125" style="50"/>
    <col min="13584" max="13584" width="4.5703125" style="50" customWidth="1"/>
    <col min="13585" max="13832" width="11.5703125" style="50"/>
    <col min="13833" max="13833" width="4.42578125" style="50" customWidth="1"/>
    <col min="13834" max="13834" width="13.42578125" style="50" customWidth="1"/>
    <col min="13835" max="13839" width="11.5703125" style="50"/>
    <col min="13840" max="13840" width="4.5703125" style="50" customWidth="1"/>
    <col min="13841" max="14088" width="11.5703125" style="50"/>
    <col min="14089" max="14089" width="4.42578125" style="50" customWidth="1"/>
    <col min="14090" max="14090" width="13.42578125" style="50" customWidth="1"/>
    <col min="14091" max="14095" width="11.5703125" style="50"/>
    <col min="14096" max="14096" width="4.5703125" style="50" customWidth="1"/>
    <col min="14097" max="14344" width="11.5703125" style="50"/>
    <col min="14345" max="14345" width="4.42578125" style="50" customWidth="1"/>
    <col min="14346" max="14346" width="13.42578125" style="50" customWidth="1"/>
    <col min="14347" max="14351" width="11.5703125" style="50"/>
    <col min="14352" max="14352" width="4.5703125" style="50" customWidth="1"/>
    <col min="14353" max="14600" width="11.5703125" style="50"/>
    <col min="14601" max="14601" width="4.42578125" style="50" customWidth="1"/>
    <col min="14602" max="14602" width="13.42578125" style="50" customWidth="1"/>
    <col min="14603" max="14607" width="11.5703125" style="50"/>
    <col min="14608" max="14608" width="4.5703125" style="50" customWidth="1"/>
    <col min="14609" max="14856" width="11.5703125" style="50"/>
    <col min="14857" max="14857" width="4.42578125" style="50" customWidth="1"/>
    <col min="14858" max="14858" width="13.42578125" style="50" customWidth="1"/>
    <col min="14859" max="14863" width="11.5703125" style="50"/>
    <col min="14864" max="14864" width="4.5703125" style="50" customWidth="1"/>
    <col min="14865" max="15112" width="11.5703125" style="50"/>
    <col min="15113" max="15113" width="4.42578125" style="50" customWidth="1"/>
    <col min="15114" max="15114" width="13.42578125" style="50" customWidth="1"/>
    <col min="15115" max="15119" width="11.5703125" style="50"/>
    <col min="15120" max="15120" width="4.5703125" style="50" customWidth="1"/>
    <col min="15121" max="15368" width="11.5703125" style="50"/>
    <col min="15369" max="15369" width="4.42578125" style="50" customWidth="1"/>
    <col min="15370" max="15370" width="13.42578125" style="50" customWidth="1"/>
    <col min="15371" max="15375" width="11.5703125" style="50"/>
    <col min="15376" max="15376" width="4.5703125" style="50" customWidth="1"/>
    <col min="15377" max="15624" width="11.5703125" style="50"/>
    <col min="15625" max="15625" width="4.42578125" style="50" customWidth="1"/>
    <col min="15626" max="15626" width="13.42578125" style="50" customWidth="1"/>
    <col min="15627" max="15631" width="11.5703125" style="50"/>
    <col min="15632" max="15632" width="4.5703125" style="50" customWidth="1"/>
    <col min="15633" max="15880" width="11.5703125" style="50"/>
    <col min="15881" max="15881" width="4.42578125" style="50" customWidth="1"/>
    <col min="15882" max="15882" width="13.42578125" style="50" customWidth="1"/>
    <col min="15883" max="15887" width="11.5703125" style="50"/>
    <col min="15888" max="15888" width="4.5703125" style="50" customWidth="1"/>
    <col min="15889" max="16136" width="11.5703125" style="50"/>
    <col min="16137" max="16137" width="4.42578125" style="50" customWidth="1"/>
    <col min="16138" max="16138" width="13.42578125" style="50" customWidth="1"/>
    <col min="16139" max="16143" width="11.5703125" style="50"/>
    <col min="16144" max="16144" width="4.5703125" style="50" customWidth="1"/>
    <col min="16145" max="16384" width="11.5703125" style="50"/>
  </cols>
  <sheetData>
    <row r="1" spans="2:33" hidden="1"/>
    <row r="2" spans="2:33" ht="21" customHeight="1">
      <c r="D2" s="100" t="s">
        <v>146</v>
      </c>
    </row>
    <row r="3" spans="2:33" ht="15" customHeight="1">
      <c r="D3" s="109" t="str">
        <f>Indice!E3</f>
        <v>Marzo 2024</v>
      </c>
    </row>
    <row r="4" spans="2:33" ht="20.100000000000001" customHeight="1">
      <c r="B4" s="99" t="s">
        <v>67</v>
      </c>
    </row>
    <row r="5" spans="2:33">
      <c r="G5" s="52"/>
      <c r="H5" s="53"/>
      <c r="I5" s="53"/>
      <c r="J5" s="53"/>
      <c r="K5" s="53"/>
      <c r="L5" s="53"/>
    </row>
    <row r="6" spans="2:33">
      <c r="AB6" s="54"/>
      <c r="AC6" s="54"/>
      <c r="AD6" s="54"/>
      <c r="AE6" s="54"/>
      <c r="AF6" s="54"/>
      <c r="AG6" s="54"/>
    </row>
    <row r="7" spans="2:33">
      <c r="B7" s="114" t="s">
        <v>41</v>
      </c>
      <c r="D7" s="4"/>
      <c r="N7" s="66"/>
      <c r="AB7" s="54"/>
      <c r="AC7" s="54"/>
      <c r="AD7" s="54"/>
      <c r="AE7" s="54"/>
      <c r="AF7" s="54"/>
      <c r="AG7" s="54"/>
    </row>
    <row r="8" spans="2:33">
      <c r="B8" s="43"/>
      <c r="D8" s="4"/>
      <c r="N8" s="129"/>
      <c r="P8" s="62"/>
      <c r="Q8" s="140"/>
      <c r="R8" s="141"/>
      <c r="S8" s="141"/>
      <c r="T8" s="141"/>
      <c r="U8" s="141"/>
      <c r="X8" s="141"/>
      <c r="Y8" s="141"/>
      <c r="Z8" s="141"/>
      <c r="AB8" s="54"/>
      <c r="AC8" s="54"/>
      <c r="AD8" s="54"/>
      <c r="AE8" s="54"/>
      <c r="AF8" s="54"/>
      <c r="AG8" s="54"/>
    </row>
    <row r="9" spans="2:33">
      <c r="B9" s="43"/>
      <c r="D9" s="4"/>
      <c r="N9" s="67"/>
      <c r="O9" s="59"/>
      <c r="P9" s="63"/>
      <c r="Q9" s="142"/>
      <c r="R9" s="142"/>
      <c r="S9" s="142"/>
      <c r="T9" s="142"/>
      <c r="U9" s="142"/>
      <c r="V9" s="58"/>
      <c r="X9" s="54"/>
      <c r="Y9" s="54"/>
      <c r="Z9" s="54"/>
      <c r="AB9" s="54"/>
      <c r="AC9" s="54"/>
      <c r="AD9" s="54"/>
      <c r="AE9" s="54"/>
      <c r="AF9" s="54"/>
      <c r="AG9" s="54"/>
    </row>
    <row r="10" spans="2:33">
      <c r="D10" s="4"/>
      <c r="N10" s="67"/>
      <c r="O10" s="59"/>
      <c r="P10" s="63"/>
      <c r="Q10" s="142"/>
      <c r="R10" s="142"/>
      <c r="S10" s="142"/>
      <c r="T10" s="142"/>
      <c r="U10" s="142"/>
      <c r="V10" s="58"/>
      <c r="X10" s="54"/>
      <c r="Y10" s="54"/>
      <c r="Z10" s="54"/>
      <c r="AB10" s="54"/>
      <c r="AC10" s="54"/>
      <c r="AD10" s="54"/>
      <c r="AE10" s="54"/>
      <c r="AF10" s="54"/>
      <c r="AG10" s="54"/>
    </row>
    <row r="11" spans="2:33">
      <c r="D11" s="4"/>
      <c r="N11" s="67"/>
      <c r="O11" s="59"/>
      <c r="P11" s="63"/>
      <c r="Q11" s="142"/>
      <c r="R11" s="142"/>
      <c r="S11" s="142"/>
      <c r="T11" s="142"/>
      <c r="U11" s="142"/>
      <c r="V11" s="58"/>
      <c r="X11" s="54"/>
      <c r="Y11" s="54"/>
      <c r="Z11" s="54"/>
      <c r="AB11" s="54"/>
      <c r="AC11" s="54"/>
      <c r="AD11" s="54"/>
      <c r="AE11" s="54"/>
      <c r="AF11" s="54"/>
      <c r="AG11" s="54"/>
    </row>
    <row r="12" spans="2:33">
      <c r="D12" s="4"/>
      <c r="N12" s="67"/>
      <c r="O12" s="59"/>
      <c r="P12" s="63"/>
      <c r="Q12" s="142"/>
      <c r="R12" s="142"/>
      <c r="S12" s="142"/>
      <c r="T12" s="142"/>
      <c r="U12" s="142"/>
      <c r="V12" s="58"/>
      <c r="X12" s="54"/>
      <c r="Y12" s="54"/>
      <c r="Z12" s="54"/>
      <c r="AB12" s="54"/>
      <c r="AC12" s="54"/>
      <c r="AD12" s="54"/>
      <c r="AE12" s="54"/>
      <c r="AF12" s="54"/>
      <c r="AG12" s="54"/>
    </row>
    <row r="13" spans="2:33">
      <c r="D13" s="4"/>
      <c r="N13" s="67"/>
      <c r="O13" s="59"/>
      <c r="P13" s="63"/>
      <c r="Q13" s="142"/>
      <c r="R13" s="142"/>
      <c r="S13" s="142"/>
      <c r="T13" s="142"/>
      <c r="U13" s="142"/>
      <c r="V13" s="58"/>
      <c r="X13" s="54"/>
      <c r="Y13" s="54"/>
      <c r="Z13" s="54"/>
      <c r="AB13" s="54"/>
      <c r="AC13" s="54"/>
      <c r="AD13" s="54"/>
      <c r="AE13" s="54"/>
      <c r="AF13" s="54"/>
      <c r="AG13" s="54"/>
    </row>
    <row r="14" spans="2:33">
      <c r="D14" s="4"/>
      <c r="N14" s="67"/>
      <c r="O14" s="59"/>
      <c r="P14" s="63"/>
      <c r="Q14" s="142"/>
      <c r="R14" s="142"/>
      <c r="S14" s="142"/>
      <c r="T14" s="142"/>
      <c r="U14" s="142"/>
      <c r="V14" s="58"/>
      <c r="X14" s="54"/>
      <c r="Y14" s="54"/>
      <c r="Z14" s="54"/>
      <c r="AB14" s="54"/>
      <c r="AC14" s="54"/>
      <c r="AD14" s="54"/>
      <c r="AE14" s="54"/>
      <c r="AF14" s="54"/>
      <c r="AG14" s="54"/>
    </row>
    <row r="15" spans="2:33">
      <c r="D15" s="4"/>
      <c r="N15" s="67"/>
      <c r="O15" s="59"/>
      <c r="P15" s="63"/>
      <c r="Q15" s="142"/>
      <c r="R15" s="142"/>
      <c r="S15" s="142"/>
      <c r="T15" s="142"/>
      <c r="U15" s="142"/>
      <c r="V15" s="58"/>
      <c r="X15" s="54"/>
      <c r="Y15" s="54"/>
      <c r="Z15" s="54"/>
      <c r="AB15" s="54"/>
      <c r="AC15" s="54"/>
      <c r="AD15" s="54"/>
      <c r="AE15" s="54"/>
      <c r="AF15" s="54"/>
      <c r="AG15" s="54"/>
    </row>
    <row r="16" spans="2:33">
      <c r="D16" s="4"/>
      <c r="N16" s="67"/>
      <c r="O16" s="59"/>
      <c r="P16" s="63"/>
      <c r="Q16" s="142"/>
      <c r="R16" s="142"/>
      <c r="S16" s="142"/>
      <c r="T16" s="142"/>
      <c r="U16" s="142"/>
      <c r="V16" s="58"/>
      <c r="X16" s="54"/>
      <c r="Y16" s="54"/>
      <c r="Z16" s="54"/>
      <c r="AB16" s="54"/>
      <c r="AC16" s="54"/>
      <c r="AD16" s="54"/>
      <c r="AE16" s="54"/>
      <c r="AF16" s="54"/>
      <c r="AG16" s="54"/>
    </row>
    <row r="17" spans="4:33">
      <c r="D17" s="4"/>
      <c r="N17" s="67"/>
      <c r="O17" s="59"/>
      <c r="P17" s="63"/>
      <c r="Q17" s="142"/>
      <c r="R17" s="142"/>
      <c r="S17" s="142"/>
      <c r="T17" s="142"/>
      <c r="U17" s="142"/>
      <c r="V17" s="58"/>
      <c r="X17" s="54"/>
      <c r="Y17" s="54"/>
      <c r="Z17" s="54"/>
      <c r="AB17" s="54"/>
      <c r="AC17" s="54"/>
      <c r="AD17" s="54"/>
      <c r="AE17" s="54"/>
      <c r="AF17" s="54"/>
      <c r="AG17" s="54"/>
    </row>
    <row r="18" spans="4:33">
      <c r="D18" s="4"/>
      <c r="N18" s="67"/>
      <c r="O18" s="59"/>
      <c r="P18" s="63"/>
      <c r="Q18" s="142"/>
      <c r="R18" s="142"/>
      <c r="S18" s="142"/>
      <c r="T18" s="142"/>
      <c r="U18" s="142"/>
      <c r="V18" s="58"/>
      <c r="X18" s="54"/>
      <c r="Y18" s="54"/>
      <c r="Z18" s="54"/>
      <c r="AB18" s="54"/>
      <c r="AC18" s="54"/>
      <c r="AD18" s="54"/>
      <c r="AE18" s="54"/>
      <c r="AF18" s="54"/>
      <c r="AG18" s="54"/>
    </row>
    <row r="19" spans="4:33" ht="11.25" customHeight="1">
      <c r="D19" s="4"/>
      <c r="N19" s="67"/>
      <c r="O19" s="59"/>
      <c r="P19" s="63"/>
      <c r="Q19" s="142"/>
      <c r="R19" s="142"/>
      <c r="S19" s="142"/>
      <c r="T19" s="142"/>
      <c r="U19" s="142"/>
      <c r="V19" s="58"/>
      <c r="X19" s="54"/>
      <c r="Y19" s="54"/>
      <c r="Z19" s="54"/>
      <c r="AB19" s="54"/>
      <c r="AC19" s="54"/>
      <c r="AD19" s="54"/>
      <c r="AE19" s="54"/>
      <c r="AF19" s="54"/>
      <c r="AG19" s="54"/>
    </row>
    <row r="20" spans="4:33">
      <c r="D20" s="4"/>
      <c r="N20" s="67"/>
      <c r="O20" s="59"/>
      <c r="P20" s="63"/>
      <c r="Q20" s="142"/>
      <c r="R20" s="142"/>
      <c r="S20" s="142"/>
      <c r="T20" s="142"/>
      <c r="U20" s="142"/>
      <c r="V20" s="58"/>
      <c r="X20" s="54"/>
      <c r="Y20" s="54"/>
      <c r="Z20" s="54"/>
      <c r="AB20" s="54"/>
      <c r="AC20" s="54"/>
      <c r="AD20" s="54"/>
      <c r="AE20" s="54"/>
      <c r="AF20" s="54"/>
      <c r="AG20" s="54"/>
    </row>
    <row r="21" spans="4:33">
      <c r="D21" s="4"/>
      <c r="N21" s="67"/>
      <c r="O21" s="59"/>
      <c r="P21" s="63"/>
      <c r="Q21" s="142"/>
      <c r="R21" s="142"/>
      <c r="S21" s="142"/>
      <c r="T21" s="142"/>
      <c r="U21" s="142"/>
      <c r="V21" s="58"/>
      <c r="X21" s="54"/>
      <c r="Y21" s="54"/>
      <c r="Z21" s="54"/>
      <c r="AB21" s="54"/>
      <c r="AC21" s="54"/>
      <c r="AD21" s="54"/>
      <c r="AE21" s="54"/>
      <c r="AF21" s="54"/>
      <c r="AG21" s="54"/>
    </row>
    <row r="22" spans="4:33">
      <c r="D22" s="41"/>
      <c r="N22" s="67"/>
      <c r="O22" s="59"/>
      <c r="P22" s="63"/>
      <c r="Q22" s="142"/>
      <c r="R22" s="142"/>
      <c r="S22" s="142"/>
      <c r="T22" s="142"/>
      <c r="U22" s="142"/>
      <c r="V22" s="58"/>
      <c r="X22" s="54"/>
      <c r="Y22" s="54"/>
      <c r="Z22" s="54"/>
      <c r="AB22" s="54"/>
      <c r="AC22" s="54"/>
      <c r="AD22" s="54"/>
      <c r="AE22" s="54"/>
      <c r="AF22" s="54"/>
      <c r="AG22" s="54"/>
    </row>
    <row r="23" spans="4:33">
      <c r="N23" s="67"/>
      <c r="O23" s="60"/>
      <c r="P23" s="63"/>
      <c r="Q23" s="142"/>
      <c r="R23" s="142"/>
      <c r="S23" s="142"/>
      <c r="T23" s="142"/>
      <c r="U23" s="142"/>
      <c r="V23" s="58"/>
      <c r="X23" s="54"/>
      <c r="Y23" s="54"/>
      <c r="Z23" s="54"/>
      <c r="AB23" s="54"/>
      <c r="AC23" s="54"/>
      <c r="AD23" s="54"/>
      <c r="AE23" s="54"/>
      <c r="AF23" s="54"/>
      <c r="AG23" s="54"/>
    </row>
    <row r="24" spans="4:33">
      <c r="N24" s="67"/>
      <c r="O24" s="60"/>
      <c r="P24" s="63"/>
      <c r="Q24" s="142"/>
      <c r="R24" s="142"/>
      <c r="S24" s="142"/>
      <c r="T24" s="142"/>
      <c r="U24" s="142"/>
      <c r="V24" s="58"/>
      <c r="X24" s="54"/>
      <c r="Y24" s="54"/>
      <c r="Z24" s="54"/>
      <c r="AB24" s="54"/>
      <c r="AC24" s="54"/>
      <c r="AD24" s="54"/>
      <c r="AE24" s="54"/>
      <c r="AF24" s="54"/>
      <c r="AG24" s="54"/>
    </row>
    <row r="25" spans="4:33">
      <c r="N25" s="67"/>
      <c r="O25" s="59"/>
      <c r="P25" s="63"/>
      <c r="Q25" s="142"/>
      <c r="R25" s="142"/>
      <c r="S25" s="142"/>
      <c r="T25" s="142"/>
      <c r="U25" s="142"/>
      <c r="V25" s="58"/>
      <c r="X25" s="54"/>
      <c r="Y25" s="54"/>
      <c r="Z25" s="54"/>
      <c r="AB25" s="54"/>
      <c r="AC25" s="54"/>
      <c r="AD25" s="54"/>
      <c r="AE25" s="54"/>
      <c r="AF25" s="54"/>
      <c r="AG25" s="54"/>
    </row>
    <row r="26" spans="4:33">
      <c r="N26" s="67"/>
      <c r="O26" s="59"/>
      <c r="P26" s="63"/>
      <c r="Q26" s="142"/>
      <c r="R26" s="142"/>
      <c r="S26" s="142"/>
      <c r="T26" s="142"/>
      <c r="U26" s="142"/>
      <c r="V26" s="58"/>
      <c r="X26" s="54"/>
      <c r="Y26" s="54"/>
      <c r="Z26" s="54"/>
      <c r="AB26" s="54"/>
      <c r="AC26" s="54"/>
      <c r="AD26" s="54"/>
      <c r="AE26" s="54"/>
      <c r="AF26" s="54"/>
      <c r="AG26" s="54"/>
    </row>
    <row r="27" spans="4:33">
      <c r="N27" s="67"/>
      <c r="O27" s="59"/>
      <c r="P27" s="63"/>
      <c r="Q27" s="142"/>
      <c r="R27" s="142"/>
      <c r="S27" s="142"/>
      <c r="T27" s="142"/>
      <c r="U27" s="142"/>
      <c r="V27" s="58"/>
      <c r="X27" s="54"/>
      <c r="Y27" s="54"/>
      <c r="Z27" s="54"/>
      <c r="AB27" s="54"/>
      <c r="AC27" s="54"/>
      <c r="AD27" s="54"/>
      <c r="AE27" s="54"/>
      <c r="AF27" s="54"/>
      <c r="AG27" s="54"/>
    </row>
    <row r="28" spans="4:33">
      <c r="N28" s="67"/>
      <c r="O28" s="59"/>
      <c r="P28" s="63"/>
      <c r="Q28" s="142"/>
      <c r="R28" s="142"/>
      <c r="S28" s="142"/>
      <c r="T28" s="142"/>
      <c r="U28" s="142"/>
      <c r="V28" s="58"/>
      <c r="X28" s="54"/>
      <c r="Y28" s="54"/>
      <c r="Z28" s="54"/>
      <c r="AB28" s="54"/>
      <c r="AC28" s="54"/>
      <c r="AD28" s="54"/>
      <c r="AE28" s="54"/>
      <c r="AF28" s="54"/>
      <c r="AG28" s="54"/>
    </row>
    <row r="29" spans="4:33">
      <c r="N29" s="67"/>
      <c r="O29" s="59"/>
      <c r="P29" s="63"/>
      <c r="Q29" s="142"/>
      <c r="R29" s="142"/>
      <c r="S29" s="142"/>
      <c r="T29" s="142"/>
      <c r="U29" s="142"/>
      <c r="V29" s="58"/>
      <c r="X29" s="54"/>
      <c r="Y29" s="54"/>
      <c r="Z29" s="54"/>
      <c r="AB29" s="54"/>
      <c r="AC29" s="54"/>
      <c r="AD29" s="54"/>
      <c r="AE29" s="54"/>
      <c r="AF29" s="54"/>
      <c r="AG29" s="54"/>
    </row>
    <row r="30" spans="4:33">
      <c r="E30" s="65"/>
      <c r="N30" s="67"/>
      <c r="O30" s="59"/>
      <c r="P30" s="63"/>
      <c r="Q30" s="142"/>
      <c r="R30" s="142"/>
      <c r="S30" s="142"/>
      <c r="T30" s="142"/>
      <c r="U30" s="142"/>
      <c r="V30" s="58"/>
      <c r="X30" s="54"/>
      <c r="Y30" s="54"/>
      <c r="Z30" s="54"/>
      <c r="AA30" s="54"/>
      <c r="AB30" s="54"/>
      <c r="AC30" s="54"/>
      <c r="AD30" s="54"/>
      <c r="AE30" s="54"/>
      <c r="AF30" s="54"/>
      <c r="AG30" s="54"/>
    </row>
    <row r="31" spans="4:33">
      <c r="N31" s="67"/>
      <c r="O31" s="59"/>
      <c r="P31" s="63"/>
      <c r="Q31" s="142"/>
      <c r="R31" s="142"/>
      <c r="S31" s="142"/>
      <c r="T31" s="142"/>
      <c r="U31" s="142"/>
      <c r="V31" s="58"/>
      <c r="X31" s="54"/>
      <c r="Y31" s="54"/>
      <c r="Z31" s="54"/>
      <c r="AA31" s="54"/>
      <c r="AB31" s="54"/>
      <c r="AC31" s="54"/>
      <c r="AD31" s="54"/>
      <c r="AE31" s="54"/>
      <c r="AF31" s="54"/>
      <c r="AG31" s="54"/>
    </row>
    <row r="32" spans="4:33">
      <c r="N32" s="67"/>
      <c r="O32" s="59"/>
      <c r="P32" s="63"/>
      <c r="Q32" s="142"/>
      <c r="R32" s="142"/>
      <c r="S32" s="142"/>
      <c r="T32" s="142"/>
      <c r="U32" s="142"/>
      <c r="V32" s="58"/>
      <c r="X32" s="54"/>
      <c r="Y32" s="54"/>
      <c r="Z32" s="54"/>
      <c r="AA32" s="54"/>
      <c r="AB32" s="54"/>
      <c r="AC32" s="54"/>
      <c r="AD32" s="54"/>
      <c r="AE32" s="54"/>
      <c r="AF32" s="54"/>
      <c r="AG32" s="54"/>
    </row>
    <row r="33" spans="4:33">
      <c r="E33" s="54"/>
      <c r="N33" s="67"/>
      <c r="O33" s="59"/>
      <c r="P33" s="63"/>
      <c r="Q33" s="142"/>
      <c r="R33" s="142"/>
      <c r="S33" s="142"/>
      <c r="T33" s="142"/>
      <c r="U33" s="142"/>
      <c r="V33" s="58"/>
      <c r="X33" s="54"/>
      <c r="Y33" s="54"/>
      <c r="Z33" s="54"/>
      <c r="AA33" s="54"/>
      <c r="AB33" s="54"/>
      <c r="AC33" s="54"/>
      <c r="AD33" s="54"/>
      <c r="AE33" s="54"/>
      <c r="AF33" s="54"/>
      <c r="AG33" s="54"/>
    </row>
    <row r="34" spans="4:33">
      <c r="E34" s="54"/>
      <c r="N34" s="67"/>
      <c r="O34" s="59"/>
      <c r="P34" s="63"/>
      <c r="Q34" s="142"/>
      <c r="R34" s="142"/>
      <c r="S34" s="142"/>
      <c r="T34" s="142"/>
      <c r="U34" s="142"/>
      <c r="V34" s="58"/>
      <c r="X34" s="54"/>
      <c r="Y34" s="54"/>
      <c r="Z34" s="54"/>
      <c r="AA34" s="54"/>
      <c r="AB34" s="54"/>
      <c r="AC34" s="54"/>
      <c r="AD34" s="54"/>
      <c r="AE34" s="54"/>
      <c r="AF34" s="54"/>
      <c r="AG34" s="54"/>
    </row>
    <row r="35" spans="4:33">
      <c r="E35" s="54"/>
      <c r="N35" s="67"/>
      <c r="O35" s="59"/>
      <c r="P35" s="63"/>
      <c r="Q35" s="142"/>
      <c r="R35" s="142"/>
      <c r="S35" s="142"/>
      <c r="T35" s="142"/>
      <c r="U35" s="142"/>
      <c r="V35" s="58"/>
      <c r="X35" s="54"/>
      <c r="Y35" s="54"/>
      <c r="Z35" s="54"/>
      <c r="AA35" s="54"/>
      <c r="AB35" s="54"/>
      <c r="AC35" s="54"/>
      <c r="AD35" s="54"/>
      <c r="AE35" s="54"/>
      <c r="AF35" s="54"/>
      <c r="AG35" s="54"/>
    </row>
    <row r="36" spans="4:33">
      <c r="E36" s="54"/>
      <c r="N36" s="67"/>
      <c r="O36" s="59"/>
      <c r="P36" s="63"/>
      <c r="Q36" s="142"/>
      <c r="R36" s="142"/>
      <c r="S36" s="142"/>
      <c r="T36" s="142"/>
      <c r="U36" s="142"/>
      <c r="V36" s="58"/>
      <c r="X36" s="54"/>
      <c r="Y36" s="54"/>
      <c r="Z36" s="54"/>
      <c r="AA36" s="54"/>
      <c r="AB36" s="54"/>
      <c r="AC36" s="54"/>
      <c r="AD36" s="54"/>
      <c r="AE36" s="54"/>
      <c r="AF36" s="54"/>
      <c r="AG36" s="54"/>
    </row>
    <row r="37" spans="4:33">
      <c r="E37" s="54"/>
      <c r="N37" s="67"/>
      <c r="O37" s="59"/>
      <c r="P37" s="63"/>
      <c r="Q37" s="142"/>
      <c r="R37" s="142"/>
      <c r="S37" s="142"/>
      <c r="T37" s="142"/>
      <c r="U37" s="142"/>
      <c r="V37" s="58"/>
      <c r="X37" s="54"/>
      <c r="Y37" s="54"/>
      <c r="Z37" s="54"/>
      <c r="AA37" s="54"/>
      <c r="AB37" s="54"/>
      <c r="AC37" s="54"/>
      <c r="AD37" s="54"/>
      <c r="AE37" s="54"/>
      <c r="AF37" s="54"/>
      <c r="AG37" s="54"/>
    </row>
    <row r="38" spans="4:33">
      <c r="E38" s="54"/>
      <c r="N38" s="67"/>
      <c r="O38" s="59"/>
      <c r="P38" s="63"/>
      <c r="Q38" s="142"/>
      <c r="R38" s="142"/>
      <c r="S38" s="142"/>
      <c r="T38" s="142"/>
      <c r="U38" s="142"/>
      <c r="V38" s="58"/>
      <c r="X38" s="54"/>
      <c r="Y38" s="54"/>
      <c r="Z38" s="54"/>
      <c r="AA38" s="54"/>
      <c r="AB38" s="54"/>
      <c r="AC38" s="54"/>
      <c r="AD38" s="54"/>
      <c r="AE38" s="54"/>
      <c r="AF38" s="54"/>
      <c r="AG38" s="54"/>
    </row>
    <row r="39" spans="4:33">
      <c r="D39" s="41"/>
      <c r="E39" s="54"/>
      <c r="N39" s="67"/>
      <c r="O39" s="59"/>
      <c r="P39" s="63"/>
      <c r="Q39" s="142"/>
      <c r="R39" s="142"/>
      <c r="S39" s="142"/>
      <c r="T39" s="142"/>
      <c r="U39" s="142"/>
      <c r="V39" s="58"/>
      <c r="X39" s="54"/>
      <c r="Y39" s="54"/>
      <c r="Z39" s="54"/>
      <c r="AA39" s="54"/>
      <c r="AB39" s="54"/>
      <c r="AC39" s="54"/>
      <c r="AD39" s="54"/>
      <c r="AE39" s="54"/>
      <c r="AF39" s="54"/>
      <c r="AG39" s="54"/>
    </row>
    <row r="40" spans="4:33">
      <c r="E40" s="54"/>
      <c r="N40" s="67"/>
      <c r="O40" s="59"/>
      <c r="P40" s="63"/>
      <c r="Q40" s="142"/>
      <c r="R40" s="142"/>
      <c r="S40" s="142"/>
      <c r="T40" s="142"/>
      <c r="U40" s="142"/>
      <c r="V40" s="58"/>
      <c r="X40" s="54"/>
      <c r="Y40" s="54"/>
      <c r="Z40" s="54"/>
      <c r="AA40" s="54"/>
      <c r="AB40" s="54"/>
      <c r="AC40" s="54"/>
      <c r="AD40" s="54"/>
      <c r="AE40" s="54"/>
      <c r="AF40" s="54"/>
      <c r="AG40" s="54"/>
    </row>
    <row r="41" spans="4:33">
      <c r="E41" s="54"/>
      <c r="N41" s="67"/>
      <c r="O41" s="59"/>
      <c r="P41" s="63"/>
      <c r="Q41" s="142"/>
      <c r="R41" s="142"/>
      <c r="S41" s="142"/>
      <c r="T41" s="142"/>
      <c r="U41" s="142"/>
      <c r="V41" s="58"/>
      <c r="X41" s="54"/>
      <c r="Y41" s="54"/>
      <c r="Z41" s="54"/>
      <c r="AA41" s="54"/>
      <c r="AB41" s="54"/>
      <c r="AC41" s="54"/>
      <c r="AD41" s="54"/>
      <c r="AE41" s="54"/>
      <c r="AF41" s="54"/>
      <c r="AG41" s="54"/>
    </row>
    <row r="42" spans="4:33">
      <c r="E42" s="54"/>
      <c r="N42" s="67"/>
      <c r="O42" s="59"/>
      <c r="P42" s="63"/>
      <c r="Q42" s="142"/>
      <c r="R42" s="142"/>
      <c r="S42" s="142"/>
      <c r="T42" s="142"/>
      <c r="U42" s="142"/>
      <c r="V42" s="58"/>
      <c r="X42" s="54"/>
      <c r="Y42" s="54"/>
      <c r="Z42" s="54"/>
      <c r="AA42" s="54"/>
      <c r="AB42" s="54"/>
      <c r="AC42" s="54"/>
      <c r="AD42" s="54"/>
      <c r="AE42" s="54"/>
      <c r="AF42" s="54"/>
      <c r="AG42" s="54"/>
    </row>
    <row r="43" spans="4:33">
      <c r="E43" s="54"/>
      <c r="N43" s="67"/>
      <c r="O43" s="59"/>
      <c r="P43" s="63"/>
      <c r="Q43" s="142"/>
      <c r="R43" s="142"/>
      <c r="S43" s="142"/>
      <c r="T43" s="142"/>
      <c r="U43" s="142"/>
      <c r="V43" s="58"/>
      <c r="X43" s="54"/>
      <c r="Y43" s="54"/>
      <c r="Z43" s="54"/>
      <c r="AA43" s="54"/>
      <c r="AB43" s="54"/>
      <c r="AC43" s="54"/>
      <c r="AD43" s="54"/>
      <c r="AE43" s="54"/>
      <c r="AF43" s="54"/>
      <c r="AG43" s="54"/>
    </row>
    <row r="44" spans="4:33">
      <c r="E44" s="54"/>
      <c r="N44" s="67"/>
      <c r="O44" s="59"/>
      <c r="P44" s="63"/>
      <c r="Q44" s="142"/>
      <c r="R44" s="142"/>
      <c r="S44" s="142"/>
      <c r="T44" s="142"/>
      <c r="U44" s="142"/>
      <c r="V44" s="58"/>
      <c r="X44" s="54"/>
      <c r="Y44" s="54"/>
      <c r="Z44" s="54"/>
      <c r="AA44" s="54"/>
      <c r="AB44" s="54"/>
      <c r="AC44" s="54"/>
      <c r="AD44" s="54"/>
      <c r="AE44" s="54"/>
      <c r="AF44" s="54"/>
      <c r="AG44" s="54"/>
    </row>
    <row r="45" spans="4:33">
      <c r="E45" s="58"/>
      <c r="N45" s="67"/>
      <c r="O45" s="59"/>
      <c r="P45" s="63"/>
      <c r="Q45" s="142"/>
      <c r="R45" s="142"/>
      <c r="S45" s="142"/>
      <c r="T45" s="142"/>
      <c r="U45" s="142"/>
      <c r="V45" s="58"/>
      <c r="X45" s="54"/>
      <c r="Y45" s="54"/>
      <c r="Z45" s="54"/>
      <c r="AA45" s="54"/>
      <c r="AB45" s="54"/>
      <c r="AC45" s="54"/>
      <c r="AD45" s="54"/>
      <c r="AE45" s="54"/>
      <c r="AF45" s="54"/>
      <c r="AG45" s="54"/>
    </row>
    <row r="46" spans="4:33">
      <c r="E46" s="58"/>
      <c r="N46" s="67"/>
      <c r="O46" s="59"/>
      <c r="P46" s="63"/>
      <c r="Q46" s="142"/>
      <c r="R46" s="142"/>
      <c r="S46" s="142"/>
      <c r="T46" s="142"/>
      <c r="U46" s="142"/>
      <c r="V46" s="58"/>
      <c r="X46" s="54"/>
      <c r="Y46" s="54"/>
      <c r="Z46" s="54"/>
      <c r="AA46" s="54"/>
      <c r="AB46" s="54"/>
      <c r="AC46" s="54"/>
      <c r="AD46" s="54"/>
      <c r="AE46" s="54"/>
      <c r="AF46" s="54"/>
      <c r="AG46" s="54"/>
    </row>
    <row r="47" spans="4:33">
      <c r="E47" s="58"/>
      <c r="N47" s="67"/>
      <c r="O47" s="59"/>
      <c r="P47" s="63"/>
      <c r="Q47" s="142"/>
      <c r="R47" s="142"/>
      <c r="S47" s="142"/>
      <c r="T47" s="142"/>
      <c r="U47" s="142"/>
      <c r="V47" s="58"/>
      <c r="X47" s="54"/>
      <c r="Y47" s="54"/>
      <c r="Z47" s="54"/>
      <c r="AA47" s="54"/>
      <c r="AB47" s="54"/>
      <c r="AC47" s="54"/>
      <c r="AD47" s="54"/>
      <c r="AE47" s="54"/>
      <c r="AF47" s="54"/>
      <c r="AG47" s="54"/>
    </row>
    <row r="48" spans="4:33">
      <c r="E48" s="58"/>
      <c r="N48" s="67"/>
      <c r="O48" s="59"/>
      <c r="P48" s="63"/>
      <c r="Q48" s="142"/>
      <c r="R48" s="142"/>
      <c r="S48" s="142"/>
      <c r="T48" s="142"/>
      <c r="U48" s="142"/>
      <c r="V48" s="58"/>
      <c r="X48" s="54"/>
      <c r="Y48" s="54"/>
      <c r="Z48" s="54"/>
      <c r="AA48" s="54"/>
      <c r="AB48" s="54"/>
      <c r="AC48" s="54"/>
      <c r="AD48" s="54"/>
      <c r="AE48" s="54"/>
      <c r="AF48" s="54"/>
      <c r="AG48" s="54"/>
    </row>
    <row r="49" spans="5:33">
      <c r="E49" s="58"/>
      <c r="N49" s="67"/>
      <c r="O49" s="59"/>
      <c r="P49" s="63"/>
      <c r="Q49" s="142"/>
      <c r="R49" s="142"/>
      <c r="S49" s="142"/>
      <c r="T49" s="142"/>
      <c r="U49" s="142"/>
      <c r="V49" s="58"/>
      <c r="X49" s="54"/>
      <c r="Y49" s="54"/>
      <c r="Z49" s="54"/>
      <c r="AA49" s="54"/>
      <c r="AB49" s="54"/>
      <c r="AC49" s="54"/>
      <c r="AD49" s="54"/>
      <c r="AE49" s="54"/>
      <c r="AF49" s="54"/>
      <c r="AG49" s="54"/>
    </row>
    <row r="50" spans="5:33">
      <c r="E50" s="58"/>
      <c r="N50" s="67"/>
      <c r="O50" s="59"/>
      <c r="P50" s="63"/>
      <c r="Q50" s="142"/>
      <c r="R50" s="142"/>
      <c r="S50" s="142"/>
      <c r="T50" s="142"/>
      <c r="U50" s="142"/>
      <c r="V50" s="58"/>
      <c r="X50" s="54"/>
      <c r="Y50" s="54"/>
      <c r="Z50" s="54"/>
      <c r="AA50" s="54"/>
      <c r="AB50" s="54"/>
      <c r="AC50" s="54"/>
      <c r="AD50" s="54"/>
      <c r="AE50" s="54"/>
      <c r="AF50" s="54"/>
      <c r="AG50" s="54"/>
    </row>
    <row r="51" spans="5:33">
      <c r="E51" s="58"/>
      <c r="N51" s="67"/>
      <c r="O51" s="59"/>
      <c r="P51" s="63"/>
      <c r="Q51" s="142"/>
      <c r="R51" s="142"/>
      <c r="S51" s="142"/>
      <c r="T51" s="142"/>
      <c r="U51" s="142"/>
      <c r="V51" s="58"/>
      <c r="X51" s="54"/>
      <c r="Y51" s="54"/>
      <c r="Z51" s="54"/>
      <c r="AA51" s="54"/>
      <c r="AB51" s="54"/>
      <c r="AC51" s="54"/>
      <c r="AD51" s="54"/>
      <c r="AE51" s="54"/>
      <c r="AF51" s="54"/>
      <c r="AG51" s="54"/>
    </row>
    <row r="52" spans="5:33">
      <c r="E52" s="54"/>
      <c r="N52" s="67"/>
      <c r="O52" s="59"/>
      <c r="P52" s="63"/>
      <c r="Q52" s="142"/>
      <c r="R52" s="142"/>
      <c r="S52" s="142"/>
      <c r="T52" s="142"/>
      <c r="U52" s="142"/>
      <c r="V52" s="58"/>
      <c r="X52" s="54"/>
      <c r="Y52" s="54"/>
      <c r="Z52" s="54"/>
      <c r="AA52" s="54"/>
      <c r="AB52" s="54"/>
      <c r="AC52" s="54"/>
      <c r="AD52" s="54"/>
      <c r="AE52" s="54"/>
      <c r="AF52" s="54"/>
      <c r="AG52" s="54"/>
    </row>
    <row r="53" spans="5:33">
      <c r="E53" s="54"/>
      <c r="N53" s="67"/>
      <c r="O53" s="59"/>
      <c r="P53" s="63"/>
      <c r="Q53" s="142"/>
      <c r="R53" s="142"/>
      <c r="S53" s="142"/>
      <c r="T53" s="142"/>
      <c r="U53" s="142"/>
      <c r="V53" s="58"/>
      <c r="X53" s="54"/>
      <c r="Y53" s="54"/>
      <c r="Z53" s="54"/>
      <c r="AA53" s="54"/>
      <c r="AB53" s="54"/>
      <c r="AC53" s="54"/>
      <c r="AD53" s="54"/>
      <c r="AE53" s="54"/>
      <c r="AF53" s="54"/>
      <c r="AG53" s="54"/>
    </row>
    <row r="54" spans="5:33">
      <c r="E54" s="54"/>
      <c r="N54" s="67"/>
      <c r="O54" s="60">
        <v>42217</v>
      </c>
      <c r="P54" s="63"/>
      <c r="Q54" s="142"/>
      <c r="R54" s="142"/>
      <c r="S54" s="142"/>
      <c r="T54" s="142"/>
      <c r="U54" s="142"/>
      <c r="V54" s="58"/>
      <c r="X54" s="54"/>
      <c r="Y54" s="54"/>
      <c r="Z54" s="54"/>
      <c r="AA54" s="54"/>
      <c r="AB54" s="54"/>
    </row>
    <row r="55" spans="5:33">
      <c r="E55" s="54"/>
      <c r="N55" s="67"/>
      <c r="O55" s="60"/>
      <c r="P55" s="63"/>
      <c r="Q55" s="142"/>
      <c r="R55" s="142"/>
      <c r="S55" s="142"/>
      <c r="T55" s="142"/>
      <c r="U55" s="142"/>
      <c r="V55" s="58"/>
      <c r="X55" s="54"/>
      <c r="Y55" s="54"/>
      <c r="Z55" s="54"/>
      <c r="AA55" s="54"/>
      <c r="AB55" s="54"/>
    </row>
    <row r="56" spans="5:33">
      <c r="E56" s="54"/>
      <c r="N56" s="67"/>
      <c r="O56" s="59"/>
      <c r="P56" s="63"/>
      <c r="Q56" s="142"/>
      <c r="R56" s="142"/>
      <c r="S56" s="142"/>
      <c r="T56" s="142"/>
      <c r="U56" s="142"/>
      <c r="V56" s="58"/>
      <c r="X56" s="54"/>
      <c r="Y56" s="54"/>
      <c r="Z56" s="54"/>
      <c r="AA56" s="54"/>
      <c r="AB56" s="54"/>
    </row>
    <row r="57" spans="5:33">
      <c r="E57" s="64"/>
      <c r="N57" s="67"/>
      <c r="O57" s="59"/>
      <c r="P57" s="63"/>
      <c r="Q57" s="142"/>
      <c r="R57" s="142"/>
      <c r="S57" s="142"/>
      <c r="T57" s="142"/>
      <c r="U57" s="142"/>
      <c r="V57" s="58"/>
      <c r="X57" s="54"/>
      <c r="Y57" s="54"/>
      <c r="Z57" s="54"/>
      <c r="AA57" s="54"/>
      <c r="AB57" s="54"/>
    </row>
    <row r="58" spans="5:33">
      <c r="E58" s="64"/>
      <c r="N58" s="67"/>
      <c r="O58" s="59"/>
      <c r="P58" s="63"/>
      <c r="Q58" s="142"/>
      <c r="R58" s="142"/>
      <c r="S58" s="142"/>
      <c r="T58" s="142"/>
      <c r="U58" s="142"/>
      <c r="V58" s="58"/>
      <c r="X58" s="54"/>
      <c r="Y58" s="54"/>
      <c r="Z58" s="54"/>
      <c r="AA58" s="54"/>
      <c r="AB58" s="54"/>
    </row>
    <row r="59" spans="5:33">
      <c r="E59" s="64"/>
      <c r="N59" s="67"/>
      <c r="O59" s="59"/>
      <c r="P59" s="63"/>
      <c r="Q59" s="142"/>
      <c r="R59" s="142"/>
      <c r="S59" s="142"/>
      <c r="T59" s="142"/>
      <c r="U59" s="142"/>
      <c r="V59" s="58"/>
      <c r="X59" s="54"/>
      <c r="Y59" s="54"/>
      <c r="Z59" s="54"/>
      <c r="AA59" s="54"/>
      <c r="AB59" s="54"/>
    </row>
    <row r="60" spans="5:33">
      <c r="E60" s="64"/>
      <c r="N60" s="67"/>
      <c r="O60" s="59"/>
      <c r="P60" s="63"/>
      <c r="Q60" s="142"/>
      <c r="R60" s="142"/>
      <c r="S60" s="142"/>
      <c r="T60" s="142"/>
      <c r="U60" s="142"/>
      <c r="V60" s="58"/>
      <c r="X60" s="54"/>
      <c r="Y60" s="54"/>
      <c r="Z60" s="54"/>
      <c r="AB60" s="54"/>
    </row>
    <row r="61" spans="5:33">
      <c r="E61" s="64"/>
      <c r="N61" s="67"/>
      <c r="O61" s="59"/>
      <c r="P61" s="63"/>
      <c r="Q61" s="142"/>
      <c r="R61" s="142"/>
      <c r="S61" s="142"/>
      <c r="T61" s="142"/>
      <c r="U61" s="142"/>
      <c r="V61" s="58"/>
      <c r="X61" s="54"/>
      <c r="Y61" s="54"/>
      <c r="Z61" s="54"/>
    </row>
    <row r="62" spans="5:33">
      <c r="E62" s="64"/>
      <c r="N62" s="67"/>
      <c r="O62" s="59"/>
      <c r="P62" s="63"/>
      <c r="Q62" s="142"/>
      <c r="R62" s="142"/>
      <c r="S62" s="142"/>
      <c r="T62" s="142"/>
      <c r="U62" s="142"/>
      <c r="V62" s="58"/>
      <c r="X62" s="54"/>
      <c r="Y62" s="54"/>
      <c r="Z62" s="54"/>
    </row>
    <row r="63" spans="5:33">
      <c r="E63" s="64"/>
      <c r="N63" s="67"/>
      <c r="O63" s="59"/>
      <c r="P63" s="63"/>
      <c r="Q63" s="142"/>
      <c r="R63" s="142"/>
      <c r="S63" s="142"/>
      <c r="T63" s="142"/>
      <c r="U63" s="142"/>
      <c r="V63" s="58"/>
      <c r="X63" s="54"/>
      <c r="Y63" s="54"/>
      <c r="Z63" s="54"/>
    </row>
    <row r="64" spans="5:33">
      <c r="E64" s="64"/>
      <c r="N64" s="67">
        <f>'Data 3'!I60-'Data 3'!I59</f>
        <v>0</v>
      </c>
      <c r="O64" s="61">
        <f>'Data 3'!I60-'Data 3'!I48</f>
        <v>-39.202692689261895</v>
      </c>
      <c r="P64" s="63"/>
      <c r="Q64" s="142"/>
      <c r="R64" s="142"/>
      <c r="S64" s="142"/>
      <c r="T64" s="142"/>
      <c r="U64" s="142"/>
      <c r="V64" s="58"/>
      <c r="X64" s="54"/>
      <c r="Y64" s="54"/>
      <c r="Z64" s="54"/>
    </row>
    <row r="65" spans="5:26">
      <c r="E65" s="64"/>
      <c r="N65" s="67"/>
      <c r="O65" s="59"/>
      <c r="P65" s="63"/>
      <c r="Q65" s="142"/>
      <c r="R65" s="142"/>
      <c r="S65" s="142"/>
      <c r="T65" s="142"/>
      <c r="U65" s="142"/>
      <c r="V65" s="58"/>
      <c r="X65" s="54"/>
      <c r="Y65" s="54"/>
      <c r="Z65" s="54"/>
    </row>
    <row r="66" spans="5:26">
      <c r="E66" s="64"/>
      <c r="N66" s="67"/>
      <c r="O66" s="59"/>
      <c r="P66" s="63"/>
      <c r="Q66" s="142"/>
      <c r="R66" s="142"/>
      <c r="S66" s="142"/>
      <c r="T66" s="142"/>
      <c r="U66" s="142"/>
      <c r="V66" s="58"/>
      <c r="X66" s="54"/>
      <c r="Y66" s="54"/>
      <c r="Z66" s="54"/>
    </row>
    <row r="67" spans="5:26">
      <c r="E67" s="64"/>
      <c r="N67" s="67"/>
      <c r="O67" s="59"/>
      <c r="P67" s="63"/>
      <c r="Q67" s="142"/>
      <c r="R67" s="142"/>
      <c r="S67" s="142"/>
      <c r="T67" s="142"/>
      <c r="U67" s="142"/>
      <c r="V67" s="58"/>
      <c r="X67" s="54"/>
      <c r="Y67" s="54"/>
      <c r="Z67" s="54"/>
    </row>
    <row r="68" spans="5:26">
      <c r="E68" s="64"/>
      <c r="N68" s="67"/>
      <c r="O68" s="59"/>
      <c r="P68" s="63"/>
      <c r="Q68" s="142"/>
      <c r="R68" s="142"/>
      <c r="S68" s="142"/>
      <c r="T68" s="142"/>
      <c r="U68" s="142"/>
      <c r="V68" s="58"/>
      <c r="X68" s="54"/>
      <c r="Y68" s="54"/>
      <c r="Z68" s="54"/>
    </row>
    <row r="69" spans="5:26">
      <c r="N69" s="68"/>
      <c r="O69" s="59"/>
      <c r="P69" s="63"/>
      <c r="Q69" s="142"/>
      <c r="R69" s="142"/>
      <c r="S69" s="142"/>
      <c r="T69" s="142"/>
      <c r="U69" s="142"/>
      <c r="V69" s="58"/>
      <c r="X69" s="54"/>
      <c r="Y69" s="54"/>
      <c r="Z69" s="54"/>
    </row>
    <row r="70" spans="5:26">
      <c r="O70" s="59"/>
      <c r="P70" s="63"/>
      <c r="Q70" s="142"/>
      <c r="R70" s="142"/>
      <c r="S70" s="142"/>
      <c r="T70" s="142"/>
      <c r="U70" s="142"/>
      <c r="V70" s="58"/>
      <c r="X70" s="54"/>
      <c r="Y70" s="54"/>
      <c r="Z70" s="54"/>
    </row>
    <row r="71" spans="5:26">
      <c r="O71" s="59"/>
      <c r="P71" s="63"/>
      <c r="Q71" s="142"/>
      <c r="R71" s="142"/>
      <c r="S71" s="142"/>
      <c r="T71" s="142"/>
      <c r="U71" s="142"/>
      <c r="V71" s="58"/>
      <c r="X71" s="54"/>
      <c r="Y71" s="54"/>
      <c r="Z71" s="54"/>
    </row>
    <row r="72" spans="5:26">
      <c r="O72" s="59"/>
      <c r="P72" s="63"/>
      <c r="Q72" s="142"/>
      <c r="R72" s="142"/>
      <c r="S72" s="142"/>
      <c r="T72" s="142"/>
      <c r="U72" s="142"/>
      <c r="V72" s="58"/>
      <c r="X72" s="54"/>
      <c r="Y72" s="54"/>
      <c r="Z72" s="54"/>
    </row>
    <row r="73" spans="5:26">
      <c r="O73" s="59"/>
      <c r="P73" s="63"/>
      <c r="Q73" s="142"/>
      <c r="R73" s="142"/>
      <c r="S73" s="142"/>
      <c r="T73" s="142"/>
      <c r="U73" s="142"/>
      <c r="V73" s="58"/>
      <c r="X73" s="54"/>
      <c r="Y73" s="54"/>
      <c r="Z73" s="54"/>
    </row>
    <row r="74" spans="5:26">
      <c r="O74" s="59"/>
      <c r="P74" s="63"/>
      <c r="Q74" s="142"/>
      <c r="R74" s="142"/>
      <c r="S74" s="142"/>
      <c r="T74" s="142"/>
      <c r="U74" s="142"/>
      <c r="V74" s="58"/>
      <c r="X74" s="54"/>
      <c r="Y74" s="54"/>
      <c r="Z74" s="54"/>
    </row>
    <row r="75" spans="5:26">
      <c r="O75" s="59"/>
      <c r="P75" s="63"/>
      <c r="Q75" s="142"/>
      <c r="R75" s="142"/>
      <c r="S75" s="142"/>
      <c r="T75" s="142"/>
      <c r="U75" s="142"/>
      <c r="V75" s="58"/>
      <c r="X75" s="54"/>
      <c r="Y75" s="54"/>
      <c r="Z75" s="54"/>
    </row>
    <row r="76" spans="5:26">
      <c r="O76" s="59"/>
      <c r="P76" s="63"/>
      <c r="Q76" s="142"/>
      <c r="R76" s="142"/>
      <c r="S76" s="142"/>
      <c r="T76" s="142"/>
      <c r="U76" s="142"/>
      <c r="V76" s="58"/>
      <c r="X76" s="54"/>
      <c r="Y76" s="54"/>
      <c r="Z76" s="54"/>
    </row>
    <row r="77" spans="5:26">
      <c r="O77" s="59"/>
      <c r="P77" s="63"/>
      <c r="Q77" s="142"/>
      <c r="R77" s="142"/>
      <c r="S77" s="142"/>
      <c r="T77" s="142"/>
      <c r="U77" s="142"/>
      <c r="V77" s="58"/>
      <c r="X77" s="54"/>
      <c r="Y77" s="54"/>
      <c r="Z77" s="54"/>
    </row>
    <row r="78" spans="5:26">
      <c r="O78" s="59"/>
      <c r="P78" s="63"/>
      <c r="Q78" s="142"/>
      <c r="R78" s="142"/>
      <c r="S78" s="142"/>
      <c r="T78" s="142"/>
      <c r="U78" s="142"/>
      <c r="V78" s="58"/>
      <c r="X78" s="54"/>
      <c r="Y78" s="54"/>
      <c r="Z78" s="54"/>
    </row>
    <row r="79" spans="5:26">
      <c r="O79" s="59"/>
      <c r="P79" s="63"/>
      <c r="Q79" s="142"/>
      <c r="R79" s="142"/>
      <c r="S79" s="142"/>
      <c r="T79" s="142"/>
      <c r="U79" s="142"/>
      <c r="V79" s="58"/>
      <c r="X79" s="54"/>
      <c r="Y79" s="54"/>
      <c r="Z79" s="54"/>
    </row>
    <row r="80" spans="5:26">
      <c r="O80" s="59"/>
      <c r="P80" s="63"/>
      <c r="Q80" s="142"/>
      <c r="R80" s="142"/>
      <c r="S80" s="142"/>
      <c r="T80" s="142"/>
      <c r="U80" s="142"/>
      <c r="V80" s="58"/>
      <c r="X80" s="54"/>
      <c r="Y80" s="54"/>
      <c r="Z80" s="54"/>
    </row>
    <row r="81" spans="15:26">
      <c r="O81" s="59"/>
      <c r="P81" s="63"/>
      <c r="Q81" s="142"/>
      <c r="R81" s="142"/>
      <c r="S81" s="142"/>
      <c r="T81" s="142"/>
      <c r="U81" s="142"/>
      <c r="V81" s="58"/>
      <c r="X81" s="54"/>
      <c r="Y81" s="54"/>
      <c r="Z81" s="54"/>
    </row>
    <row r="82" spans="15:26">
      <c r="O82" s="59"/>
      <c r="P82" s="63"/>
      <c r="Q82" s="142"/>
      <c r="R82" s="142"/>
      <c r="S82" s="142"/>
      <c r="T82" s="142"/>
      <c r="U82" s="142"/>
      <c r="V82" s="58"/>
      <c r="X82" s="54"/>
      <c r="Y82" s="54"/>
      <c r="Z82" s="54"/>
    </row>
    <row r="83" spans="15:26">
      <c r="O83" s="59"/>
      <c r="P83" s="63"/>
      <c r="Q83" s="142"/>
      <c r="R83" s="142"/>
      <c r="S83" s="142"/>
      <c r="T83" s="142"/>
      <c r="U83" s="142"/>
      <c r="V83" s="58"/>
      <c r="X83" s="54"/>
      <c r="Y83" s="54"/>
      <c r="Z83" s="54"/>
    </row>
    <row r="84" spans="15:26">
      <c r="O84" s="60"/>
      <c r="P84" s="63"/>
      <c r="Q84" s="142"/>
      <c r="R84" s="142"/>
      <c r="S84" s="142"/>
      <c r="T84" s="142"/>
      <c r="U84" s="142"/>
      <c r="V84" s="58"/>
      <c r="X84" s="54"/>
      <c r="Y84" s="54"/>
      <c r="Z84" s="54"/>
    </row>
    <row r="85" spans="15:26">
      <c r="O85" s="60">
        <v>42248</v>
      </c>
      <c r="P85" s="63"/>
      <c r="Q85" s="142"/>
      <c r="R85" s="142"/>
      <c r="S85" s="142"/>
      <c r="T85" s="142"/>
      <c r="U85" s="142"/>
      <c r="V85" s="58"/>
      <c r="X85" s="54"/>
      <c r="Y85" s="54"/>
      <c r="Z85" s="54"/>
    </row>
    <row r="86" spans="15:26">
      <c r="O86" s="59"/>
      <c r="P86" s="63"/>
      <c r="Q86" s="142"/>
      <c r="R86" s="142"/>
      <c r="S86" s="142"/>
      <c r="T86" s="142"/>
      <c r="U86" s="142"/>
      <c r="V86" s="58"/>
      <c r="X86" s="54"/>
      <c r="Y86" s="54"/>
      <c r="Z86" s="54"/>
    </row>
    <row r="87" spans="15:26">
      <c r="O87" s="59"/>
      <c r="P87" s="63"/>
      <c r="Q87" s="142"/>
      <c r="R87" s="142"/>
      <c r="S87" s="142"/>
      <c r="T87" s="142"/>
      <c r="U87" s="142"/>
      <c r="V87" s="58"/>
      <c r="X87" s="54"/>
      <c r="Y87" s="54"/>
      <c r="Z87" s="54"/>
    </row>
    <row r="88" spans="15:26">
      <c r="O88" s="59"/>
      <c r="P88" s="63"/>
      <c r="Q88" s="142"/>
      <c r="R88" s="142"/>
      <c r="S88" s="142"/>
      <c r="T88" s="142"/>
      <c r="U88" s="142"/>
      <c r="V88" s="58"/>
      <c r="X88" s="54"/>
      <c r="Y88" s="54"/>
      <c r="Z88" s="54"/>
    </row>
    <row r="89" spans="15:26">
      <c r="O89" s="59"/>
      <c r="P89" s="63"/>
      <c r="Q89" s="142"/>
      <c r="R89" s="142"/>
      <c r="S89" s="142"/>
      <c r="T89" s="142"/>
      <c r="U89" s="142"/>
      <c r="V89" s="58"/>
      <c r="X89" s="54"/>
      <c r="Y89" s="54"/>
      <c r="Z89" s="54"/>
    </row>
    <row r="90" spans="15:26">
      <c r="O90" s="59"/>
      <c r="P90" s="63"/>
      <c r="Q90" s="142"/>
      <c r="R90" s="142"/>
      <c r="S90" s="142"/>
      <c r="T90" s="142"/>
      <c r="U90" s="142"/>
      <c r="V90" s="58"/>
      <c r="X90" s="54"/>
      <c r="Y90" s="54"/>
      <c r="Z90" s="54"/>
    </row>
    <row r="91" spans="15:26">
      <c r="O91" s="59"/>
      <c r="P91" s="63"/>
      <c r="Q91" s="142"/>
      <c r="R91" s="142"/>
      <c r="S91" s="142"/>
      <c r="T91" s="142"/>
      <c r="U91" s="142"/>
      <c r="V91" s="58"/>
      <c r="X91" s="54"/>
      <c r="Y91" s="54"/>
      <c r="Z91" s="54"/>
    </row>
    <row r="92" spans="15:26">
      <c r="O92" s="59"/>
      <c r="P92" s="63"/>
      <c r="Q92" s="142"/>
      <c r="R92" s="142"/>
      <c r="S92" s="142"/>
      <c r="T92" s="142"/>
      <c r="U92" s="142"/>
      <c r="V92" s="58"/>
      <c r="X92" s="54"/>
      <c r="Y92" s="54"/>
      <c r="Z92" s="54"/>
    </row>
    <row r="93" spans="15:26">
      <c r="O93" s="59"/>
      <c r="P93" s="63"/>
      <c r="Q93" s="142"/>
      <c r="R93" s="142"/>
      <c r="S93" s="142"/>
      <c r="T93" s="142"/>
      <c r="U93" s="142"/>
      <c r="V93" s="58"/>
      <c r="X93" s="54"/>
      <c r="Y93" s="54"/>
      <c r="Z93" s="54"/>
    </row>
    <row r="94" spans="15:26">
      <c r="O94" s="59"/>
      <c r="P94" s="63"/>
      <c r="Q94" s="142"/>
      <c r="R94" s="142"/>
      <c r="S94" s="142"/>
      <c r="T94" s="142"/>
      <c r="U94" s="142"/>
      <c r="V94" s="58"/>
      <c r="X94" s="54"/>
      <c r="Y94" s="54"/>
      <c r="Z94" s="54"/>
    </row>
    <row r="95" spans="15:26">
      <c r="O95" s="59"/>
      <c r="P95" s="63"/>
      <c r="Q95" s="142"/>
      <c r="R95" s="142"/>
      <c r="S95" s="142"/>
      <c r="T95" s="142"/>
      <c r="U95" s="142"/>
      <c r="V95" s="58"/>
      <c r="X95" s="54"/>
      <c r="Y95" s="54"/>
      <c r="Z95" s="54"/>
    </row>
    <row r="96" spans="15:26">
      <c r="O96" s="59"/>
      <c r="P96" s="63"/>
      <c r="Q96" s="142"/>
      <c r="R96" s="142"/>
      <c r="S96" s="142"/>
      <c r="T96" s="142"/>
      <c r="U96" s="142"/>
      <c r="V96" s="58"/>
      <c r="X96" s="54"/>
      <c r="Y96" s="54"/>
      <c r="Z96" s="54"/>
    </row>
    <row r="97" spans="15:26">
      <c r="O97" s="59"/>
      <c r="P97" s="63"/>
      <c r="Q97" s="142"/>
      <c r="R97" s="142"/>
      <c r="S97" s="142"/>
      <c r="T97" s="142"/>
      <c r="U97" s="142"/>
      <c r="V97" s="58"/>
      <c r="X97" s="54"/>
      <c r="Y97" s="54"/>
      <c r="Z97" s="54"/>
    </row>
    <row r="98" spans="15:26">
      <c r="O98" s="59"/>
      <c r="P98" s="63"/>
      <c r="Q98" s="142"/>
      <c r="R98" s="142"/>
      <c r="S98" s="142"/>
      <c r="T98" s="142"/>
      <c r="U98" s="142"/>
      <c r="V98" s="58"/>
      <c r="X98" s="54"/>
      <c r="Y98" s="54"/>
      <c r="Z98" s="54"/>
    </row>
    <row r="99" spans="15:26">
      <c r="O99" s="59"/>
      <c r="P99" s="63"/>
      <c r="Q99" s="142"/>
      <c r="R99" s="142"/>
      <c r="S99" s="142"/>
      <c r="T99" s="142"/>
      <c r="U99" s="142"/>
      <c r="V99" s="58"/>
      <c r="X99" s="54"/>
      <c r="Y99" s="54"/>
      <c r="Z99" s="54"/>
    </row>
    <row r="100" spans="15:26">
      <c r="O100" s="59"/>
      <c r="P100" s="63"/>
      <c r="Q100" s="142"/>
      <c r="R100" s="142"/>
      <c r="S100" s="142"/>
      <c r="T100" s="142"/>
      <c r="U100" s="142"/>
      <c r="V100" s="58"/>
      <c r="X100" s="54"/>
      <c r="Y100" s="54"/>
      <c r="Z100" s="54"/>
    </row>
    <row r="101" spans="15:26">
      <c r="O101" s="59"/>
      <c r="P101" s="63"/>
      <c r="Q101" s="142"/>
      <c r="R101" s="142"/>
      <c r="S101" s="142"/>
      <c r="T101" s="142"/>
      <c r="U101" s="142"/>
      <c r="V101" s="58"/>
      <c r="X101" s="54"/>
      <c r="Y101" s="54"/>
      <c r="Z101" s="54"/>
    </row>
    <row r="102" spans="15:26">
      <c r="O102" s="59"/>
      <c r="P102" s="63"/>
      <c r="Q102" s="142"/>
      <c r="R102" s="142"/>
      <c r="S102" s="142"/>
      <c r="T102" s="142"/>
      <c r="U102" s="142"/>
      <c r="V102" s="58"/>
      <c r="X102" s="54"/>
      <c r="Y102" s="54"/>
      <c r="Z102" s="54"/>
    </row>
    <row r="103" spans="15:26">
      <c r="O103" s="59"/>
      <c r="P103" s="63"/>
      <c r="Q103" s="142"/>
      <c r="R103" s="142"/>
      <c r="S103" s="142"/>
      <c r="T103" s="142"/>
      <c r="U103" s="142"/>
      <c r="V103" s="58"/>
      <c r="X103" s="54"/>
      <c r="Y103" s="54"/>
      <c r="Z103" s="54"/>
    </row>
    <row r="104" spans="15:26">
      <c r="O104" s="59"/>
      <c r="P104" s="63"/>
      <c r="Q104" s="142"/>
      <c r="R104" s="142"/>
      <c r="S104" s="142"/>
      <c r="T104" s="142"/>
      <c r="U104" s="142"/>
      <c r="V104" s="58"/>
      <c r="X104" s="54"/>
      <c r="Y104" s="54"/>
      <c r="Z104" s="54"/>
    </row>
    <row r="105" spans="15:26">
      <c r="O105" s="59"/>
      <c r="P105" s="63"/>
      <c r="Q105" s="142"/>
      <c r="R105" s="142"/>
      <c r="S105" s="142"/>
      <c r="T105" s="142"/>
      <c r="U105" s="142"/>
      <c r="V105" s="58"/>
      <c r="X105" s="54"/>
      <c r="Y105" s="54"/>
      <c r="Z105" s="54"/>
    </row>
    <row r="106" spans="15:26">
      <c r="O106" s="59"/>
      <c r="P106" s="63"/>
      <c r="Q106" s="142"/>
      <c r="R106" s="142"/>
      <c r="S106" s="142"/>
      <c r="T106" s="142"/>
      <c r="U106" s="142"/>
      <c r="V106" s="58"/>
      <c r="X106" s="54"/>
      <c r="Y106" s="54"/>
      <c r="Z106" s="54"/>
    </row>
    <row r="107" spans="15:26">
      <c r="O107" s="59"/>
      <c r="P107" s="63"/>
      <c r="Q107" s="142"/>
      <c r="R107" s="142"/>
      <c r="S107" s="142"/>
      <c r="T107" s="142"/>
      <c r="U107" s="142"/>
      <c r="V107" s="58"/>
      <c r="X107" s="54"/>
      <c r="Y107" s="54"/>
      <c r="Z107" s="54"/>
    </row>
    <row r="108" spans="15:26">
      <c r="O108" s="59"/>
      <c r="P108" s="63"/>
      <c r="Q108" s="142"/>
      <c r="R108" s="142"/>
      <c r="S108" s="142"/>
      <c r="T108" s="142"/>
      <c r="U108" s="142"/>
      <c r="V108" s="58"/>
      <c r="X108" s="54"/>
      <c r="Y108" s="54"/>
      <c r="Z108" s="54"/>
    </row>
    <row r="109" spans="15:26">
      <c r="O109" s="59"/>
      <c r="P109" s="63"/>
      <c r="Q109" s="142"/>
      <c r="R109" s="142"/>
      <c r="S109" s="142"/>
      <c r="T109" s="142"/>
      <c r="U109" s="142"/>
      <c r="V109" s="58"/>
      <c r="X109" s="54"/>
      <c r="Y109" s="54"/>
      <c r="Z109" s="54"/>
    </row>
    <row r="110" spans="15:26">
      <c r="O110" s="59"/>
      <c r="P110" s="63"/>
      <c r="Q110" s="142"/>
      <c r="R110" s="142"/>
      <c r="S110" s="142"/>
      <c r="T110" s="142"/>
      <c r="U110" s="142"/>
      <c r="V110" s="58"/>
      <c r="X110" s="54"/>
      <c r="Y110" s="54"/>
      <c r="Z110" s="54"/>
    </row>
    <row r="111" spans="15:26">
      <c r="O111" s="59"/>
      <c r="P111" s="63"/>
      <c r="Q111" s="142"/>
      <c r="R111" s="142"/>
      <c r="S111" s="142"/>
      <c r="T111" s="142"/>
      <c r="U111" s="142"/>
      <c r="V111" s="58"/>
      <c r="X111" s="54"/>
      <c r="Y111" s="54"/>
      <c r="Z111" s="54"/>
    </row>
    <row r="112" spans="15:26">
      <c r="O112" s="59"/>
      <c r="P112" s="63"/>
      <c r="Q112" s="142"/>
      <c r="R112" s="142"/>
      <c r="S112" s="142"/>
      <c r="T112" s="142"/>
      <c r="U112" s="142"/>
      <c r="V112" s="58"/>
      <c r="X112" s="54"/>
      <c r="Y112" s="54"/>
      <c r="Z112" s="54"/>
    </row>
    <row r="113" spans="15:26">
      <c r="O113" s="59"/>
      <c r="P113" s="63"/>
      <c r="Q113" s="142"/>
      <c r="R113" s="142"/>
      <c r="S113" s="142"/>
      <c r="T113" s="142"/>
      <c r="U113" s="142"/>
      <c r="V113" s="58"/>
      <c r="X113" s="54"/>
      <c r="Y113" s="54"/>
      <c r="Z113" s="54"/>
    </row>
    <row r="114" spans="15:26">
      <c r="O114" s="59"/>
      <c r="P114" s="63"/>
      <c r="Q114" s="142"/>
      <c r="R114" s="142"/>
      <c r="S114" s="142"/>
      <c r="T114" s="142"/>
      <c r="U114" s="142"/>
      <c r="V114" s="58"/>
      <c r="X114" s="54"/>
      <c r="Y114" s="54"/>
      <c r="Z114" s="54"/>
    </row>
    <row r="115" spans="15:26">
      <c r="O115" s="60">
        <v>42278</v>
      </c>
      <c r="P115" s="63"/>
      <c r="Q115" s="142"/>
      <c r="R115" s="142"/>
      <c r="S115" s="142"/>
      <c r="T115" s="142"/>
      <c r="U115" s="142"/>
      <c r="V115" s="58"/>
      <c r="X115" s="54"/>
      <c r="Y115" s="54"/>
      <c r="Z115" s="54"/>
    </row>
    <row r="116" spans="15:26">
      <c r="O116" s="60"/>
      <c r="P116" s="63"/>
      <c r="Q116" s="142"/>
      <c r="R116" s="142"/>
      <c r="S116" s="142"/>
      <c r="T116" s="142"/>
      <c r="U116" s="142"/>
      <c r="V116" s="58"/>
      <c r="X116" s="54"/>
      <c r="Y116" s="54"/>
      <c r="Z116" s="54"/>
    </row>
    <row r="117" spans="15:26">
      <c r="O117" s="59"/>
      <c r="P117" s="63"/>
      <c r="Q117" s="142"/>
      <c r="R117" s="142"/>
      <c r="S117" s="142"/>
      <c r="T117" s="142"/>
      <c r="U117" s="142"/>
      <c r="V117" s="58"/>
      <c r="X117" s="54"/>
      <c r="Y117" s="54"/>
      <c r="Z117" s="54"/>
    </row>
    <row r="118" spans="15:26">
      <c r="O118" s="59"/>
      <c r="P118" s="63"/>
      <c r="Q118" s="142"/>
      <c r="R118" s="142"/>
      <c r="S118" s="142"/>
      <c r="T118" s="142"/>
      <c r="U118" s="142"/>
      <c r="V118" s="58"/>
      <c r="X118" s="54"/>
      <c r="Y118" s="54"/>
      <c r="Z118" s="54"/>
    </row>
    <row r="119" spans="15:26">
      <c r="O119" s="59"/>
      <c r="P119" s="63"/>
      <c r="Q119" s="142"/>
      <c r="R119" s="142"/>
      <c r="S119" s="142"/>
      <c r="T119" s="142"/>
      <c r="U119" s="142"/>
      <c r="V119" s="58"/>
      <c r="X119" s="54"/>
      <c r="Y119" s="54"/>
      <c r="Z119" s="54"/>
    </row>
    <row r="120" spans="15:26">
      <c r="O120" s="59"/>
      <c r="P120" s="63"/>
      <c r="Q120" s="142"/>
      <c r="R120" s="142"/>
      <c r="S120" s="142"/>
      <c r="T120" s="142"/>
      <c r="U120" s="142"/>
      <c r="V120" s="58"/>
      <c r="X120" s="54"/>
      <c r="Y120" s="54"/>
      <c r="Z120" s="54"/>
    </row>
    <row r="121" spans="15:26">
      <c r="O121" s="59"/>
      <c r="P121" s="63"/>
      <c r="Q121" s="142"/>
      <c r="R121" s="142"/>
      <c r="S121" s="142"/>
      <c r="T121" s="142"/>
      <c r="U121" s="142"/>
      <c r="V121" s="58"/>
      <c r="X121" s="54"/>
      <c r="Y121" s="54"/>
      <c r="Z121" s="54"/>
    </row>
    <row r="122" spans="15:26">
      <c r="O122" s="59"/>
      <c r="P122" s="63"/>
      <c r="Q122" s="142"/>
      <c r="R122" s="142"/>
      <c r="S122" s="142"/>
      <c r="T122" s="142"/>
      <c r="U122" s="142"/>
      <c r="V122" s="58"/>
      <c r="X122" s="54"/>
      <c r="Y122" s="54"/>
      <c r="Z122" s="54"/>
    </row>
    <row r="123" spans="15:26">
      <c r="O123" s="59"/>
      <c r="P123" s="63"/>
      <c r="Q123" s="142"/>
      <c r="R123" s="142"/>
      <c r="S123" s="142"/>
      <c r="T123" s="142"/>
      <c r="U123" s="142"/>
      <c r="V123" s="58"/>
      <c r="X123" s="54"/>
      <c r="Y123" s="54"/>
      <c r="Z123" s="54"/>
    </row>
    <row r="124" spans="15:26">
      <c r="O124" s="59"/>
      <c r="P124" s="63"/>
      <c r="Q124" s="142"/>
      <c r="R124" s="142"/>
      <c r="S124" s="142"/>
      <c r="T124" s="142"/>
      <c r="U124" s="142"/>
      <c r="V124" s="58"/>
      <c r="X124" s="54"/>
      <c r="Y124" s="54"/>
      <c r="Z124" s="54"/>
    </row>
    <row r="125" spans="15:26">
      <c r="O125" s="59"/>
      <c r="P125" s="63"/>
      <c r="Q125" s="142"/>
      <c r="R125" s="142"/>
      <c r="S125" s="142"/>
      <c r="T125" s="142"/>
      <c r="U125" s="142"/>
      <c r="V125" s="58"/>
      <c r="X125" s="54"/>
      <c r="Y125" s="54"/>
      <c r="Z125" s="54"/>
    </row>
    <row r="126" spans="15:26">
      <c r="O126" s="59"/>
      <c r="P126" s="63"/>
      <c r="Q126" s="142"/>
      <c r="R126" s="142"/>
      <c r="S126" s="142"/>
      <c r="T126" s="142"/>
      <c r="U126" s="142"/>
      <c r="V126" s="58"/>
      <c r="X126" s="54"/>
      <c r="Y126" s="54"/>
      <c r="Z126" s="54"/>
    </row>
    <row r="127" spans="15:26">
      <c r="O127" s="59"/>
      <c r="P127" s="63"/>
      <c r="Q127" s="142"/>
      <c r="R127" s="142"/>
      <c r="S127" s="142"/>
      <c r="T127" s="142"/>
      <c r="U127" s="142"/>
      <c r="V127" s="58"/>
      <c r="X127" s="54"/>
      <c r="Y127" s="54"/>
      <c r="Z127" s="54"/>
    </row>
    <row r="128" spans="15:26">
      <c r="O128" s="59"/>
      <c r="P128" s="63"/>
      <c r="Q128" s="142"/>
      <c r="R128" s="142"/>
      <c r="S128" s="142"/>
      <c r="T128" s="142"/>
      <c r="U128" s="142"/>
      <c r="V128" s="58"/>
      <c r="X128" s="54"/>
      <c r="Y128" s="54"/>
      <c r="Z128" s="54"/>
    </row>
    <row r="129" spans="15:26">
      <c r="O129" s="59"/>
      <c r="P129" s="63"/>
      <c r="Q129" s="142"/>
      <c r="R129" s="142"/>
      <c r="S129" s="142"/>
      <c r="T129" s="142"/>
      <c r="U129" s="142"/>
      <c r="V129" s="58"/>
      <c r="X129" s="54"/>
      <c r="Y129" s="54"/>
      <c r="Z129" s="54"/>
    </row>
    <row r="130" spans="15:26">
      <c r="O130" s="59"/>
      <c r="P130" s="63"/>
      <c r="Q130" s="142"/>
      <c r="R130" s="142"/>
      <c r="S130" s="142"/>
      <c r="T130" s="142"/>
      <c r="U130" s="142"/>
      <c r="V130" s="58"/>
      <c r="X130" s="54"/>
      <c r="Y130" s="54"/>
      <c r="Z130" s="54"/>
    </row>
    <row r="131" spans="15:26">
      <c r="O131" s="59"/>
      <c r="P131" s="63"/>
      <c r="Q131" s="142"/>
      <c r="R131" s="142"/>
      <c r="S131" s="142"/>
      <c r="T131" s="142"/>
      <c r="U131" s="142"/>
      <c r="V131" s="58"/>
      <c r="X131" s="54"/>
      <c r="Y131" s="54"/>
      <c r="Z131" s="54"/>
    </row>
    <row r="132" spans="15:26">
      <c r="O132" s="59"/>
      <c r="P132" s="63"/>
      <c r="Q132" s="142"/>
      <c r="R132" s="142"/>
      <c r="S132" s="142"/>
      <c r="T132" s="142"/>
      <c r="U132" s="142"/>
      <c r="V132" s="58"/>
      <c r="X132" s="54"/>
      <c r="Y132" s="54"/>
      <c r="Z132" s="54"/>
    </row>
    <row r="133" spans="15:26">
      <c r="O133" s="59"/>
      <c r="P133" s="63"/>
      <c r="Q133" s="142"/>
      <c r="R133" s="142"/>
      <c r="S133" s="142"/>
      <c r="T133" s="142"/>
      <c r="U133" s="142"/>
      <c r="V133" s="58"/>
      <c r="X133" s="54"/>
      <c r="Y133" s="54"/>
      <c r="Z133" s="54"/>
    </row>
    <row r="134" spans="15:26">
      <c r="O134" s="59"/>
      <c r="P134" s="63"/>
      <c r="Q134" s="142"/>
      <c r="R134" s="142"/>
      <c r="S134" s="142"/>
      <c r="T134" s="142"/>
      <c r="U134" s="142"/>
      <c r="V134" s="58"/>
      <c r="X134" s="54"/>
      <c r="Y134" s="54"/>
      <c r="Z134" s="54"/>
    </row>
    <row r="135" spans="15:26">
      <c r="O135" s="59"/>
      <c r="P135" s="63"/>
      <c r="Q135" s="142"/>
      <c r="R135" s="142"/>
      <c r="S135" s="142"/>
      <c r="T135" s="142"/>
      <c r="U135" s="142"/>
      <c r="V135" s="58"/>
      <c r="X135" s="54"/>
      <c r="Y135" s="54"/>
      <c r="Z135" s="54"/>
    </row>
    <row r="136" spans="15:26">
      <c r="O136" s="59"/>
      <c r="P136" s="63"/>
      <c r="Q136" s="142"/>
      <c r="R136" s="142"/>
      <c r="S136" s="142"/>
      <c r="T136" s="142"/>
      <c r="U136" s="142"/>
      <c r="V136" s="58"/>
      <c r="X136" s="54"/>
      <c r="Y136" s="54"/>
      <c r="Z136" s="54"/>
    </row>
    <row r="137" spans="15:26">
      <c r="O137" s="59"/>
      <c r="P137" s="63"/>
      <c r="Q137" s="142"/>
      <c r="R137" s="142"/>
      <c r="S137" s="142"/>
      <c r="T137" s="142"/>
      <c r="U137" s="142"/>
      <c r="V137" s="58"/>
      <c r="X137" s="54"/>
      <c r="Y137" s="54"/>
      <c r="Z137" s="54"/>
    </row>
    <row r="138" spans="15:26">
      <c r="O138" s="59"/>
      <c r="P138" s="63"/>
      <c r="Q138" s="142"/>
      <c r="R138" s="142"/>
      <c r="S138" s="142"/>
      <c r="T138" s="142"/>
      <c r="U138" s="142"/>
      <c r="V138" s="58"/>
      <c r="X138" s="54"/>
      <c r="Y138" s="54"/>
      <c r="Z138" s="54"/>
    </row>
    <row r="139" spans="15:26">
      <c r="O139" s="59"/>
      <c r="P139" s="63"/>
      <c r="Q139" s="142"/>
      <c r="R139" s="142"/>
      <c r="S139" s="142"/>
      <c r="T139" s="142"/>
      <c r="U139" s="142"/>
      <c r="V139" s="58"/>
      <c r="X139" s="54"/>
      <c r="Y139" s="54"/>
      <c r="Z139" s="54"/>
    </row>
    <row r="140" spans="15:26">
      <c r="O140" s="59"/>
      <c r="P140" s="63"/>
      <c r="Q140" s="142"/>
      <c r="R140" s="142"/>
      <c r="S140" s="142"/>
      <c r="T140" s="142"/>
      <c r="U140" s="142"/>
      <c r="V140" s="58"/>
      <c r="X140" s="54"/>
      <c r="Y140" s="54"/>
      <c r="Z140" s="54"/>
    </row>
    <row r="141" spans="15:26">
      <c r="O141" s="59"/>
      <c r="P141" s="63"/>
      <c r="Q141" s="142"/>
      <c r="R141" s="142"/>
      <c r="S141" s="142"/>
      <c r="T141" s="142"/>
      <c r="U141" s="142"/>
      <c r="V141" s="58"/>
      <c r="X141" s="54"/>
      <c r="Y141" s="54"/>
      <c r="Z141" s="54"/>
    </row>
    <row r="142" spans="15:26">
      <c r="O142" s="59"/>
      <c r="P142" s="63"/>
      <c r="Q142" s="142"/>
      <c r="R142" s="142"/>
      <c r="S142" s="142"/>
      <c r="T142" s="142"/>
      <c r="U142" s="142"/>
      <c r="V142" s="58"/>
      <c r="X142" s="54"/>
      <c r="Y142" s="54"/>
      <c r="Z142" s="54"/>
    </row>
    <row r="143" spans="15:26">
      <c r="O143" s="59"/>
      <c r="P143" s="63"/>
      <c r="Q143" s="142"/>
      <c r="R143" s="142"/>
      <c r="S143" s="142"/>
      <c r="T143" s="142"/>
      <c r="U143" s="142"/>
      <c r="V143" s="58"/>
      <c r="X143" s="54"/>
      <c r="Y143" s="54"/>
      <c r="Z143" s="54"/>
    </row>
    <row r="144" spans="15:26">
      <c r="O144" s="59"/>
      <c r="P144" s="63"/>
      <c r="Q144" s="142"/>
      <c r="R144" s="142"/>
      <c r="S144" s="142"/>
      <c r="T144" s="142"/>
      <c r="U144" s="142"/>
      <c r="V144" s="58"/>
      <c r="X144" s="54"/>
      <c r="Y144" s="54"/>
      <c r="Z144" s="54"/>
    </row>
    <row r="145" spans="15:26">
      <c r="O145" s="59"/>
      <c r="P145" s="63"/>
      <c r="Q145" s="142"/>
      <c r="R145" s="142"/>
      <c r="S145" s="142"/>
      <c r="T145" s="142"/>
      <c r="U145" s="142"/>
      <c r="V145" s="58"/>
      <c r="X145" s="54"/>
      <c r="Y145" s="54"/>
      <c r="Z145" s="54"/>
    </row>
    <row r="146" spans="15:26">
      <c r="O146" s="60">
        <v>42309</v>
      </c>
      <c r="P146" s="63"/>
      <c r="Q146" s="142"/>
      <c r="R146" s="142"/>
      <c r="S146" s="142"/>
      <c r="T146" s="142"/>
      <c r="U146" s="142"/>
      <c r="V146" s="58"/>
      <c r="X146" s="54"/>
      <c r="Y146" s="54"/>
      <c r="Z146" s="54"/>
    </row>
    <row r="147" spans="15:26">
      <c r="O147" s="60"/>
      <c r="P147" s="63"/>
      <c r="Q147" s="142"/>
      <c r="R147" s="142"/>
      <c r="S147" s="142"/>
      <c r="T147" s="142"/>
      <c r="U147" s="142"/>
      <c r="V147" s="58"/>
      <c r="X147" s="54"/>
      <c r="Y147" s="54"/>
      <c r="Z147" s="54"/>
    </row>
    <row r="148" spans="15:26">
      <c r="O148" s="59"/>
      <c r="P148" s="63"/>
      <c r="Q148" s="142"/>
      <c r="R148" s="142"/>
      <c r="S148" s="142"/>
      <c r="T148" s="142"/>
      <c r="U148" s="142"/>
      <c r="V148" s="58"/>
      <c r="X148" s="54"/>
      <c r="Y148" s="54"/>
      <c r="Z148" s="54"/>
    </row>
    <row r="149" spans="15:26">
      <c r="O149" s="59"/>
      <c r="P149" s="63"/>
      <c r="Q149" s="142"/>
      <c r="R149" s="142"/>
      <c r="S149" s="142"/>
      <c r="T149" s="142"/>
      <c r="U149" s="142"/>
      <c r="V149" s="58"/>
      <c r="X149" s="54"/>
      <c r="Y149" s="54"/>
      <c r="Z149" s="54"/>
    </row>
    <row r="150" spans="15:26">
      <c r="O150" s="59"/>
      <c r="P150" s="63"/>
      <c r="Q150" s="142"/>
      <c r="R150" s="142"/>
      <c r="S150" s="142"/>
      <c r="T150" s="142"/>
      <c r="U150" s="142"/>
      <c r="V150" s="58"/>
      <c r="X150" s="54"/>
      <c r="Y150" s="54"/>
      <c r="Z150" s="54"/>
    </row>
    <row r="151" spans="15:26">
      <c r="O151" s="59"/>
      <c r="P151" s="63"/>
      <c r="Q151" s="142"/>
      <c r="R151" s="142"/>
      <c r="S151" s="142"/>
      <c r="T151" s="142"/>
      <c r="U151" s="142"/>
      <c r="V151" s="58"/>
      <c r="X151" s="54"/>
      <c r="Y151" s="54"/>
      <c r="Z151" s="54"/>
    </row>
    <row r="152" spans="15:26">
      <c r="O152" s="59"/>
      <c r="P152" s="63"/>
      <c r="Q152" s="142"/>
      <c r="R152" s="142"/>
      <c r="S152" s="142"/>
      <c r="T152" s="142"/>
      <c r="U152" s="142"/>
      <c r="V152" s="58"/>
      <c r="X152" s="54"/>
      <c r="Y152" s="54"/>
      <c r="Z152" s="54"/>
    </row>
    <row r="153" spans="15:26">
      <c r="O153" s="59"/>
      <c r="P153" s="63"/>
      <c r="Q153" s="142"/>
      <c r="R153" s="142"/>
      <c r="S153" s="142"/>
      <c r="T153" s="142"/>
      <c r="U153" s="142"/>
      <c r="V153" s="58"/>
      <c r="X153" s="54"/>
      <c r="Y153" s="54"/>
      <c r="Z153" s="54"/>
    </row>
    <row r="154" spans="15:26">
      <c r="O154" s="59"/>
      <c r="P154" s="63"/>
      <c r="Q154" s="142"/>
      <c r="R154" s="142"/>
      <c r="S154" s="142"/>
      <c r="T154" s="142"/>
      <c r="U154" s="142"/>
      <c r="V154" s="58"/>
      <c r="X154" s="54"/>
      <c r="Y154" s="54"/>
      <c r="Z154" s="54"/>
    </row>
    <row r="155" spans="15:26">
      <c r="O155" s="59"/>
      <c r="P155" s="63"/>
      <c r="Q155" s="142"/>
      <c r="R155" s="142"/>
      <c r="S155" s="142"/>
      <c r="T155" s="142"/>
      <c r="U155" s="142"/>
      <c r="V155" s="58"/>
      <c r="X155" s="54"/>
      <c r="Y155" s="54"/>
      <c r="Z155" s="54"/>
    </row>
    <row r="156" spans="15:26">
      <c r="O156" s="59"/>
      <c r="P156" s="63"/>
      <c r="Q156" s="142"/>
      <c r="R156" s="142"/>
      <c r="S156" s="142"/>
      <c r="T156" s="142"/>
      <c r="U156" s="142"/>
      <c r="V156" s="58"/>
      <c r="X156" s="54"/>
      <c r="Y156" s="54"/>
      <c r="Z156" s="54"/>
    </row>
    <row r="157" spans="15:26">
      <c r="O157" s="59"/>
      <c r="P157" s="63"/>
      <c r="Q157" s="142"/>
      <c r="R157" s="142"/>
      <c r="S157" s="142"/>
      <c r="T157" s="142"/>
      <c r="U157" s="142"/>
      <c r="V157" s="58"/>
      <c r="X157" s="54"/>
      <c r="Y157" s="54"/>
      <c r="Z157" s="54"/>
    </row>
    <row r="158" spans="15:26">
      <c r="O158" s="59"/>
      <c r="P158" s="63"/>
      <c r="Q158" s="142"/>
      <c r="R158" s="142"/>
      <c r="S158" s="142"/>
      <c r="T158" s="142"/>
      <c r="U158" s="142"/>
      <c r="V158" s="58"/>
      <c r="X158" s="54"/>
      <c r="Y158" s="54"/>
      <c r="Z158" s="54"/>
    </row>
    <row r="159" spans="15:26">
      <c r="O159" s="59"/>
      <c r="P159" s="63"/>
      <c r="Q159" s="142"/>
      <c r="R159" s="142"/>
      <c r="S159" s="142"/>
      <c r="T159" s="142"/>
      <c r="U159" s="142"/>
      <c r="V159" s="58"/>
      <c r="X159" s="54"/>
      <c r="Y159" s="54"/>
      <c r="Z159" s="54"/>
    </row>
    <row r="160" spans="15:26">
      <c r="O160" s="59"/>
      <c r="P160" s="63"/>
      <c r="Q160" s="142"/>
      <c r="R160" s="142"/>
      <c r="S160" s="142"/>
      <c r="T160" s="142"/>
      <c r="U160" s="142"/>
      <c r="V160" s="58"/>
      <c r="X160" s="54"/>
      <c r="Y160" s="54"/>
      <c r="Z160" s="54"/>
    </row>
    <row r="161" spans="15:26">
      <c r="O161" s="59"/>
      <c r="P161" s="63"/>
      <c r="Q161" s="142"/>
      <c r="R161" s="142"/>
      <c r="S161" s="142"/>
      <c r="T161" s="142"/>
      <c r="U161" s="142"/>
      <c r="V161" s="58"/>
      <c r="X161" s="54"/>
      <c r="Y161" s="54"/>
      <c r="Z161" s="54"/>
    </row>
    <row r="162" spans="15:26">
      <c r="O162" s="59"/>
      <c r="P162" s="63"/>
      <c r="Q162" s="142"/>
      <c r="R162" s="142"/>
      <c r="S162" s="142"/>
      <c r="T162" s="142"/>
      <c r="U162" s="142"/>
      <c r="V162" s="58"/>
      <c r="X162" s="54"/>
      <c r="Y162" s="54"/>
      <c r="Z162" s="54"/>
    </row>
    <row r="163" spans="15:26">
      <c r="O163" s="59"/>
      <c r="P163" s="63"/>
      <c r="Q163" s="142"/>
      <c r="R163" s="142"/>
      <c r="S163" s="142"/>
      <c r="T163" s="142"/>
      <c r="U163" s="142"/>
      <c r="V163" s="58"/>
      <c r="X163" s="54"/>
      <c r="Y163" s="54"/>
      <c r="Z163" s="54"/>
    </row>
    <row r="164" spans="15:26">
      <c r="O164" s="59"/>
      <c r="P164" s="63"/>
      <c r="Q164" s="142"/>
      <c r="R164" s="142"/>
      <c r="S164" s="142"/>
      <c r="T164" s="142"/>
      <c r="U164" s="142"/>
      <c r="V164" s="58"/>
      <c r="X164" s="54"/>
      <c r="Y164" s="54"/>
      <c r="Z164" s="54"/>
    </row>
    <row r="165" spans="15:26">
      <c r="O165" s="59"/>
      <c r="P165" s="63"/>
      <c r="Q165" s="142"/>
      <c r="R165" s="142"/>
      <c r="S165" s="142"/>
      <c r="T165" s="142"/>
      <c r="U165" s="142"/>
      <c r="V165" s="58"/>
      <c r="X165" s="54"/>
      <c r="Y165" s="54"/>
      <c r="Z165" s="54"/>
    </row>
    <row r="166" spans="15:26">
      <c r="O166" s="59"/>
      <c r="P166" s="63"/>
      <c r="Q166" s="142"/>
      <c r="R166" s="142"/>
      <c r="S166" s="142"/>
      <c r="T166" s="142"/>
      <c r="U166" s="142"/>
      <c r="V166" s="58"/>
      <c r="X166" s="54"/>
      <c r="Y166" s="54"/>
      <c r="Z166" s="54"/>
    </row>
    <row r="167" spans="15:26">
      <c r="O167" s="59"/>
      <c r="P167" s="63"/>
      <c r="Q167" s="142"/>
      <c r="R167" s="142"/>
      <c r="S167" s="142"/>
      <c r="T167" s="142"/>
      <c r="U167" s="142"/>
      <c r="V167" s="58"/>
      <c r="X167" s="54"/>
      <c r="Y167" s="54"/>
      <c r="Z167" s="54"/>
    </row>
    <row r="168" spans="15:26">
      <c r="O168" s="59"/>
      <c r="P168" s="63"/>
      <c r="Q168" s="142"/>
      <c r="R168" s="142"/>
      <c r="S168" s="142"/>
      <c r="T168" s="142"/>
      <c r="U168" s="142"/>
      <c r="V168" s="58"/>
      <c r="X168" s="54"/>
      <c r="Y168" s="54"/>
      <c r="Z168" s="54"/>
    </row>
    <row r="169" spans="15:26">
      <c r="O169" s="59"/>
      <c r="P169" s="63"/>
      <c r="Q169" s="142"/>
      <c r="R169" s="142"/>
      <c r="S169" s="142"/>
      <c r="T169" s="142"/>
      <c r="U169" s="142"/>
      <c r="V169" s="58"/>
      <c r="X169" s="54"/>
      <c r="Y169" s="54"/>
      <c r="Z169" s="54"/>
    </row>
    <row r="170" spans="15:26">
      <c r="O170" s="59"/>
      <c r="P170" s="63"/>
      <c r="Q170" s="142"/>
      <c r="R170" s="142"/>
      <c r="S170" s="142"/>
      <c r="T170" s="142"/>
      <c r="U170" s="142"/>
      <c r="V170" s="58"/>
      <c r="X170" s="54"/>
      <c r="Y170" s="54"/>
      <c r="Z170" s="54"/>
    </row>
    <row r="171" spans="15:26">
      <c r="O171" s="59"/>
      <c r="P171" s="63"/>
      <c r="Q171" s="142"/>
      <c r="R171" s="142"/>
      <c r="S171" s="142"/>
      <c r="T171" s="142"/>
      <c r="U171" s="142"/>
      <c r="V171" s="58"/>
      <c r="X171" s="54"/>
      <c r="Y171" s="54"/>
      <c r="Z171" s="54"/>
    </row>
    <row r="172" spans="15:26">
      <c r="O172" s="59"/>
      <c r="P172" s="63"/>
      <c r="Q172" s="142"/>
      <c r="R172" s="142"/>
      <c r="S172" s="142"/>
      <c r="T172" s="142"/>
      <c r="U172" s="142"/>
      <c r="V172" s="58"/>
      <c r="X172" s="54"/>
      <c r="Y172" s="54"/>
      <c r="Z172" s="54"/>
    </row>
    <row r="173" spans="15:26">
      <c r="O173" s="59"/>
      <c r="P173" s="63"/>
      <c r="Q173" s="142"/>
      <c r="R173" s="142"/>
      <c r="S173" s="142"/>
      <c r="T173" s="142"/>
      <c r="U173" s="142"/>
      <c r="V173" s="58"/>
      <c r="X173" s="54"/>
      <c r="Y173" s="54"/>
      <c r="Z173" s="54"/>
    </row>
    <row r="174" spans="15:26">
      <c r="O174" s="59"/>
      <c r="P174" s="63"/>
      <c r="Q174" s="142"/>
      <c r="R174" s="142"/>
      <c r="S174" s="142"/>
      <c r="T174" s="142"/>
      <c r="U174" s="142"/>
      <c r="V174" s="58"/>
      <c r="X174" s="54"/>
      <c r="Y174" s="54"/>
      <c r="Z174" s="54"/>
    </row>
    <row r="175" spans="15:26">
      <c r="O175" s="59"/>
      <c r="P175" s="63"/>
      <c r="Q175" s="142"/>
      <c r="R175" s="142"/>
      <c r="S175" s="142"/>
      <c r="T175" s="142"/>
      <c r="U175" s="142"/>
      <c r="V175" s="58"/>
      <c r="X175" s="54"/>
      <c r="Y175" s="54"/>
      <c r="Z175" s="54"/>
    </row>
    <row r="176" spans="15:26">
      <c r="O176" s="60">
        <v>42339</v>
      </c>
      <c r="P176" s="63"/>
      <c r="Q176" s="142"/>
      <c r="R176" s="142"/>
      <c r="S176" s="142"/>
      <c r="T176" s="142"/>
      <c r="U176" s="142"/>
      <c r="V176" s="58"/>
      <c r="X176" s="54"/>
      <c r="Y176" s="54"/>
      <c r="Z176" s="54"/>
    </row>
    <row r="177" spans="15:26">
      <c r="O177" s="60"/>
      <c r="P177" s="63"/>
      <c r="Q177" s="142"/>
      <c r="R177" s="142"/>
      <c r="S177" s="142"/>
      <c r="T177" s="142"/>
      <c r="U177" s="142"/>
      <c r="V177" s="58"/>
      <c r="X177" s="54"/>
      <c r="Y177" s="54"/>
      <c r="Z177" s="54"/>
    </row>
    <row r="178" spans="15:26">
      <c r="O178" s="59"/>
      <c r="P178" s="63"/>
      <c r="Q178" s="142"/>
      <c r="R178" s="142"/>
      <c r="S178" s="142"/>
      <c r="T178" s="142"/>
      <c r="U178" s="142"/>
      <c r="V178" s="58"/>
      <c r="X178" s="54"/>
      <c r="Y178" s="54"/>
      <c r="Z178" s="54"/>
    </row>
    <row r="179" spans="15:26">
      <c r="O179" s="59"/>
      <c r="P179" s="63"/>
      <c r="Q179" s="142"/>
      <c r="R179" s="142"/>
      <c r="S179" s="142"/>
      <c r="T179" s="142"/>
      <c r="U179" s="142"/>
      <c r="V179" s="58"/>
      <c r="X179" s="54"/>
      <c r="Y179" s="54"/>
      <c r="Z179" s="54"/>
    </row>
    <row r="180" spans="15:26">
      <c r="O180" s="59"/>
      <c r="P180" s="63"/>
      <c r="Q180" s="142"/>
      <c r="R180" s="142"/>
      <c r="S180" s="142"/>
      <c r="T180" s="142"/>
      <c r="U180" s="142"/>
      <c r="V180" s="58"/>
      <c r="X180" s="54"/>
      <c r="Y180" s="54"/>
      <c r="Z180" s="54"/>
    </row>
    <row r="181" spans="15:26">
      <c r="O181" s="59"/>
      <c r="P181" s="63"/>
      <c r="Q181" s="142"/>
      <c r="R181" s="142"/>
      <c r="S181" s="142"/>
      <c r="T181" s="142"/>
      <c r="U181" s="142"/>
      <c r="V181" s="58"/>
      <c r="X181" s="54"/>
      <c r="Y181" s="54"/>
      <c r="Z181" s="54"/>
    </row>
    <row r="182" spans="15:26">
      <c r="O182" s="59"/>
      <c r="P182" s="63"/>
      <c r="Q182" s="142"/>
      <c r="R182" s="142"/>
      <c r="S182" s="142"/>
      <c r="T182" s="142"/>
      <c r="U182" s="142"/>
      <c r="V182" s="58"/>
      <c r="X182" s="54"/>
      <c r="Y182" s="54"/>
      <c r="Z182" s="54"/>
    </row>
    <row r="183" spans="15:26">
      <c r="O183" s="59"/>
      <c r="P183" s="63"/>
      <c r="Q183" s="142"/>
      <c r="R183" s="142"/>
      <c r="S183" s="142"/>
      <c r="T183" s="142"/>
      <c r="U183" s="142"/>
      <c r="V183" s="58"/>
      <c r="X183" s="54"/>
      <c r="Y183" s="54"/>
      <c r="Z183" s="54"/>
    </row>
    <row r="184" spans="15:26">
      <c r="O184" s="59"/>
      <c r="P184" s="63"/>
      <c r="Q184" s="142"/>
      <c r="R184" s="142"/>
      <c r="S184" s="142"/>
      <c r="T184" s="142"/>
      <c r="U184" s="142"/>
      <c r="V184" s="58"/>
      <c r="X184" s="54"/>
      <c r="Y184" s="54"/>
      <c r="Z184" s="54"/>
    </row>
    <row r="185" spans="15:26">
      <c r="O185" s="59"/>
      <c r="P185" s="63"/>
      <c r="Q185" s="142"/>
      <c r="R185" s="142"/>
      <c r="S185" s="142"/>
      <c r="T185" s="142"/>
      <c r="U185" s="142"/>
      <c r="V185" s="58"/>
      <c r="X185" s="54"/>
      <c r="Y185" s="54"/>
      <c r="Z185" s="54"/>
    </row>
    <row r="186" spans="15:26">
      <c r="O186" s="59"/>
      <c r="P186" s="63"/>
      <c r="Q186" s="142"/>
      <c r="R186" s="142"/>
      <c r="S186" s="142"/>
      <c r="T186" s="142"/>
      <c r="U186" s="142"/>
      <c r="V186" s="58"/>
      <c r="X186" s="54"/>
      <c r="Y186" s="54"/>
      <c r="Z186" s="54"/>
    </row>
    <row r="187" spans="15:26">
      <c r="O187" s="59"/>
      <c r="P187" s="63"/>
      <c r="Q187" s="142"/>
      <c r="R187" s="142"/>
      <c r="S187" s="142"/>
      <c r="T187" s="142"/>
      <c r="U187" s="142"/>
      <c r="V187" s="58"/>
      <c r="X187" s="54"/>
      <c r="Y187" s="54"/>
      <c r="Z187" s="54"/>
    </row>
    <row r="188" spans="15:26">
      <c r="O188" s="59"/>
      <c r="P188" s="63"/>
      <c r="Q188" s="142"/>
      <c r="R188" s="142"/>
      <c r="S188" s="142"/>
      <c r="T188" s="142"/>
      <c r="U188" s="142"/>
      <c r="V188" s="58"/>
      <c r="X188" s="54"/>
      <c r="Y188" s="54"/>
      <c r="Z188" s="54"/>
    </row>
    <row r="189" spans="15:26">
      <c r="O189" s="59"/>
      <c r="P189" s="63"/>
      <c r="Q189" s="142"/>
      <c r="R189" s="142"/>
      <c r="S189" s="142"/>
      <c r="T189" s="142"/>
      <c r="U189" s="142"/>
      <c r="V189" s="58"/>
      <c r="X189" s="54"/>
      <c r="Y189" s="54"/>
      <c r="Z189" s="54"/>
    </row>
    <row r="190" spans="15:26">
      <c r="O190" s="59"/>
      <c r="P190" s="63"/>
      <c r="Q190" s="142"/>
      <c r="R190" s="142"/>
      <c r="S190" s="142"/>
      <c r="T190" s="142"/>
      <c r="U190" s="142"/>
      <c r="V190" s="58"/>
      <c r="X190" s="54"/>
      <c r="Y190" s="54"/>
      <c r="Z190" s="54"/>
    </row>
    <row r="191" spans="15:26">
      <c r="O191" s="59"/>
      <c r="P191" s="63"/>
      <c r="Q191" s="142"/>
      <c r="R191" s="142"/>
      <c r="S191" s="142"/>
      <c r="T191" s="142"/>
      <c r="U191" s="142"/>
      <c r="V191" s="58"/>
      <c r="X191" s="54"/>
      <c r="Y191" s="54"/>
      <c r="Z191" s="54"/>
    </row>
    <row r="192" spans="15:26">
      <c r="O192" s="59"/>
      <c r="P192" s="63"/>
      <c r="Q192" s="142"/>
      <c r="R192" s="142"/>
      <c r="S192" s="142"/>
      <c r="T192" s="142"/>
      <c r="U192" s="142"/>
      <c r="V192" s="58"/>
      <c r="X192" s="54"/>
      <c r="Y192" s="54"/>
      <c r="Z192" s="54"/>
    </row>
    <row r="193" spans="15:26">
      <c r="O193" s="59"/>
      <c r="P193" s="63"/>
      <c r="Q193" s="142"/>
      <c r="R193" s="142"/>
      <c r="S193" s="142"/>
      <c r="T193" s="142"/>
      <c r="U193" s="142"/>
      <c r="V193" s="58"/>
      <c r="X193" s="54"/>
      <c r="Y193" s="54"/>
      <c r="Z193" s="54"/>
    </row>
    <row r="194" spans="15:26">
      <c r="O194" s="59"/>
      <c r="P194" s="63"/>
      <c r="Q194" s="142"/>
      <c r="R194" s="142"/>
      <c r="S194" s="142"/>
      <c r="T194" s="142"/>
      <c r="U194" s="142"/>
      <c r="V194" s="58"/>
      <c r="X194" s="54"/>
      <c r="Y194" s="54"/>
      <c r="Z194" s="54"/>
    </row>
    <row r="195" spans="15:26">
      <c r="O195" s="59"/>
      <c r="P195" s="63"/>
      <c r="Q195" s="142"/>
      <c r="R195" s="142"/>
      <c r="S195" s="142"/>
      <c r="T195" s="142"/>
      <c r="U195" s="142"/>
      <c r="V195" s="58"/>
      <c r="X195" s="54"/>
      <c r="Y195" s="54"/>
      <c r="Z195" s="54"/>
    </row>
    <row r="196" spans="15:26">
      <c r="O196" s="59"/>
      <c r="P196" s="63"/>
      <c r="Q196" s="142"/>
      <c r="R196" s="142"/>
      <c r="S196" s="142"/>
      <c r="T196" s="142"/>
      <c r="U196" s="142"/>
      <c r="V196" s="58"/>
      <c r="X196" s="54"/>
      <c r="Y196" s="54"/>
      <c r="Z196" s="54"/>
    </row>
    <row r="197" spans="15:26">
      <c r="O197" s="59"/>
      <c r="P197" s="63"/>
      <c r="Q197" s="142"/>
      <c r="R197" s="142"/>
      <c r="S197" s="142"/>
      <c r="T197" s="142"/>
      <c r="U197" s="142"/>
      <c r="V197" s="58"/>
      <c r="X197" s="54"/>
      <c r="Y197" s="54"/>
      <c r="Z197" s="54"/>
    </row>
    <row r="198" spans="15:26">
      <c r="O198" s="59"/>
      <c r="P198" s="63"/>
      <c r="Q198" s="142"/>
      <c r="R198" s="142"/>
      <c r="S198" s="142"/>
      <c r="T198" s="142"/>
      <c r="U198" s="142"/>
      <c r="V198" s="58"/>
      <c r="X198" s="54"/>
      <c r="Y198" s="54"/>
      <c r="Z198" s="54"/>
    </row>
    <row r="199" spans="15:26">
      <c r="O199" s="59"/>
      <c r="P199" s="63"/>
      <c r="Q199" s="142"/>
      <c r="R199" s="142"/>
      <c r="S199" s="142"/>
      <c r="T199" s="142"/>
      <c r="U199" s="142"/>
      <c r="V199" s="58"/>
      <c r="X199" s="54"/>
      <c r="Y199" s="54"/>
      <c r="Z199" s="54"/>
    </row>
    <row r="200" spans="15:26">
      <c r="O200" s="59"/>
      <c r="P200" s="63"/>
      <c r="Q200" s="142"/>
      <c r="R200" s="142"/>
      <c r="S200" s="142"/>
      <c r="T200" s="142"/>
      <c r="U200" s="142"/>
      <c r="V200" s="58"/>
      <c r="X200" s="54"/>
      <c r="Y200" s="54"/>
      <c r="Z200" s="54"/>
    </row>
    <row r="201" spans="15:26">
      <c r="O201" s="59"/>
      <c r="P201" s="63"/>
      <c r="Q201" s="142"/>
      <c r="R201" s="142"/>
      <c r="S201" s="142"/>
      <c r="T201" s="142"/>
      <c r="U201" s="142"/>
      <c r="V201" s="58"/>
      <c r="X201" s="54"/>
      <c r="Y201" s="54"/>
      <c r="Z201" s="54"/>
    </row>
    <row r="202" spans="15:26">
      <c r="O202" s="59"/>
      <c r="P202" s="63"/>
      <c r="Q202" s="142"/>
      <c r="R202" s="142"/>
      <c r="S202" s="142"/>
      <c r="T202" s="142"/>
      <c r="U202" s="142"/>
      <c r="V202" s="58"/>
      <c r="X202" s="54"/>
      <c r="Y202" s="54"/>
      <c r="Z202" s="54"/>
    </row>
    <row r="203" spans="15:26">
      <c r="O203" s="59"/>
      <c r="P203" s="63"/>
      <c r="Q203" s="142"/>
      <c r="R203" s="142"/>
      <c r="S203" s="142"/>
      <c r="T203" s="142"/>
      <c r="U203" s="142"/>
      <c r="V203" s="58"/>
      <c r="X203" s="54"/>
      <c r="Y203" s="54"/>
      <c r="Z203" s="54"/>
    </row>
    <row r="204" spans="15:26">
      <c r="O204" s="59"/>
      <c r="P204" s="63"/>
      <c r="Q204" s="142"/>
      <c r="R204" s="142"/>
      <c r="S204" s="142"/>
      <c r="T204" s="142"/>
      <c r="U204" s="142"/>
      <c r="V204" s="58"/>
      <c r="X204" s="54"/>
      <c r="Y204" s="54"/>
      <c r="Z204" s="54"/>
    </row>
    <row r="205" spans="15:26">
      <c r="O205" s="59"/>
      <c r="P205" s="63"/>
      <c r="Q205" s="142"/>
      <c r="R205" s="142"/>
      <c r="S205" s="142"/>
      <c r="T205" s="142"/>
      <c r="U205" s="142"/>
      <c r="V205" s="58"/>
      <c r="X205" s="54"/>
      <c r="Y205" s="54"/>
      <c r="Z205" s="54"/>
    </row>
    <row r="206" spans="15:26">
      <c r="O206" s="59"/>
      <c r="P206" s="63"/>
      <c r="Q206" s="142"/>
      <c r="R206" s="142"/>
      <c r="S206" s="142"/>
      <c r="T206" s="142"/>
      <c r="U206" s="142"/>
      <c r="V206" s="58"/>
      <c r="X206" s="54"/>
      <c r="Y206" s="54"/>
      <c r="Z206" s="54"/>
    </row>
    <row r="207" spans="15:26">
      <c r="O207" s="60">
        <v>42370</v>
      </c>
      <c r="P207" s="63"/>
      <c r="Q207" s="142"/>
      <c r="R207" s="142"/>
      <c r="S207" s="142"/>
      <c r="T207" s="142"/>
      <c r="U207" s="142"/>
      <c r="V207" s="58"/>
      <c r="X207" s="54"/>
      <c r="Y207" s="54"/>
      <c r="Z207" s="54"/>
    </row>
    <row r="208" spans="15:26">
      <c r="O208" s="60"/>
      <c r="P208" s="63"/>
      <c r="Q208" s="142"/>
      <c r="R208" s="142"/>
      <c r="S208" s="142"/>
      <c r="T208" s="142"/>
      <c r="U208" s="142"/>
      <c r="V208" s="58"/>
      <c r="X208" s="54"/>
      <c r="Y208" s="54"/>
      <c r="Z208" s="54"/>
    </row>
    <row r="209" spans="15:26">
      <c r="O209" s="59"/>
      <c r="P209" s="63"/>
      <c r="Q209" s="142"/>
      <c r="R209" s="142"/>
      <c r="S209" s="142"/>
      <c r="T209" s="142"/>
      <c r="U209" s="142"/>
      <c r="V209" s="58"/>
      <c r="X209" s="54"/>
      <c r="Y209" s="54"/>
      <c r="Z209" s="54"/>
    </row>
    <row r="210" spans="15:26">
      <c r="O210" s="59"/>
      <c r="P210" s="63"/>
      <c r="Q210" s="142"/>
      <c r="R210" s="142"/>
      <c r="S210" s="142"/>
      <c r="T210" s="142"/>
      <c r="U210" s="142"/>
      <c r="V210" s="58"/>
      <c r="X210" s="54"/>
      <c r="Y210" s="54"/>
      <c r="Z210" s="54"/>
    </row>
    <row r="211" spans="15:26">
      <c r="O211" s="59"/>
      <c r="P211" s="63"/>
      <c r="Q211" s="142"/>
      <c r="R211" s="142"/>
      <c r="S211" s="142"/>
      <c r="T211" s="142"/>
      <c r="U211" s="142"/>
      <c r="V211" s="58"/>
      <c r="X211" s="54"/>
      <c r="Y211" s="54"/>
      <c r="Z211" s="54"/>
    </row>
    <row r="212" spans="15:26">
      <c r="O212" s="59"/>
      <c r="P212" s="63"/>
      <c r="Q212" s="142"/>
      <c r="R212" s="142"/>
      <c r="S212" s="142"/>
      <c r="T212" s="142"/>
      <c r="U212" s="142"/>
      <c r="V212" s="58"/>
      <c r="X212" s="54"/>
      <c r="Y212" s="54"/>
      <c r="Z212" s="54"/>
    </row>
    <row r="213" spans="15:26">
      <c r="O213" s="59"/>
      <c r="P213" s="63"/>
      <c r="Q213" s="142"/>
      <c r="R213" s="142"/>
      <c r="S213" s="142"/>
      <c r="T213" s="142"/>
      <c r="U213" s="142"/>
      <c r="V213" s="58"/>
      <c r="X213" s="54"/>
      <c r="Y213" s="54"/>
      <c r="Z213" s="54"/>
    </row>
    <row r="214" spans="15:26">
      <c r="O214" s="59"/>
      <c r="P214" s="63"/>
      <c r="Q214" s="142"/>
      <c r="R214" s="142"/>
      <c r="S214" s="142"/>
      <c r="T214" s="142"/>
      <c r="U214" s="142"/>
      <c r="V214" s="58"/>
      <c r="X214" s="54"/>
      <c r="Y214" s="54"/>
      <c r="Z214" s="54"/>
    </row>
    <row r="215" spans="15:26">
      <c r="O215" s="59"/>
      <c r="P215" s="63"/>
      <c r="Q215" s="142"/>
      <c r="R215" s="142"/>
      <c r="S215" s="142"/>
      <c r="T215" s="142"/>
      <c r="U215" s="142"/>
      <c r="V215" s="58"/>
      <c r="X215" s="54"/>
      <c r="Y215" s="54"/>
      <c r="Z215" s="54"/>
    </row>
    <row r="216" spans="15:26">
      <c r="O216" s="59"/>
      <c r="P216" s="63"/>
      <c r="Q216" s="142"/>
      <c r="R216" s="142"/>
      <c r="S216" s="142"/>
      <c r="T216" s="142"/>
      <c r="U216" s="142"/>
      <c r="V216" s="58"/>
      <c r="X216" s="54"/>
      <c r="Y216" s="54"/>
      <c r="Z216" s="54"/>
    </row>
    <row r="217" spans="15:26">
      <c r="O217" s="59"/>
      <c r="P217" s="63"/>
      <c r="Q217" s="142"/>
      <c r="R217" s="142"/>
      <c r="S217" s="142"/>
      <c r="T217" s="142"/>
      <c r="U217" s="142"/>
      <c r="V217" s="58"/>
      <c r="X217" s="54"/>
      <c r="Y217" s="54"/>
      <c r="Z217" s="54"/>
    </row>
    <row r="218" spans="15:26">
      <c r="O218" s="59"/>
      <c r="P218" s="63"/>
      <c r="Q218" s="142"/>
      <c r="R218" s="142"/>
      <c r="S218" s="142"/>
      <c r="T218" s="142"/>
      <c r="U218" s="142"/>
      <c r="V218" s="58"/>
      <c r="X218" s="54"/>
      <c r="Y218" s="54"/>
      <c r="Z218" s="54"/>
    </row>
    <row r="219" spans="15:26">
      <c r="O219" s="59"/>
      <c r="P219" s="63"/>
      <c r="Q219" s="142"/>
      <c r="R219" s="142"/>
      <c r="S219" s="142"/>
      <c r="T219" s="142"/>
      <c r="U219" s="142"/>
      <c r="V219" s="58"/>
      <c r="X219" s="54"/>
      <c r="Y219" s="54"/>
      <c r="Z219" s="54"/>
    </row>
    <row r="220" spans="15:26">
      <c r="O220" s="59"/>
      <c r="P220" s="63"/>
      <c r="Q220" s="142"/>
      <c r="R220" s="142"/>
      <c r="S220" s="142"/>
      <c r="T220" s="142"/>
      <c r="U220" s="142"/>
      <c r="V220" s="58"/>
      <c r="X220" s="54"/>
      <c r="Y220" s="54"/>
      <c r="Z220" s="54"/>
    </row>
    <row r="221" spans="15:26">
      <c r="O221" s="59"/>
      <c r="P221" s="63"/>
      <c r="Q221" s="142"/>
      <c r="R221" s="142"/>
      <c r="S221" s="142"/>
      <c r="T221" s="142"/>
      <c r="U221" s="142"/>
      <c r="V221" s="58"/>
      <c r="X221" s="54"/>
      <c r="Y221" s="54"/>
      <c r="Z221" s="54"/>
    </row>
    <row r="222" spans="15:26">
      <c r="O222" s="59"/>
      <c r="P222" s="63"/>
      <c r="Q222" s="142"/>
      <c r="R222" s="142"/>
      <c r="S222" s="142"/>
      <c r="T222" s="142"/>
      <c r="U222" s="142"/>
      <c r="V222" s="58"/>
      <c r="X222" s="54"/>
      <c r="Y222" s="54"/>
      <c r="Z222" s="54"/>
    </row>
    <row r="223" spans="15:26">
      <c r="O223" s="59"/>
      <c r="P223" s="63"/>
      <c r="Q223" s="142"/>
      <c r="R223" s="142"/>
      <c r="S223" s="142"/>
      <c r="T223" s="142"/>
      <c r="U223" s="142"/>
      <c r="V223" s="58"/>
      <c r="X223" s="54"/>
      <c r="Y223" s="54"/>
      <c r="Z223" s="54"/>
    </row>
    <row r="224" spans="15:26">
      <c r="O224" s="59"/>
      <c r="P224" s="63"/>
      <c r="Q224" s="142"/>
      <c r="R224" s="142"/>
      <c r="S224" s="142"/>
      <c r="T224" s="142"/>
      <c r="U224" s="142"/>
      <c r="V224" s="58"/>
      <c r="X224" s="54"/>
      <c r="Y224" s="54"/>
      <c r="Z224" s="54"/>
    </row>
    <row r="225" spans="15:26">
      <c r="O225" s="59"/>
      <c r="P225" s="63"/>
      <c r="Q225" s="142"/>
      <c r="R225" s="142"/>
      <c r="S225" s="142"/>
      <c r="T225" s="142"/>
      <c r="U225" s="142"/>
      <c r="V225" s="58"/>
      <c r="X225" s="54"/>
      <c r="Y225" s="54"/>
      <c r="Z225" s="54"/>
    </row>
    <row r="226" spans="15:26">
      <c r="O226" s="59"/>
      <c r="P226" s="63"/>
      <c r="Q226" s="142"/>
      <c r="R226" s="142"/>
      <c r="S226" s="142"/>
      <c r="T226" s="142"/>
      <c r="U226" s="142"/>
      <c r="V226" s="58"/>
      <c r="X226" s="54"/>
      <c r="Y226" s="54"/>
      <c r="Z226" s="54"/>
    </row>
    <row r="227" spans="15:26">
      <c r="O227" s="59"/>
      <c r="P227" s="63"/>
      <c r="Q227" s="142"/>
      <c r="R227" s="142"/>
      <c r="S227" s="142"/>
      <c r="T227" s="142"/>
      <c r="U227" s="142"/>
      <c r="V227" s="58"/>
      <c r="X227" s="54"/>
      <c r="Y227" s="54"/>
      <c r="Z227" s="54"/>
    </row>
    <row r="228" spans="15:26">
      <c r="O228" s="59"/>
      <c r="P228" s="63"/>
      <c r="Q228" s="142"/>
      <c r="R228" s="142"/>
      <c r="S228" s="142"/>
      <c r="T228" s="142"/>
      <c r="U228" s="142"/>
      <c r="V228" s="58"/>
      <c r="X228" s="54"/>
      <c r="Y228" s="54"/>
      <c r="Z228" s="54"/>
    </row>
    <row r="229" spans="15:26">
      <c r="O229" s="59"/>
      <c r="P229" s="63"/>
      <c r="Q229" s="142"/>
      <c r="R229" s="142"/>
      <c r="S229" s="142"/>
      <c r="T229" s="142"/>
      <c r="U229" s="142"/>
      <c r="V229" s="58"/>
      <c r="X229" s="54"/>
      <c r="Y229" s="54"/>
      <c r="Z229" s="54"/>
    </row>
    <row r="230" spans="15:26">
      <c r="O230" s="59"/>
      <c r="P230" s="63"/>
      <c r="Q230" s="142"/>
      <c r="R230" s="142"/>
      <c r="S230" s="142"/>
      <c r="T230" s="142"/>
      <c r="U230" s="142"/>
      <c r="V230" s="58"/>
      <c r="X230" s="54"/>
      <c r="Y230" s="54"/>
      <c r="Z230" s="54"/>
    </row>
    <row r="231" spans="15:26">
      <c r="O231" s="59"/>
      <c r="P231" s="63"/>
      <c r="Q231" s="142"/>
      <c r="R231" s="142"/>
      <c r="S231" s="142"/>
      <c r="T231" s="142"/>
      <c r="U231" s="142"/>
      <c r="V231" s="58"/>
      <c r="X231" s="54"/>
      <c r="Y231" s="54"/>
      <c r="Z231" s="54"/>
    </row>
    <row r="232" spans="15:26">
      <c r="O232" s="59"/>
      <c r="P232" s="63"/>
      <c r="Q232" s="142"/>
      <c r="R232" s="142"/>
      <c r="S232" s="142"/>
      <c r="T232" s="142"/>
      <c r="U232" s="142"/>
      <c r="V232" s="58"/>
      <c r="X232" s="54"/>
      <c r="Y232" s="54"/>
      <c r="Z232" s="54"/>
    </row>
    <row r="233" spans="15:26">
      <c r="O233" s="59"/>
      <c r="P233" s="63"/>
      <c r="Q233" s="142"/>
      <c r="R233" s="142"/>
      <c r="S233" s="142"/>
      <c r="T233" s="142"/>
      <c r="U233" s="142"/>
      <c r="V233" s="58"/>
      <c r="X233" s="54"/>
      <c r="Y233" s="54"/>
      <c r="Z233" s="54"/>
    </row>
    <row r="234" spans="15:26">
      <c r="O234" s="59"/>
      <c r="P234" s="63"/>
      <c r="Q234" s="142"/>
      <c r="R234" s="142"/>
      <c r="S234" s="142"/>
      <c r="T234" s="142"/>
      <c r="U234" s="142"/>
      <c r="V234" s="58"/>
      <c r="X234" s="54"/>
      <c r="Y234" s="54"/>
      <c r="Z234" s="54"/>
    </row>
    <row r="235" spans="15:26">
      <c r="O235" s="59"/>
      <c r="P235" s="63"/>
      <c r="Q235" s="142"/>
      <c r="R235" s="142"/>
      <c r="S235" s="142"/>
      <c r="T235" s="142"/>
      <c r="U235" s="142"/>
      <c r="V235" s="58"/>
      <c r="X235" s="54"/>
      <c r="Y235" s="54"/>
      <c r="Z235" s="54"/>
    </row>
    <row r="236" spans="15:26">
      <c r="O236" s="59"/>
      <c r="P236" s="63"/>
      <c r="Q236" s="142"/>
      <c r="R236" s="142"/>
      <c r="S236" s="142"/>
      <c r="T236" s="142"/>
      <c r="U236" s="142"/>
      <c r="V236" s="58"/>
      <c r="X236" s="54"/>
      <c r="Y236" s="54"/>
      <c r="Z236" s="54"/>
    </row>
    <row r="237" spans="15:26">
      <c r="O237" s="59"/>
      <c r="P237" s="63"/>
      <c r="Q237" s="142"/>
      <c r="R237" s="142"/>
      <c r="S237" s="142"/>
      <c r="T237" s="142"/>
      <c r="U237" s="142"/>
      <c r="V237" s="58"/>
      <c r="X237" s="54"/>
      <c r="Y237" s="54"/>
      <c r="Z237" s="54"/>
    </row>
    <row r="238" spans="15:26">
      <c r="O238" s="60">
        <v>42401</v>
      </c>
      <c r="P238" s="63"/>
      <c r="Q238" s="142"/>
      <c r="R238" s="142"/>
      <c r="S238" s="142"/>
      <c r="T238" s="142"/>
      <c r="U238" s="142"/>
      <c r="V238" s="58"/>
      <c r="X238" s="54"/>
      <c r="Y238" s="54"/>
      <c r="Z238" s="54"/>
    </row>
    <row r="239" spans="15:26">
      <c r="O239" s="60"/>
      <c r="P239" s="63"/>
      <c r="Q239" s="142"/>
      <c r="R239" s="142"/>
      <c r="S239" s="142"/>
      <c r="T239" s="142"/>
      <c r="U239" s="142"/>
      <c r="V239" s="58"/>
      <c r="X239" s="54"/>
      <c r="Y239" s="54"/>
      <c r="Z239" s="54"/>
    </row>
    <row r="240" spans="15:26">
      <c r="O240" s="59"/>
      <c r="P240" s="63"/>
      <c r="Q240" s="142"/>
      <c r="R240" s="142"/>
      <c r="S240" s="142"/>
      <c r="T240" s="142"/>
      <c r="U240" s="142"/>
      <c r="V240" s="58"/>
      <c r="X240" s="54"/>
      <c r="Y240" s="54"/>
      <c r="Z240" s="54"/>
    </row>
    <row r="241" spans="15:26">
      <c r="O241" s="59"/>
      <c r="P241" s="63"/>
      <c r="Q241" s="142"/>
      <c r="R241" s="142"/>
      <c r="S241" s="142"/>
      <c r="T241" s="142"/>
      <c r="U241" s="142"/>
      <c r="V241" s="58"/>
      <c r="X241" s="54"/>
      <c r="Y241" s="54"/>
      <c r="Z241" s="54"/>
    </row>
    <row r="242" spans="15:26">
      <c r="O242" s="59"/>
      <c r="P242" s="63"/>
      <c r="Q242" s="142"/>
      <c r="R242" s="142"/>
      <c r="S242" s="142"/>
      <c r="T242" s="142"/>
      <c r="U242" s="142"/>
      <c r="V242" s="58"/>
      <c r="X242" s="54"/>
      <c r="Y242" s="54"/>
      <c r="Z242" s="54"/>
    </row>
    <row r="243" spans="15:26">
      <c r="O243" s="59"/>
      <c r="P243" s="63"/>
      <c r="Q243" s="142"/>
      <c r="R243" s="142"/>
      <c r="S243" s="142"/>
      <c r="T243" s="142"/>
      <c r="U243" s="142"/>
      <c r="V243" s="58"/>
      <c r="X243" s="54"/>
      <c r="Y243" s="54"/>
      <c r="Z243" s="54"/>
    </row>
    <row r="244" spans="15:26">
      <c r="O244" s="59"/>
      <c r="P244" s="63"/>
      <c r="Q244" s="142"/>
      <c r="R244" s="142"/>
      <c r="S244" s="142"/>
      <c r="T244" s="142"/>
      <c r="U244" s="142"/>
      <c r="V244" s="58"/>
      <c r="X244" s="54"/>
      <c r="Y244" s="54"/>
      <c r="Z244" s="54"/>
    </row>
    <row r="245" spans="15:26">
      <c r="O245" s="59"/>
      <c r="P245" s="63"/>
      <c r="Q245" s="142"/>
      <c r="R245" s="142"/>
      <c r="S245" s="142"/>
      <c r="T245" s="142"/>
      <c r="U245" s="142"/>
      <c r="V245" s="58"/>
      <c r="X245" s="54"/>
      <c r="Y245" s="54"/>
      <c r="Z245" s="54"/>
    </row>
    <row r="246" spans="15:26">
      <c r="O246" s="59"/>
      <c r="P246" s="63"/>
      <c r="Q246" s="142"/>
      <c r="R246" s="142"/>
      <c r="S246" s="142"/>
      <c r="T246" s="142"/>
      <c r="U246" s="142"/>
      <c r="V246" s="58"/>
      <c r="X246" s="54"/>
      <c r="Y246" s="54"/>
      <c r="Z246" s="54"/>
    </row>
    <row r="247" spans="15:26">
      <c r="O247" s="59"/>
      <c r="P247" s="63"/>
      <c r="Q247" s="142"/>
      <c r="R247" s="142"/>
      <c r="S247" s="142"/>
      <c r="T247" s="142"/>
      <c r="U247" s="142"/>
      <c r="V247" s="58"/>
      <c r="X247" s="54"/>
      <c r="Y247" s="54"/>
      <c r="Z247" s="54"/>
    </row>
    <row r="248" spans="15:26">
      <c r="O248" s="59"/>
      <c r="P248" s="63"/>
      <c r="Q248" s="142"/>
      <c r="R248" s="142"/>
      <c r="S248" s="142"/>
      <c r="T248" s="142"/>
      <c r="U248" s="142"/>
      <c r="V248" s="58"/>
      <c r="X248" s="54"/>
      <c r="Y248" s="54"/>
      <c r="Z248" s="54"/>
    </row>
    <row r="249" spans="15:26">
      <c r="O249" s="59"/>
      <c r="P249" s="63"/>
      <c r="Q249" s="142"/>
      <c r="R249" s="142"/>
      <c r="S249" s="142"/>
      <c r="T249" s="142"/>
      <c r="U249" s="142"/>
      <c r="V249" s="58"/>
      <c r="X249" s="54"/>
      <c r="Y249" s="54"/>
      <c r="Z249" s="54"/>
    </row>
    <row r="250" spans="15:26">
      <c r="O250" s="59"/>
      <c r="P250" s="63"/>
      <c r="Q250" s="142"/>
      <c r="R250" s="142"/>
      <c r="S250" s="142"/>
      <c r="T250" s="142"/>
      <c r="U250" s="142"/>
      <c r="V250" s="58"/>
      <c r="X250" s="54"/>
      <c r="Y250" s="54"/>
      <c r="Z250" s="54"/>
    </row>
    <row r="251" spans="15:26">
      <c r="O251" s="59"/>
      <c r="P251" s="63"/>
      <c r="Q251" s="142"/>
      <c r="R251" s="142"/>
      <c r="S251" s="142"/>
      <c r="T251" s="142"/>
      <c r="U251" s="142"/>
      <c r="V251" s="58"/>
      <c r="X251" s="54"/>
      <c r="Y251" s="54"/>
      <c r="Z251" s="54"/>
    </row>
    <row r="252" spans="15:26">
      <c r="O252" s="59"/>
      <c r="P252" s="63"/>
      <c r="Q252" s="142"/>
      <c r="R252" s="142"/>
      <c r="S252" s="142"/>
      <c r="T252" s="142"/>
      <c r="U252" s="142"/>
      <c r="V252" s="58"/>
      <c r="X252" s="54"/>
      <c r="Y252" s="54"/>
      <c r="Z252" s="54"/>
    </row>
    <row r="253" spans="15:26">
      <c r="O253" s="59"/>
      <c r="P253" s="63"/>
      <c r="Q253" s="142"/>
      <c r="R253" s="142"/>
      <c r="S253" s="142"/>
      <c r="T253" s="142"/>
      <c r="U253" s="142"/>
      <c r="V253" s="58"/>
      <c r="X253" s="54"/>
      <c r="Y253" s="54"/>
      <c r="Z253" s="54"/>
    </row>
    <row r="254" spans="15:26">
      <c r="O254" s="59"/>
      <c r="P254" s="63"/>
      <c r="Q254" s="142"/>
      <c r="R254" s="142"/>
      <c r="S254" s="142"/>
      <c r="T254" s="142"/>
      <c r="U254" s="142"/>
      <c r="V254" s="58"/>
      <c r="X254" s="54"/>
      <c r="Y254" s="54"/>
      <c r="Z254" s="54"/>
    </row>
    <row r="255" spans="15:26">
      <c r="O255" s="59"/>
      <c r="P255" s="63"/>
      <c r="Q255" s="142"/>
      <c r="R255" s="142"/>
      <c r="S255" s="142"/>
      <c r="T255" s="142"/>
      <c r="U255" s="142"/>
      <c r="V255" s="58"/>
      <c r="X255" s="54"/>
      <c r="Y255" s="54"/>
      <c r="Z255" s="54"/>
    </row>
    <row r="256" spans="15:26">
      <c r="O256" s="59"/>
      <c r="P256" s="63"/>
      <c r="Q256" s="142"/>
      <c r="R256" s="142"/>
      <c r="S256" s="142"/>
      <c r="T256" s="142"/>
      <c r="U256" s="142"/>
      <c r="V256" s="58"/>
      <c r="X256" s="54"/>
      <c r="Y256" s="54"/>
      <c r="Z256" s="54"/>
    </row>
    <row r="257" spans="15:26">
      <c r="O257" s="59"/>
      <c r="P257" s="63"/>
      <c r="Q257" s="142"/>
      <c r="R257" s="142"/>
      <c r="S257" s="142"/>
      <c r="T257" s="142"/>
      <c r="U257" s="142"/>
      <c r="V257" s="58"/>
      <c r="X257" s="54"/>
      <c r="Y257" s="54"/>
      <c r="Z257" s="54"/>
    </row>
    <row r="258" spans="15:26">
      <c r="O258" s="59"/>
      <c r="P258" s="63"/>
      <c r="Q258" s="142"/>
      <c r="R258" s="142"/>
      <c r="S258" s="142"/>
      <c r="T258" s="142"/>
      <c r="U258" s="142"/>
      <c r="V258" s="58"/>
      <c r="X258" s="54"/>
      <c r="Y258" s="54"/>
      <c r="Z258" s="54"/>
    </row>
    <row r="259" spans="15:26">
      <c r="O259" s="59"/>
      <c r="P259" s="63"/>
      <c r="Q259" s="142"/>
      <c r="R259" s="142"/>
      <c r="S259" s="142"/>
      <c r="T259" s="142"/>
      <c r="U259" s="142"/>
      <c r="V259" s="58"/>
      <c r="X259" s="54"/>
      <c r="Y259" s="54"/>
      <c r="Z259" s="54"/>
    </row>
    <row r="260" spans="15:26">
      <c r="O260" s="59"/>
      <c r="P260" s="63"/>
      <c r="Q260" s="142"/>
      <c r="R260" s="142"/>
      <c r="S260" s="142"/>
      <c r="T260" s="142"/>
      <c r="U260" s="142"/>
      <c r="V260" s="58"/>
      <c r="X260" s="54"/>
      <c r="Y260" s="54"/>
      <c r="Z260" s="54"/>
    </row>
    <row r="261" spans="15:26">
      <c r="O261" s="59"/>
      <c r="P261" s="63"/>
      <c r="Q261" s="142"/>
      <c r="R261" s="142"/>
      <c r="S261" s="142"/>
      <c r="T261" s="142"/>
      <c r="U261" s="142"/>
      <c r="V261" s="58"/>
      <c r="X261" s="54"/>
      <c r="Y261" s="54"/>
      <c r="Z261" s="54"/>
    </row>
    <row r="262" spans="15:26">
      <c r="O262" s="59"/>
      <c r="P262" s="63"/>
      <c r="Q262" s="142"/>
      <c r="R262" s="142"/>
      <c r="S262" s="142"/>
      <c r="T262" s="142"/>
      <c r="U262" s="142"/>
      <c r="V262" s="58"/>
      <c r="X262" s="54"/>
      <c r="Y262" s="54"/>
      <c r="Z262" s="54"/>
    </row>
    <row r="263" spans="15:26">
      <c r="O263" s="59"/>
      <c r="P263" s="63"/>
      <c r="Q263" s="142"/>
      <c r="R263" s="142"/>
      <c r="S263" s="142"/>
      <c r="T263" s="142"/>
      <c r="U263" s="142"/>
      <c r="V263" s="58"/>
      <c r="X263" s="54"/>
      <c r="Y263" s="54"/>
      <c r="Z263" s="54"/>
    </row>
    <row r="264" spans="15:26">
      <c r="O264" s="59"/>
      <c r="P264" s="63"/>
      <c r="Q264" s="142"/>
      <c r="R264" s="142"/>
      <c r="S264" s="142"/>
      <c r="T264" s="142"/>
      <c r="U264" s="142"/>
      <c r="V264" s="58"/>
      <c r="X264" s="54"/>
      <c r="Y264" s="54"/>
      <c r="Z264" s="54"/>
    </row>
    <row r="265" spans="15:26">
      <c r="O265" s="59"/>
      <c r="P265" s="63"/>
      <c r="Q265" s="142"/>
      <c r="R265" s="142"/>
      <c r="S265" s="142"/>
      <c r="T265" s="142"/>
      <c r="U265" s="142"/>
      <c r="V265" s="58"/>
      <c r="X265" s="54"/>
      <c r="Y265" s="54"/>
      <c r="Z265" s="54"/>
    </row>
    <row r="266" spans="15:26">
      <c r="O266" s="59"/>
      <c r="P266" s="63"/>
      <c r="Q266" s="142"/>
      <c r="R266" s="142"/>
      <c r="S266" s="142"/>
      <c r="T266" s="142"/>
      <c r="U266" s="142"/>
      <c r="V266" s="58"/>
      <c r="X266" s="54"/>
      <c r="Y266" s="54"/>
      <c r="Z266" s="54"/>
    </row>
    <row r="267" spans="15:26">
      <c r="O267" s="60">
        <v>42430</v>
      </c>
      <c r="P267" s="63"/>
      <c r="Q267" s="142"/>
      <c r="R267" s="142"/>
      <c r="S267" s="142"/>
      <c r="T267" s="142"/>
      <c r="U267" s="142"/>
      <c r="V267" s="58"/>
      <c r="X267" s="54"/>
      <c r="Y267" s="54"/>
      <c r="Z267" s="54"/>
    </row>
    <row r="268" spans="15:26">
      <c r="O268" s="59"/>
      <c r="P268" s="63"/>
      <c r="Q268" s="142"/>
      <c r="R268" s="142"/>
      <c r="S268" s="142"/>
      <c r="T268" s="142"/>
      <c r="U268" s="142"/>
      <c r="V268" s="58"/>
      <c r="X268" s="54"/>
      <c r="Y268" s="54"/>
      <c r="Z268" s="54"/>
    </row>
    <row r="269" spans="15:26">
      <c r="O269" s="60"/>
      <c r="P269" s="63"/>
      <c r="Q269" s="142"/>
      <c r="R269" s="142"/>
      <c r="S269" s="142"/>
      <c r="T269" s="142"/>
      <c r="U269" s="142"/>
      <c r="V269" s="58"/>
      <c r="X269" s="54"/>
      <c r="Y269" s="54"/>
      <c r="Z269" s="54"/>
    </row>
    <row r="270" spans="15:26">
      <c r="O270" s="60"/>
      <c r="P270" s="63"/>
      <c r="Q270" s="142"/>
      <c r="R270" s="142"/>
      <c r="S270" s="142"/>
      <c r="T270" s="142"/>
      <c r="U270" s="142"/>
      <c r="V270" s="58"/>
      <c r="X270" s="54"/>
      <c r="Y270" s="54"/>
      <c r="Z270" s="54"/>
    </row>
    <row r="271" spans="15:26">
      <c r="O271" s="59"/>
      <c r="P271" s="63"/>
      <c r="Q271" s="142"/>
      <c r="R271" s="142"/>
      <c r="S271" s="142"/>
      <c r="T271" s="142"/>
      <c r="U271" s="142"/>
      <c r="V271" s="58"/>
      <c r="X271" s="54"/>
      <c r="Y271" s="54"/>
      <c r="Z271" s="54"/>
    </row>
    <row r="272" spans="15:26">
      <c r="O272" s="59"/>
      <c r="P272" s="63"/>
      <c r="Q272" s="142"/>
      <c r="R272" s="142"/>
      <c r="S272" s="142"/>
      <c r="T272" s="142"/>
      <c r="U272" s="142"/>
      <c r="V272" s="58"/>
      <c r="X272" s="54"/>
      <c r="Y272" s="54"/>
      <c r="Z272" s="54"/>
    </row>
    <row r="273" spans="15:26">
      <c r="O273" s="59"/>
      <c r="P273" s="63"/>
      <c r="Q273" s="142"/>
      <c r="R273" s="142"/>
      <c r="S273" s="142"/>
      <c r="T273" s="142"/>
      <c r="U273" s="142"/>
      <c r="V273" s="58"/>
      <c r="X273" s="54"/>
      <c r="Y273" s="54"/>
      <c r="Z273" s="54"/>
    </row>
    <row r="274" spans="15:26">
      <c r="O274" s="59"/>
      <c r="P274" s="63"/>
      <c r="Q274" s="142"/>
      <c r="R274" s="142"/>
      <c r="S274" s="142"/>
      <c r="T274" s="142"/>
      <c r="U274" s="142"/>
      <c r="V274" s="58"/>
      <c r="X274" s="54"/>
      <c r="Y274" s="54"/>
      <c r="Z274" s="54"/>
    </row>
    <row r="275" spans="15:26">
      <c r="O275" s="59"/>
      <c r="P275" s="63"/>
      <c r="Q275" s="142"/>
      <c r="R275" s="142"/>
      <c r="S275" s="142"/>
      <c r="T275" s="142"/>
      <c r="U275" s="142"/>
      <c r="V275" s="58"/>
      <c r="X275" s="54"/>
      <c r="Y275" s="54"/>
      <c r="Z275" s="54"/>
    </row>
    <row r="276" spans="15:26">
      <c r="O276" s="59"/>
      <c r="P276" s="63"/>
      <c r="Q276" s="142"/>
      <c r="R276" s="142"/>
      <c r="S276" s="142"/>
      <c r="T276" s="142"/>
      <c r="U276" s="142"/>
      <c r="V276" s="58"/>
      <c r="X276" s="54"/>
      <c r="Y276" s="54"/>
      <c r="Z276" s="54"/>
    </row>
    <row r="277" spans="15:26">
      <c r="O277" s="59"/>
      <c r="P277" s="63"/>
      <c r="Q277" s="142"/>
      <c r="R277" s="142"/>
      <c r="S277" s="142"/>
      <c r="T277" s="142"/>
      <c r="U277" s="142"/>
      <c r="V277" s="58"/>
      <c r="X277" s="54"/>
      <c r="Y277" s="54"/>
      <c r="Z277" s="54"/>
    </row>
    <row r="278" spans="15:26">
      <c r="O278" s="59"/>
      <c r="P278" s="63"/>
      <c r="Q278" s="142"/>
      <c r="R278" s="142"/>
      <c r="S278" s="142"/>
      <c r="T278" s="142"/>
      <c r="U278" s="142"/>
      <c r="V278" s="58"/>
      <c r="X278" s="54"/>
      <c r="Y278" s="54"/>
      <c r="Z278" s="54"/>
    </row>
    <row r="279" spans="15:26">
      <c r="O279" s="59"/>
      <c r="P279" s="63"/>
      <c r="Q279" s="142"/>
      <c r="R279" s="142"/>
      <c r="S279" s="142"/>
      <c r="T279" s="142"/>
      <c r="U279" s="142"/>
      <c r="V279" s="58"/>
      <c r="X279" s="54"/>
      <c r="Y279" s="54"/>
      <c r="Z279" s="54"/>
    </row>
    <row r="280" spans="15:26">
      <c r="O280" s="59"/>
      <c r="P280" s="63"/>
      <c r="Q280" s="142"/>
      <c r="R280" s="142"/>
      <c r="S280" s="142"/>
      <c r="T280" s="142"/>
      <c r="U280" s="142"/>
      <c r="V280" s="58"/>
      <c r="X280" s="54"/>
      <c r="Y280" s="54"/>
      <c r="Z280" s="54"/>
    </row>
    <row r="281" spans="15:26">
      <c r="O281" s="59"/>
      <c r="P281" s="63"/>
      <c r="Q281" s="142"/>
      <c r="R281" s="142"/>
      <c r="S281" s="142"/>
      <c r="T281" s="142"/>
      <c r="U281" s="142"/>
      <c r="V281" s="58"/>
      <c r="X281" s="54"/>
      <c r="Y281" s="54"/>
      <c r="Z281" s="54"/>
    </row>
    <row r="282" spans="15:26">
      <c r="O282" s="59"/>
      <c r="P282" s="63"/>
      <c r="Q282" s="142"/>
      <c r="R282" s="142"/>
      <c r="S282" s="142"/>
      <c r="T282" s="142"/>
      <c r="U282" s="142"/>
      <c r="V282" s="58"/>
      <c r="X282" s="54"/>
      <c r="Y282" s="54"/>
      <c r="Z282" s="54"/>
    </row>
    <row r="283" spans="15:26">
      <c r="O283" s="59"/>
      <c r="P283" s="63"/>
      <c r="Q283" s="142"/>
      <c r="R283" s="142"/>
      <c r="S283" s="142"/>
      <c r="T283" s="142"/>
      <c r="U283" s="142"/>
      <c r="V283" s="58"/>
      <c r="X283" s="54"/>
      <c r="Y283" s="54"/>
      <c r="Z283" s="54"/>
    </row>
    <row r="284" spans="15:26">
      <c r="O284" s="59"/>
      <c r="P284" s="63"/>
      <c r="Q284" s="142"/>
      <c r="R284" s="142"/>
      <c r="S284" s="142"/>
      <c r="T284" s="142"/>
      <c r="U284" s="142"/>
      <c r="V284" s="58"/>
      <c r="X284" s="54"/>
      <c r="Y284" s="54"/>
      <c r="Z284" s="54"/>
    </row>
    <row r="285" spans="15:26">
      <c r="O285" s="59"/>
      <c r="P285" s="63"/>
      <c r="Q285" s="142"/>
      <c r="R285" s="142"/>
      <c r="S285" s="142"/>
      <c r="T285" s="142"/>
      <c r="U285" s="142"/>
      <c r="V285" s="58"/>
      <c r="X285" s="54"/>
      <c r="Y285" s="54"/>
      <c r="Z285" s="54"/>
    </row>
    <row r="286" spans="15:26">
      <c r="O286" s="59"/>
      <c r="P286" s="63"/>
      <c r="Q286" s="142"/>
      <c r="R286" s="142"/>
      <c r="S286" s="142"/>
      <c r="T286" s="142"/>
      <c r="U286" s="142"/>
      <c r="V286" s="58"/>
      <c r="X286" s="54"/>
      <c r="Y286" s="54"/>
      <c r="Z286" s="54"/>
    </row>
    <row r="287" spans="15:26">
      <c r="O287" s="59"/>
      <c r="P287" s="63"/>
      <c r="Q287" s="142"/>
      <c r="R287" s="142"/>
      <c r="S287" s="142"/>
      <c r="T287" s="142"/>
      <c r="U287" s="142"/>
      <c r="V287" s="58"/>
      <c r="X287" s="54"/>
      <c r="Y287" s="54"/>
      <c r="Z287" s="54"/>
    </row>
    <row r="288" spans="15:26">
      <c r="O288" s="59"/>
      <c r="P288" s="63"/>
      <c r="Q288" s="142"/>
      <c r="R288" s="142"/>
      <c r="S288" s="142"/>
      <c r="T288" s="142"/>
      <c r="U288" s="142"/>
      <c r="V288" s="58"/>
      <c r="X288" s="54"/>
      <c r="Y288" s="54"/>
      <c r="Z288" s="54"/>
    </row>
    <row r="289" spans="15:26">
      <c r="O289" s="59"/>
      <c r="P289" s="63"/>
      <c r="Q289" s="142"/>
      <c r="R289" s="142"/>
      <c r="S289" s="142"/>
      <c r="T289" s="142"/>
      <c r="U289" s="142"/>
      <c r="V289" s="58"/>
      <c r="X289" s="54"/>
      <c r="Y289" s="54"/>
      <c r="Z289" s="54"/>
    </row>
    <row r="290" spans="15:26">
      <c r="O290" s="59"/>
      <c r="P290" s="63"/>
      <c r="Q290" s="142"/>
      <c r="R290" s="142"/>
      <c r="S290" s="142"/>
      <c r="T290" s="142"/>
      <c r="U290" s="142"/>
      <c r="V290" s="58"/>
      <c r="X290" s="54"/>
      <c r="Y290" s="54"/>
      <c r="Z290" s="54"/>
    </row>
    <row r="291" spans="15:26">
      <c r="O291" s="59"/>
      <c r="P291" s="63"/>
      <c r="Q291" s="142"/>
      <c r="R291" s="142"/>
      <c r="S291" s="142"/>
      <c r="T291" s="142"/>
      <c r="U291" s="142"/>
      <c r="V291" s="58"/>
      <c r="X291" s="54"/>
      <c r="Y291" s="54"/>
      <c r="Z291" s="54"/>
    </row>
    <row r="292" spans="15:26">
      <c r="O292" s="59"/>
      <c r="P292" s="63"/>
      <c r="Q292" s="142"/>
      <c r="R292" s="142"/>
      <c r="S292" s="142"/>
      <c r="T292" s="142"/>
      <c r="U292" s="142"/>
      <c r="V292" s="58"/>
      <c r="X292" s="54"/>
      <c r="Y292" s="54"/>
      <c r="Z292" s="54"/>
    </row>
    <row r="293" spans="15:26">
      <c r="O293" s="59"/>
      <c r="P293" s="63"/>
      <c r="Q293" s="142"/>
      <c r="R293" s="142"/>
      <c r="S293" s="142"/>
      <c r="T293" s="142"/>
      <c r="U293" s="142"/>
      <c r="V293" s="58"/>
      <c r="X293" s="54"/>
      <c r="Y293" s="54"/>
      <c r="Z293" s="54"/>
    </row>
    <row r="294" spans="15:26">
      <c r="O294" s="59"/>
      <c r="P294" s="63"/>
      <c r="Q294" s="142"/>
      <c r="R294" s="142"/>
      <c r="S294" s="142"/>
      <c r="T294" s="142"/>
      <c r="U294" s="142"/>
      <c r="V294" s="58"/>
      <c r="X294" s="54"/>
      <c r="Y294" s="54"/>
      <c r="Z294" s="54"/>
    </row>
    <row r="295" spans="15:26">
      <c r="O295" s="59"/>
      <c r="P295" s="63"/>
      <c r="Q295" s="142"/>
      <c r="R295" s="142"/>
      <c r="S295" s="142"/>
      <c r="T295" s="142"/>
      <c r="U295" s="142"/>
      <c r="V295" s="58"/>
      <c r="X295" s="54"/>
      <c r="Y295" s="54"/>
      <c r="Z295" s="54"/>
    </row>
    <row r="296" spans="15:26">
      <c r="O296" s="59"/>
      <c r="P296" s="63"/>
      <c r="Q296" s="142"/>
      <c r="R296" s="142"/>
      <c r="S296" s="142"/>
      <c r="T296" s="142"/>
      <c r="U296" s="142"/>
      <c r="V296" s="58"/>
      <c r="X296" s="54"/>
      <c r="Y296" s="54"/>
      <c r="Z296" s="54"/>
    </row>
    <row r="297" spans="15:26">
      <c r="O297" s="60"/>
      <c r="P297" s="63"/>
      <c r="Q297" s="142"/>
      <c r="R297" s="142"/>
      <c r="S297" s="142"/>
      <c r="T297" s="142"/>
      <c r="U297" s="142"/>
      <c r="V297" s="58"/>
      <c r="X297" s="54"/>
      <c r="Y297" s="54"/>
      <c r="Z297" s="54"/>
    </row>
    <row r="298" spans="15:26">
      <c r="O298" s="60">
        <v>42461</v>
      </c>
      <c r="P298" s="63"/>
      <c r="Q298" s="142"/>
      <c r="R298" s="142"/>
      <c r="S298" s="142"/>
      <c r="T298" s="142"/>
      <c r="U298" s="142"/>
      <c r="V298" s="58"/>
      <c r="X298" s="54"/>
      <c r="Y298" s="54"/>
      <c r="Z298" s="54"/>
    </row>
    <row r="299" spans="15:26">
      <c r="O299" s="59"/>
      <c r="P299" s="63"/>
      <c r="Q299" s="142"/>
      <c r="R299" s="142"/>
      <c r="S299" s="142"/>
      <c r="T299" s="142"/>
      <c r="U299" s="142"/>
      <c r="V299" s="58"/>
      <c r="X299" s="54"/>
      <c r="Y299" s="54"/>
      <c r="Z299" s="54"/>
    </row>
    <row r="300" spans="15:26">
      <c r="O300" s="59"/>
      <c r="P300" s="63"/>
      <c r="Q300" s="142"/>
      <c r="R300" s="142"/>
      <c r="S300" s="142"/>
      <c r="T300" s="142"/>
      <c r="U300" s="142"/>
      <c r="V300" s="58"/>
      <c r="X300" s="54"/>
      <c r="Y300" s="54"/>
      <c r="Z300" s="54"/>
    </row>
    <row r="301" spans="15:26">
      <c r="O301" s="59"/>
      <c r="P301" s="63"/>
      <c r="Q301" s="142"/>
      <c r="R301" s="142"/>
      <c r="S301" s="142"/>
      <c r="T301" s="142"/>
      <c r="U301" s="142"/>
      <c r="V301" s="58"/>
      <c r="X301" s="54"/>
      <c r="Y301" s="54"/>
      <c r="Z301" s="54"/>
    </row>
    <row r="302" spans="15:26">
      <c r="O302" s="59"/>
      <c r="P302" s="63"/>
      <c r="Q302" s="142"/>
      <c r="R302" s="142"/>
      <c r="S302" s="142"/>
      <c r="T302" s="142"/>
      <c r="U302" s="142"/>
      <c r="V302" s="58"/>
      <c r="X302" s="54"/>
      <c r="Y302" s="54"/>
      <c r="Z302" s="54"/>
    </row>
    <row r="303" spans="15:26">
      <c r="O303" s="59"/>
      <c r="P303" s="63"/>
      <c r="Q303" s="142"/>
      <c r="R303" s="142"/>
      <c r="S303" s="142"/>
      <c r="T303" s="142"/>
      <c r="U303" s="142"/>
      <c r="V303" s="58"/>
      <c r="X303" s="54"/>
      <c r="Y303" s="54"/>
      <c r="Z303" s="54"/>
    </row>
    <row r="304" spans="15:26">
      <c r="O304" s="59"/>
      <c r="P304" s="63"/>
      <c r="Q304" s="142"/>
      <c r="R304" s="142"/>
      <c r="S304" s="142"/>
      <c r="T304" s="142"/>
      <c r="U304" s="142"/>
      <c r="V304" s="58"/>
      <c r="X304" s="54"/>
      <c r="Y304" s="54"/>
      <c r="Z304" s="54"/>
    </row>
    <row r="305" spans="15:26">
      <c r="O305" s="59"/>
      <c r="P305" s="63"/>
      <c r="Q305" s="142"/>
      <c r="R305" s="142"/>
      <c r="S305" s="142"/>
      <c r="T305" s="142"/>
      <c r="U305" s="142"/>
      <c r="V305" s="58"/>
      <c r="X305" s="54"/>
      <c r="Y305" s="54"/>
      <c r="Z305" s="54"/>
    </row>
    <row r="306" spans="15:26">
      <c r="O306" s="59"/>
      <c r="P306" s="63"/>
      <c r="Q306" s="142"/>
      <c r="R306" s="142"/>
      <c r="S306" s="142"/>
      <c r="T306" s="142"/>
      <c r="U306" s="142"/>
      <c r="V306" s="58"/>
      <c r="X306" s="54"/>
      <c r="Y306" s="54"/>
      <c r="Z306" s="54"/>
    </row>
    <row r="307" spans="15:26">
      <c r="O307" s="59"/>
      <c r="P307" s="63"/>
      <c r="Q307" s="142"/>
      <c r="R307" s="142"/>
      <c r="S307" s="142"/>
      <c r="T307" s="142"/>
      <c r="U307" s="142"/>
      <c r="V307" s="58"/>
      <c r="X307" s="54"/>
      <c r="Y307" s="54"/>
      <c r="Z307" s="54"/>
    </row>
    <row r="308" spans="15:26">
      <c r="O308" s="59"/>
      <c r="P308" s="63"/>
      <c r="Q308" s="142"/>
      <c r="R308" s="142"/>
      <c r="S308" s="142"/>
      <c r="T308" s="142"/>
      <c r="U308" s="142"/>
      <c r="V308" s="58"/>
      <c r="X308" s="54"/>
      <c r="Y308" s="54"/>
      <c r="Z308" s="54"/>
    </row>
    <row r="309" spans="15:26">
      <c r="O309" s="59"/>
      <c r="P309" s="63"/>
      <c r="Q309" s="142"/>
      <c r="R309" s="142"/>
      <c r="S309" s="142"/>
      <c r="T309" s="142"/>
      <c r="U309" s="142"/>
      <c r="V309" s="58"/>
      <c r="X309" s="54"/>
      <c r="Y309" s="54"/>
      <c r="Z309" s="54"/>
    </row>
    <row r="310" spans="15:26">
      <c r="O310" s="59"/>
      <c r="P310" s="63"/>
      <c r="Q310" s="142"/>
      <c r="R310" s="142"/>
      <c r="S310" s="142"/>
      <c r="T310" s="142"/>
      <c r="U310" s="142"/>
      <c r="V310" s="58"/>
      <c r="X310" s="54"/>
      <c r="Y310" s="54"/>
      <c r="Z310" s="54"/>
    </row>
    <row r="311" spans="15:26">
      <c r="O311" s="59"/>
      <c r="P311" s="63"/>
      <c r="Q311" s="142"/>
      <c r="R311" s="142"/>
      <c r="S311" s="142"/>
      <c r="T311" s="142"/>
      <c r="U311" s="142"/>
      <c r="V311" s="58"/>
      <c r="X311" s="54"/>
      <c r="Y311" s="54"/>
      <c r="Z311" s="54"/>
    </row>
    <row r="312" spans="15:26">
      <c r="O312" s="59"/>
      <c r="P312" s="63"/>
      <c r="Q312" s="142"/>
      <c r="R312" s="142"/>
      <c r="S312" s="142"/>
      <c r="T312" s="142"/>
      <c r="U312" s="142"/>
      <c r="V312" s="58"/>
      <c r="X312" s="54"/>
      <c r="Y312" s="54"/>
      <c r="Z312" s="54"/>
    </row>
    <row r="313" spans="15:26">
      <c r="O313" s="59"/>
      <c r="P313" s="63"/>
      <c r="Q313" s="142"/>
      <c r="R313" s="142"/>
      <c r="S313" s="142"/>
      <c r="T313" s="142"/>
      <c r="U313" s="142"/>
      <c r="V313" s="58"/>
      <c r="X313" s="54"/>
      <c r="Y313" s="54"/>
      <c r="Z313" s="54"/>
    </row>
    <row r="314" spans="15:26">
      <c r="O314" s="59"/>
      <c r="P314" s="63"/>
      <c r="Q314" s="142"/>
      <c r="R314" s="142"/>
      <c r="S314" s="142"/>
      <c r="T314" s="142"/>
      <c r="U314" s="142"/>
      <c r="V314" s="58"/>
      <c r="X314" s="54"/>
      <c r="Y314" s="54"/>
      <c r="Z314" s="54"/>
    </row>
    <row r="315" spans="15:26">
      <c r="O315" s="59"/>
      <c r="P315" s="63"/>
      <c r="Q315" s="142"/>
      <c r="R315" s="142"/>
      <c r="S315" s="142"/>
      <c r="T315" s="142"/>
      <c r="U315" s="142"/>
      <c r="V315" s="58"/>
      <c r="X315" s="54"/>
      <c r="Y315" s="54"/>
      <c r="Z315" s="54"/>
    </row>
    <row r="316" spans="15:26">
      <c r="O316" s="59"/>
      <c r="P316" s="63"/>
      <c r="Q316" s="142"/>
      <c r="R316" s="142"/>
      <c r="S316" s="142"/>
      <c r="T316" s="142"/>
      <c r="U316" s="142"/>
      <c r="V316" s="58"/>
      <c r="X316" s="54"/>
      <c r="Y316" s="54"/>
      <c r="Z316" s="54"/>
    </row>
    <row r="317" spans="15:26">
      <c r="O317" s="59"/>
      <c r="P317" s="63"/>
      <c r="Q317" s="142"/>
      <c r="R317" s="142"/>
      <c r="S317" s="142"/>
      <c r="T317" s="142"/>
      <c r="U317" s="142"/>
      <c r="V317" s="58"/>
      <c r="X317" s="54"/>
      <c r="Y317" s="54"/>
      <c r="Z317" s="54"/>
    </row>
    <row r="318" spans="15:26">
      <c r="O318" s="59"/>
      <c r="P318" s="63"/>
      <c r="Q318" s="142"/>
      <c r="R318" s="142"/>
      <c r="S318" s="142"/>
      <c r="T318" s="142"/>
      <c r="U318" s="142"/>
      <c r="V318" s="58"/>
      <c r="X318" s="54"/>
      <c r="Y318" s="54"/>
      <c r="Z318" s="54"/>
    </row>
    <row r="319" spans="15:26">
      <c r="O319" s="59"/>
      <c r="P319" s="63"/>
      <c r="Q319" s="142"/>
      <c r="R319" s="142"/>
      <c r="S319" s="142"/>
      <c r="T319" s="142"/>
      <c r="U319" s="142"/>
      <c r="V319" s="58"/>
      <c r="X319" s="54"/>
      <c r="Y319" s="54"/>
      <c r="Z319" s="54"/>
    </row>
    <row r="320" spans="15:26">
      <c r="O320" s="59"/>
      <c r="P320" s="63"/>
      <c r="Q320" s="142"/>
      <c r="R320" s="142"/>
      <c r="S320" s="142"/>
      <c r="T320" s="142"/>
      <c r="U320" s="142"/>
      <c r="V320" s="58"/>
      <c r="X320" s="54"/>
      <c r="Y320" s="54"/>
      <c r="Z320" s="54"/>
    </row>
    <row r="321" spans="15:26">
      <c r="O321" s="59"/>
      <c r="P321" s="63"/>
      <c r="Q321" s="142"/>
      <c r="R321" s="142"/>
      <c r="S321" s="142"/>
      <c r="T321" s="142"/>
      <c r="U321" s="142"/>
      <c r="V321" s="58"/>
      <c r="X321" s="54"/>
      <c r="Y321" s="54"/>
      <c r="Z321" s="54"/>
    </row>
    <row r="322" spans="15:26">
      <c r="O322" s="59"/>
      <c r="P322" s="63"/>
      <c r="Q322" s="142"/>
      <c r="R322" s="142"/>
      <c r="S322" s="142"/>
      <c r="T322" s="142"/>
      <c r="U322" s="142"/>
      <c r="V322" s="58"/>
      <c r="X322" s="54"/>
      <c r="Y322" s="54"/>
      <c r="Z322" s="54"/>
    </row>
    <row r="323" spans="15:26">
      <c r="O323" s="59"/>
      <c r="P323" s="63"/>
      <c r="Q323" s="142"/>
      <c r="R323" s="142"/>
      <c r="S323" s="142"/>
      <c r="T323" s="142"/>
      <c r="U323" s="142"/>
      <c r="V323" s="58"/>
      <c r="X323" s="54"/>
      <c r="Y323" s="54"/>
      <c r="Z323" s="54"/>
    </row>
    <row r="324" spans="15:26">
      <c r="O324" s="59"/>
      <c r="P324" s="63"/>
      <c r="Q324" s="142"/>
      <c r="R324" s="142"/>
      <c r="S324" s="142"/>
      <c r="T324" s="142"/>
      <c r="U324" s="142"/>
      <c r="V324" s="58"/>
      <c r="X324" s="54"/>
      <c r="Y324" s="54"/>
      <c r="Z324" s="54"/>
    </row>
    <row r="325" spans="15:26">
      <c r="O325" s="59"/>
      <c r="P325" s="63"/>
      <c r="Q325" s="142"/>
      <c r="R325" s="142"/>
      <c r="S325" s="142"/>
      <c r="T325" s="142"/>
      <c r="U325" s="142"/>
      <c r="V325" s="58"/>
      <c r="X325" s="54"/>
      <c r="Y325" s="54"/>
      <c r="Z325" s="54"/>
    </row>
    <row r="326" spans="15:26">
      <c r="O326" s="59"/>
      <c r="P326" s="63"/>
      <c r="Q326" s="142"/>
      <c r="R326" s="142"/>
      <c r="S326" s="142"/>
      <c r="T326" s="142"/>
      <c r="U326" s="142"/>
      <c r="V326" s="58"/>
      <c r="X326" s="54"/>
      <c r="Y326" s="54"/>
      <c r="Z326" s="54"/>
    </row>
    <row r="327" spans="15:26">
      <c r="O327" s="59"/>
      <c r="P327" s="63"/>
      <c r="Q327" s="142"/>
      <c r="R327" s="142"/>
      <c r="S327" s="142"/>
      <c r="T327" s="142"/>
      <c r="U327" s="142"/>
      <c r="V327" s="58"/>
      <c r="X327" s="54"/>
      <c r="Y327" s="54"/>
      <c r="Z327" s="54"/>
    </row>
    <row r="328" spans="15:26">
      <c r="O328" s="60">
        <v>42491</v>
      </c>
      <c r="P328" s="63"/>
      <c r="Q328" s="142"/>
      <c r="R328" s="142"/>
      <c r="S328" s="142"/>
      <c r="T328" s="142"/>
      <c r="U328" s="142"/>
      <c r="V328" s="58"/>
      <c r="X328" s="54"/>
      <c r="Y328" s="54"/>
      <c r="Z328" s="54"/>
    </row>
    <row r="329" spans="15:26">
      <c r="O329" s="60"/>
      <c r="P329" s="63"/>
      <c r="Q329" s="142"/>
      <c r="R329" s="142"/>
      <c r="S329" s="142"/>
      <c r="T329" s="142"/>
      <c r="U329" s="142"/>
      <c r="V329" s="58"/>
      <c r="X329" s="54"/>
      <c r="Y329" s="54"/>
      <c r="Z329" s="54"/>
    </row>
    <row r="330" spans="15:26">
      <c r="O330" s="59"/>
      <c r="P330" s="63"/>
      <c r="Q330" s="142"/>
      <c r="R330" s="142"/>
      <c r="S330" s="142"/>
      <c r="T330" s="142"/>
      <c r="U330" s="142"/>
      <c r="V330" s="58"/>
      <c r="X330" s="54"/>
      <c r="Y330" s="54"/>
      <c r="Z330" s="54"/>
    </row>
    <row r="331" spans="15:26">
      <c r="O331" s="59"/>
      <c r="P331" s="63"/>
      <c r="Q331" s="142"/>
      <c r="R331" s="142"/>
      <c r="S331" s="142"/>
      <c r="T331" s="142"/>
      <c r="U331" s="142"/>
      <c r="V331" s="58"/>
      <c r="X331" s="54"/>
      <c r="Y331" s="54"/>
      <c r="Z331" s="54"/>
    </row>
    <row r="332" spans="15:26">
      <c r="O332" s="59"/>
      <c r="P332" s="63"/>
      <c r="Q332" s="142"/>
      <c r="R332" s="142"/>
      <c r="S332" s="142"/>
      <c r="T332" s="142"/>
      <c r="U332" s="142"/>
      <c r="V332" s="58"/>
      <c r="X332" s="54"/>
      <c r="Y332" s="54"/>
      <c r="Z332" s="54"/>
    </row>
    <row r="333" spans="15:26">
      <c r="O333" s="59"/>
      <c r="P333" s="63"/>
      <c r="Q333" s="142"/>
      <c r="R333" s="142"/>
      <c r="S333" s="142"/>
      <c r="T333" s="142"/>
      <c r="U333" s="142"/>
      <c r="V333" s="58"/>
      <c r="X333" s="54"/>
      <c r="Y333" s="54"/>
      <c r="Z333" s="54"/>
    </row>
    <row r="334" spans="15:26">
      <c r="O334" s="59"/>
      <c r="P334" s="63"/>
      <c r="Q334" s="142"/>
      <c r="R334" s="142"/>
      <c r="S334" s="142"/>
      <c r="T334" s="142"/>
      <c r="U334" s="142"/>
      <c r="V334" s="58"/>
      <c r="X334" s="54"/>
      <c r="Y334" s="54"/>
      <c r="Z334" s="54"/>
    </row>
    <row r="335" spans="15:26">
      <c r="O335" s="59"/>
      <c r="P335" s="63"/>
      <c r="Q335" s="142"/>
      <c r="R335" s="142"/>
      <c r="S335" s="142"/>
      <c r="T335" s="142"/>
      <c r="U335" s="142"/>
      <c r="V335" s="58"/>
      <c r="X335" s="54"/>
      <c r="Y335" s="54"/>
      <c r="Z335" s="54"/>
    </row>
    <row r="336" spans="15:26">
      <c r="O336" s="59"/>
      <c r="P336" s="63"/>
      <c r="Q336" s="142"/>
      <c r="R336" s="142"/>
      <c r="S336" s="142"/>
      <c r="T336" s="142"/>
      <c r="U336" s="142"/>
      <c r="V336" s="58"/>
      <c r="X336" s="54"/>
      <c r="Y336" s="54"/>
      <c r="Z336" s="54"/>
    </row>
    <row r="337" spans="15:26">
      <c r="O337" s="59"/>
      <c r="P337" s="63"/>
      <c r="Q337" s="142"/>
      <c r="R337" s="142"/>
      <c r="S337" s="142"/>
      <c r="T337" s="142"/>
      <c r="U337" s="142"/>
      <c r="V337" s="58"/>
      <c r="X337" s="54"/>
      <c r="Y337" s="54"/>
      <c r="Z337" s="54"/>
    </row>
    <row r="338" spans="15:26">
      <c r="O338" s="59"/>
      <c r="P338" s="63"/>
      <c r="Q338" s="142"/>
      <c r="R338" s="142"/>
      <c r="S338" s="142"/>
      <c r="T338" s="142"/>
      <c r="U338" s="142"/>
      <c r="V338" s="58"/>
      <c r="X338" s="54"/>
      <c r="Y338" s="54"/>
      <c r="Z338" s="54"/>
    </row>
    <row r="339" spans="15:26">
      <c r="O339" s="59"/>
      <c r="P339" s="63"/>
      <c r="Q339" s="142"/>
      <c r="R339" s="142"/>
      <c r="S339" s="142"/>
      <c r="T339" s="142"/>
      <c r="U339" s="142"/>
      <c r="V339" s="58"/>
      <c r="X339" s="54"/>
      <c r="Y339" s="54"/>
      <c r="Z339" s="54"/>
    </row>
    <row r="340" spans="15:26">
      <c r="O340" s="59"/>
      <c r="P340" s="63"/>
      <c r="Q340" s="142"/>
      <c r="R340" s="142"/>
      <c r="S340" s="142"/>
      <c r="T340" s="142"/>
      <c r="U340" s="142"/>
      <c r="V340" s="58"/>
      <c r="X340" s="54"/>
      <c r="Y340" s="54"/>
      <c r="Z340" s="54"/>
    </row>
    <row r="341" spans="15:26">
      <c r="O341" s="59"/>
      <c r="P341" s="63"/>
      <c r="Q341" s="142"/>
      <c r="R341" s="142"/>
      <c r="S341" s="142"/>
      <c r="T341" s="142"/>
      <c r="U341" s="142"/>
      <c r="V341" s="58"/>
      <c r="X341" s="54"/>
      <c r="Y341" s="54"/>
      <c r="Z341" s="54"/>
    </row>
    <row r="342" spans="15:26">
      <c r="O342" s="59"/>
      <c r="P342" s="63"/>
      <c r="Q342" s="142"/>
      <c r="R342" s="142"/>
      <c r="S342" s="142"/>
      <c r="T342" s="142"/>
      <c r="U342" s="142"/>
      <c r="V342" s="58"/>
      <c r="X342" s="54"/>
      <c r="Y342" s="54"/>
      <c r="Z342" s="54"/>
    </row>
    <row r="343" spans="15:26">
      <c r="O343" s="59"/>
      <c r="P343" s="63"/>
      <c r="Q343" s="142"/>
      <c r="R343" s="142"/>
      <c r="S343" s="142"/>
      <c r="T343" s="142"/>
      <c r="U343" s="142"/>
      <c r="V343" s="58"/>
      <c r="X343" s="54"/>
      <c r="Y343" s="54"/>
      <c r="Z343" s="54"/>
    </row>
    <row r="344" spans="15:26">
      <c r="O344" s="59"/>
      <c r="P344" s="63"/>
      <c r="Q344" s="142"/>
      <c r="R344" s="142"/>
      <c r="S344" s="142"/>
      <c r="T344" s="142"/>
      <c r="U344" s="142"/>
      <c r="V344" s="58"/>
      <c r="X344" s="54"/>
      <c r="Y344" s="54"/>
      <c r="Z344" s="54"/>
    </row>
    <row r="345" spans="15:26">
      <c r="O345" s="59"/>
      <c r="P345" s="63"/>
      <c r="Q345" s="142"/>
      <c r="R345" s="142"/>
      <c r="S345" s="142"/>
      <c r="T345" s="142"/>
      <c r="U345" s="142"/>
      <c r="V345" s="58"/>
      <c r="X345" s="54"/>
      <c r="Y345" s="54"/>
      <c r="Z345" s="54"/>
    </row>
    <row r="346" spans="15:26">
      <c r="O346" s="59"/>
      <c r="P346" s="63"/>
      <c r="Q346" s="142"/>
      <c r="R346" s="142"/>
      <c r="S346" s="142"/>
      <c r="T346" s="142"/>
      <c r="U346" s="142"/>
      <c r="V346" s="58"/>
      <c r="X346" s="54"/>
      <c r="Y346" s="54"/>
      <c r="Z346" s="54"/>
    </row>
    <row r="347" spans="15:26">
      <c r="O347" s="59"/>
      <c r="P347" s="63"/>
      <c r="Q347" s="142"/>
      <c r="R347" s="142"/>
      <c r="S347" s="142"/>
      <c r="T347" s="142"/>
      <c r="U347" s="142"/>
      <c r="V347" s="58"/>
      <c r="X347" s="54"/>
      <c r="Y347" s="54"/>
      <c r="Z347" s="54"/>
    </row>
    <row r="348" spans="15:26">
      <c r="O348" s="59"/>
      <c r="P348" s="63"/>
      <c r="Q348" s="142"/>
      <c r="R348" s="142"/>
      <c r="S348" s="142"/>
      <c r="T348" s="142"/>
      <c r="U348" s="142"/>
      <c r="V348" s="58"/>
      <c r="X348" s="54"/>
      <c r="Y348" s="54"/>
      <c r="Z348" s="54"/>
    </row>
    <row r="349" spans="15:26">
      <c r="O349" s="59"/>
      <c r="P349" s="63"/>
      <c r="Q349" s="142"/>
      <c r="R349" s="142"/>
      <c r="S349" s="142"/>
      <c r="T349" s="142"/>
      <c r="U349" s="142"/>
      <c r="V349" s="58"/>
      <c r="X349" s="54"/>
      <c r="Y349" s="54"/>
      <c r="Z349" s="54"/>
    </row>
    <row r="350" spans="15:26">
      <c r="O350" s="59"/>
      <c r="P350" s="63"/>
      <c r="Q350" s="142"/>
      <c r="R350" s="142"/>
      <c r="S350" s="142"/>
      <c r="T350" s="142"/>
      <c r="U350" s="142"/>
      <c r="V350" s="58"/>
      <c r="X350" s="54"/>
      <c r="Y350" s="54"/>
      <c r="Z350" s="54"/>
    </row>
    <row r="351" spans="15:26">
      <c r="O351" s="59"/>
      <c r="P351" s="63"/>
      <c r="Q351" s="142"/>
      <c r="R351" s="142"/>
      <c r="S351" s="142"/>
      <c r="T351" s="142"/>
      <c r="U351" s="142"/>
      <c r="V351" s="58"/>
      <c r="X351" s="54"/>
      <c r="Y351" s="54"/>
      <c r="Z351" s="54"/>
    </row>
    <row r="352" spans="15:26">
      <c r="O352" s="59"/>
      <c r="P352" s="63"/>
      <c r="Q352" s="142"/>
      <c r="R352" s="142"/>
      <c r="S352" s="142"/>
      <c r="T352" s="142"/>
      <c r="U352" s="142"/>
      <c r="V352" s="58"/>
      <c r="X352" s="54"/>
      <c r="Y352" s="54"/>
      <c r="Z352" s="54"/>
    </row>
    <row r="353" spans="15:26">
      <c r="O353" s="59"/>
      <c r="P353" s="63"/>
      <c r="Q353" s="142"/>
      <c r="R353" s="142"/>
      <c r="S353" s="142"/>
      <c r="T353" s="142"/>
      <c r="U353" s="142"/>
      <c r="V353" s="58"/>
      <c r="X353" s="54"/>
      <c r="Y353" s="54"/>
      <c r="Z353" s="54"/>
    </row>
    <row r="354" spans="15:26">
      <c r="O354" s="59"/>
      <c r="P354" s="63"/>
      <c r="Q354" s="142"/>
      <c r="R354" s="142"/>
      <c r="S354" s="142"/>
      <c r="T354" s="142"/>
      <c r="U354" s="142"/>
      <c r="V354" s="58"/>
      <c r="X354" s="54"/>
      <c r="Y354" s="54"/>
      <c r="Z354" s="54"/>
    </row>
    <row r="355" spans="15:26">
      <c r="O355" s="59"/>
      <c r="P355" s="63"/>
      <c r="Q355" s="142"/>
      <c r="R355" s="142"/>
      <c r="S355" s="142"/>
      <c r="T355" s="142"/>
      <c r="U355" s="142"/>
      <c r="V355" s="58"/>
      <c r="X355" s="54"/>
      <c r="Y355" s="54"/>
      <c r="Z355" s="54"/>
    </row>
    <row r="356" spans="15:26">
      <c r="O356" s="59"/>
      <c r="P356" s="63"/>
      <c r="Q356" s="142"/>
      <c r="R356" s="142"/>
      <c r="S356" s="142"/>
      <c r="T356" s="142"/>
      <c r="U356" s="142"/>
      <c r="V356" s="58"/>
      <c r="X356" s="54"/>
      <c r="Y356" s="54"/>
      <c r="Z356" s="54"/>
    </row>
    <row r="357" spans="15:26">
      <c r="O357" s="59"/>
      <c r="P357" s="63"/>
      <c r="Q357" s="142"/>
      <c r="R357" s="142"/>
      <c r="S357" s="142"/>
      <c r="T357" s="142"/>
      <c r="U357" s="142"/>
      <c r="V357" s="58"/>
      <c r="X357" s="54"/>
      <c r="Y357" s="54"/>
      <c r="Z357" s="54"/>
    </row>
    <row r="358" spans="15:26">
      <c r="O358" s="60"/>
      <c r="P358" s="63"/>
      <c r="Q358" s="142"/>
      <c r="R358" s="142"/>
      <c r="S358" s="142"/>
      <c r="T358" s="142"/>
      <c r="U358" s="142"/>
      <c r="V358" s="58"/>
      <c r="X358" s="54"/>
      <c r="Y358" s="54"/>
      <c r="Z358" s="54"/>
    </row>
    <row r="359" spans="15:26">
      <c r="O359" s="60">
        <v>42522</v>
      </c>
      <c r="P359" s="63"/>
      <c r="Q359" s="142"/>
      <c r="R359" s="142"/>
      <c r="S359" s="142"/>
      <c r="T359" s="142"/>
      <c r="U359" s="142"/>
      <c r="V359" s="58"/>
      <c r="X359" s="54"/>
      <c r="Y359" s="54"/>
      <c r="Z359" s="54"/>
    </row>
    <row r="360" spans="15:26">
      <c r="O360" s="59"/>
      <c r="P360" s="63"/>
      <c r="Q360" s="142"/>
      <c r="R360" s="142"/>
      <c r="S360" s="142"/>
      <c r="T360" s="142"/>
      <c r="U360" s="142"/>
      <c r="V360" s="58"/>
      <c r="X360" s="54"/>
      <c r="Y360" s="54"/>
      <c r="Z360" s="54"/>
    </row>
    <row r="361" spans="15:26">
      <c r="O361" s="59"/>
      <c r="P361" s="63"/>
      <c r="Q361" s="142"/>
      <c r="R361" s="142"/>
      <c r="S361" s="142"/>
      <c r="T361" s="142"/>
      <c r="U361" s="142"/>
      <c r="V361" s="58"/>
      <c r="X361" s="54"/>
      <c r="Y361" s="54"/>
      <c r="Z361" s="54"/>
    </row>
    <row r="362" spans="15:26">
      <c r="O362" s="59"/>
      <c r="P362" s="63"/>
      <c r="Q362" s="142"/>
      <c r="R362" s="142"/>
      <c r="S362" s="142"/>
      <c r="T362" s="142"/>
      <c r="U362" s="142"/>
      <c r="V362" s="58"/>
      <c r="X362" s="54"/>
      <c r="Y362" s="54"/>
      <c r="Z362" s="54"/>
    </row>
    <row r="363" spans="15:26">
      <c r="O363" s="59"/>
      <c r="P363" s="63"/>
      <c r="Q363" s="142"/>
      <c r="R363" s="142"/>
      <c r="S363" s="142"/>
      <c r="T363" s="142"/>
      <c r="U363" s="142"/>
      <c r="V363" s="58"/>
      <c r="X363" s="54"/>
      <c r="Y363" s="54"/>
      <c r="Z363" s="54"/>
    </row>
    <row r="364" spans="15:26">
      <c r="O364" s="59"/>
      <c r="P364" s="63"/>
      <c r="Q364" s="142"/>
      <c r="R364" s="142"/>
      <c r="S364" s="142"/>
      <c r="T364" s="142"/>
      <c r="U364" s="142"/>
      <c r="V364" s="58"/>
      <c r="X364" s="54"/>
      <c r="Y364" s="54"/>
      <c r="Z364" s="54"/>
    </row>
    <row r="365" spans="15:26">
      <c r="O365" s="59"/>
      <c r="P365" s="63"/>
      <c r="Q365" s="142"/>
      <c r="R365" s="142"/>
      <c r="S365" s="142"/>
      <c r="T365" s="142"/>
      <c r="U365" s="142"/>
      <c r="V365" s="58"/>
      <c r="X365" s="54"/>
      <c r="Y365" s="54"/>
      <c r="Z365" s="54"/>
    </row>
    <row r="366" spans="15:26">
      <c r="O366" s="59"/>
      <c r="P366" s="63"/>
      <c r="Q366" s="142"/>
      <c r="R366" s="142"/>
      <c r="S366" s="142"/>
      <c r="T366" s="142"/>
      <c r="U366" s="142"/>
      <c r="V366" s="58"/>
      <c r="X366" s="54"/>
      <c r="Y366" s="54"/>
      <c r="Z366" s="54"/>
    </row>
    <row r="367" spans="15:26">
      <c r="O367" s="59"/>
      <c r="P367" s="63"/>
      <c r="Q367" s="142"/>
      <c r="R367" s="142"/>
      <c r="S367" s="142"/>
      <c r="T367" s="142"/>
      <c r="U367" s="142"/>
      <c r="V367" s="58"/>
      <c r="X367" s="54"/>
      <c r="Y367" s="54"/>
      <c r="Z367" s="54"/>
    </row>
    <row r="368" spans="15:26">
      <c r="O368" s="59"/>
      <c r="P368" s="63"/>
      <c r="Q368" s="142"/>
      <c r="R368" s="142"/>
      <c r="S368" s="142"/>
      <c r="T368" s="142"/>
      <c r="U368" s="142"/>
      <c r="V368" s="58"/>
      <c r="X368" s="54"/>
      <c r="Y368" s="54"/>
      <c r="Z368" s="54"/>
    </row>
    <row r="369" spans="15:26">
      <c r="O369" s="59"/>
      <c r="P369" s="63"/>
      <c r="Q369" s="142"/>
      <c r="R369" s="142"/>
      <c r="S369" s="142"/>
      <c r="T369" s="142"/>
      <c r="U369" s="142"/>
      <c r="V369" s="58"/>
      <c r="X369" s="54"/>
      <c r="Y369" s="54"/>
      <c r="Z369" s="54"/>
    </row>
    <row r="370" spans="15:26">
      <c r="O370" s="59"/>
      <c r="P370" s="63"/>
      <c r="Q370" s="142"/>
      <c r="R370" s="142"/>
      <c r="S370" s="142"/>
      <c r="T370" s="142"/>
      <c r="U370" s="142"/>
      <c r="V370" s="58"/>
      <c r="X370" s="54"/>
      <c r="Y370" s="54"/>
      <c r="Z370" s="54"/>
    </row>
    <row r="371" spans="15:26">
      <c r="O371" s="59"/>
      <c r="P371" s="63"/>
      <c r="Q371" s="142"/>
      <c r="R371" s="142"/>
      <c r="S371" s="142"/>
      <c r="T371" s="142"/>
      <c r="U371" s="142"/>
      <c r="V371" s="58"/>
      <c r="X371" s="54"/>
      <c r="Y371" s="54"/>
      <c r="Z371" s="54"/>
    </row>
    <row r="372" spans="15:26">
      <c r="O372" s="59"/>
      <c r="P372" s="63"/>
      <c r="Q372" s="142"/>
      <c r="R372" s="142"/>
      <c r="S372" s="142"/>
      <c r="T372" s="142"/>
      <c r="U372" s="142"/>
      <c r="V372" s="58"/>
      <c r="X372" s="54"/>
      <c r="Y372" s="54"/>
      <c r="Z372" s="54"/>
    </row>
    <row r="373" spans="15:26">
      <c r="O373" s="59"/>
      <c r="P373" s="63"/>
      <c r="Q373" s="142"/>
      <c r="R373" s="142"/>
      <c r="S373" s="142"/>
      <c r="T373" s="142"/>
      <c r="U373" s="142"/>
      <c r="V373" s="58"/>
      <c r="X373" s="54"/>
      <c r="Y373" s="54"/>
      <c r="Z373" s="54"/>
    </row>
    <row r="374" spans="15:26">
      <c r="O374" s="59"/>
      <c r="P374" s="63"/>
      <c r="Q374" s="142"/>
      <c r="R374" s="142"/>
      <c r="S374" s="142"/>
      <c r="T374" s="142"/>
      <c r="U374" s="142"/>
      <c r="V374" s="58"/>
      <c r="X374" s="54"/>
      <c r="Y374" s="54"/>
      <c r="Z374" s="54"/>
    </row>
    <row r="375" spans="15:26">
      <c r="O375" s="59"/>
      <c r="P375" s="63"/>
      <c r="Q375" s="142"/>
      <c r="R375" s="142"/>
      <c r="S375" s="142"/>
      <c r="T375" s="142"/>
      <c r="U375" s="142"/>
      <c r="V375" s="58"/>
      <c r="X375" s="54"/>
      <c r="Y375" s="54"/>
      <c r="Z375" s="54"/>
    </row>
    <row r="376" spans="15:26">
      <c r="O376" s="59"/>
      <c r="P376" s="63"/>
      <c r="Q376" s="142"/>
      <c r="R376" s="142"/>
      <c r="S376" s="142"/>
      <c r="T376" s="142"/>
      <c r="U376" s="142"/>
      <c r="V376" s="58"/>
      <c r="X376" s="54"/>
      <c r="Y376" s="54"/>
      <c r="Z376" s="54"/>
    </row>
    <row r="377" spans="15:26">
      <c r="O377" s="59"/>
      <c r="P377" s="63"/>
      <c r="Q377" s="142"/>
      <c r="R377" s="142"/>
      <c r="S377" s="142"/>
      <c r="T377" s="142"/>
      <c r="U377" s="142"/>
      <c r="V377" s="58"/>
      <c r="X377" s="54"/>
      <c r="Y377" s="54"/>
      <c r="Z377" s="54"/>
    </row>
    <row r="378" spans="15:26">
      <c r="O378" s="59"/>
      <c r="P378" s="63"/>
      <c r="Q378" s="142"/>
      <c r="R378" s="142"/>
      <c r="S378" s="142"/>
      <c r="T378" s="142"/>
      <c r="U378" s="142"/>
      <c r="V378" s="58"/>
      <c r="X378" s="54"/>
      <c r="Y378" s="54"/>
      <c r="Z378" s="54"/>
    </row>
    <row r="379" spans="15:26">
      <c r="O379" s="59"/>
      <c r="P379" s="63"/>
      <c r="Q379" s="142"/>
      <c r="R379" s="142"/>
      <c r="S379" s="142"/>
      <c r="T379" s="142"/>
      <c r="U379" s="142"/>
      <c r="V379" s="58"/>
      <c r="X379" s="54"/>
      <c r="Y379" s="54"/>
      <c r="Z379" s="54"/>
    </row>
    <row r="380" spans="15:26">
      <c r="O380" s="59"/>
      <c r="P380" s="63"/>
      <c r="Q380" s="142"/>
      <c r="R380" s="142"/>
      <c r="S380" s="142"/>
      <c r="T380" s="142"/>
      <c r="U380" s="142"/>
      <c r="V380" s="58"/>
      <c r="X380" s="54"/>
      <c r="Y380" s="54"/>
      <c r="Z380" s="54"/>
    </row>
    <row r="381" spans="15:26">
      <c r="O381" s="59"/>
      <c r="P381" s="63"/>
      <c r="Q381" s="142"/>
      <c r="R381" s="142"/>
      <c r="S381" s="142"/>
      <c r="T381" s="142"/>
      <c r="U381" s="142"/>
      <c r="V381" s="58"/>
      <c r="X381" s="54"/>
      <c r="Y381" s="54"/>
      <c r="Z381" s="54"/>
    </row>
    <row r="382" spans="15:26">
      <c r="O382" s="59"/>
      <c r="P382" s="63"/>
      <c r="Q382" s="142"/>
      <c r="R382" s="142"/>
      <c r="S382" s="142"/>
      <c r="T382" s="142"/>
      <c r="U382" s="142"/>
      <c r="V382" s="58"/>
      <c r="X382" s="54"/>
      <c r="Y382" s="54"/>
      <c r="Z382" s="54"/>
    </row>
    <row r="383" spans="15:26">
      <c r="O383" s="59"/>
      <c r="P383" s="63"/>
      <c r="Q383" s="142"/>
      <c r="R383" s="142"/>
      <c r="S383" s="142"/>
      <c r="T383" s="142"/>
      <c r="U383" s="142"/>
      <c r="V383" s="58"/>
      <c r="X383" s="54"/>
      <c r="Y383" s="54"/>
      <c r="Z383" s="54"/>
    </row>
    <row r="384" spans="15:26">
      <c r="O384" s="59"/>
      <c r="P384" s="63"/>
      <c r="Q384" s="142"/>
      <c r="R384" s="142"/>
      <c r="S384" s="142"/>
      <c r="T384" s="142"/>
      <c r="U384" s="142"/>
      <c r="V384" s="58"/>
      <c r="X384" s="54"/>
      <c r="Y384" s="54"/>
      <c r="Z384" s="54"/>
    </row>
    <row r="385" spans="15:26">
      <c r="O385" s="59"/>
      <c r="P385" s="63"/>
      <c r="Q385" s="142"/>
      <c r="R385" s="142"/>
      <c r="S385" s="142"/>
      <c r="T385" s="142"/>
      <c r="U385" s="142"/>
      <c r="V385" s="58"/>
      <c r="X385" s="54"/>
      <c r="Y385" s="54"/>
      <c r="Z385" s="54"/>
    </row>
    <row r="386" spans="15:26">
      <c r="O386" s="59"/>
      <c r="P386" s="63"/>
      <c r="Q386" s="142"/>
      <c r="R386" s="142"/>
      <c r="S386" s="142"/>
      <c r="T386" s="142"/>
      <c r="U386" s="142"/>
      <c r="V386" s="58"/>
      <c r="X386" s="54"/>
      <c r="Y386" s="54"/>
      <c r="Z386" s="54"/>
    </row>
    <row r="387" spans="15:26">
      <c r="O387" s="59"/>
      <c r="P387" s="63"/>
      <c r="Q387" s="142"/>
      <c r="R387" s="142"/>
      <c r="S387" s="142"/>
      <c r="T387" s="142"/>
      <c r="U387" s="142"/>
      <c r="V387" s="58"/>
      <c r="X387" s="54"/>
      <c r="Y387" s="54"/>
      <c r="Z387" s="54"/>
    </row>
    <row r="388" spans="15:26">
      <c r="O388" s="60"/>
      <c r="P388" s="63"/>
      <c r="Q388" s="142"/>
      <c r="R388" s="142"/>
      <c r="S388" s="142"/>
      <c r="T388" s="142"/>
      <c r="U388" s="142"/>
      <c r="V388" s="58"/>
      <c r="X388" s="54"/>
      <c r="Y388" s="54"/>
      <c r="Z388" s="54"/>
    </row>
    <row r="389" spans="15:26">
      <c r="O389" s="60">
        <v>42552</v>
      </c>
      <c r="P389" s="63"/>
      <c r="Q389" s="142"/>
      <c r="R389" s="142"/>
      <c r="S389" s="142"/>
      <c r="T389" s="142"/>
      <c r="U389" s="142"/>
      <c r="V389" s="58"/>
      <c r="X389" s="54"/>
      <c r="Y389" s="54"/>
      <c r="Z389" s="54"/>
    </row>
    <row r="390" spans="15:26">
      <c r="O390" s="59"/>
      <c r="P390" s="63"/>
      <c r="Q390" s="142"/>
      <c r="R390" s="142"/>
      <c r="S390" s="142"/>
      <c r="T390" s="142"/>
      <c r="U390" s="142"/>
      <c r="V390" s="58"/>
      <c r="X390" s="54"/>
      <c r="Y390" s="54"/>
      <c r="Z390" s="54"/>
    </row>
    <row r="391" spans="15:26">
      <c r="O391" s="59"/>
      <c r="P391" s="63"/>
      <c r="Q391" s="142"/>
      <c r="R391" s="142"/>
      <c r="S391" s="142"/>
      <c r="T391" s="142"/>
      <c r="U391" s="142"/>
      <c r="V391" s="58"/>
      <c r="X391" s="54"/>
      <c r="Y391" s="54"/>
      <c r="Z391" s="54"/>
    </row>
    <row r="392" spans="15:26">
      <c r="O392" s="59"/>
      <c r="P392" s="63"/>
      <c r="Q392" s="142"/>
      <c r="R392" s="142"/>
      <c r="S392" s="142"/>
      <c r="T392" s="142"/>
      <c r="U392" s="142"/>
      <c r="V392" s="58"/>
      <c r="X392" s="54"/>
      <c r="Y392" s="54"/>
      <c r="Z392" s="54"/>
    </row>
    <row r="393" spans="15:26">
      <c r="O393" s="59"/>
      <c r="P393" s="63"/>
      <c r="Q393" s="142"/>
      <c r="R393" s="142"/>
      <c r="S393" s="142"/>
      <c r="T393" s="142"/>
      <c r="U393" s="142"/>
      <c r="V393" s="58"/>
      <c r="X393" s="54"/>
      <c r="Y393" s="54"/>
      <c r="Z393" s="54"/>
    </row>
    <row r="394" spans="15:26">
      <c r="O394" s="59"/>
      <c r="P394" s="63"/>
      <c r="Q394" s="142"/>
      <c r="R394" s="142"/>
      <c r="S394" s="142"/>
      <c r="T394" s="142"/>
      <c r="U394" s="142"/>
      <c r="V394" s="58"/>
      <c r="X394" s="54"/>
      <c r="Y394" s="54"/>
      <c r="Z394" s="54"/>
    </row>
    <row r="395" spans="15:26">
      <c r="O395" s="59"/>
      <c r="P395" s="63"/>
      <c r="Q395" s="142"/>
      <c r="R395" s="142"/>
      <c r="S395" s="142"/>
      <c r="T395" s="142"/>
      <c r="U395" s="142"/>
      <c r="V395" s="58"/>
      <c r="X395" s="54"/>
      <c r="Y395" s="54"/>
      <c r="Z395" s="54"/>
    </row>
    <row r="396" spans="15:26">
      <c r="O396" s="59"/>
      <c r="P396" s="63"/>
      <c r="Q396" s="142"/>
      <c r="R396" s="142"/>
      <c r="S396" s="142"/>
      <c r="T396" s="142"/>
      <c r="U396" s="142"/>
      <c r="V396" s="58"/>
      <c r="X396" s="54"/>
      <c r="Y396" s="54"/>
      <c r="Z396" s="54"/>
    </row>
    <row r="397" spans="15:26">
      <c r="O397" s="59"/>
      <c r="P397" s="63"/>
      <c r="Q397" s="142"/>
      <c r="R397" s="142"/>
      <c r="S397" s="142"/>
      <c r="T397" s="142"/>
      <c r="U397" s="142"/>
      <c r="V397" s="58"/>
      <c r="X397" s="54"/>
      <c r="Y397" s="54"/>
      <c r="Z397" s="54"/>
    </row>
    <row r="398" spans="15:26">
      <c r="O398" s="59"/>
      <c r="P398" s="63"/>
      <c r="Q398" s="142"/>
      <c r="R398" s="142"/>
      <c r="S398" s="142"/>
      <c r="T398" s="142"/>
      <c r="U398" s="142"/>
      <c r="V398" s="58"/>
      <c r="X398" s="54"/>
      <c r="Y398" s="54"/>
      <c r="Z398" s="54"/>
    </row>
    <row r="399" spans="15:26">
      <c r="O399" s="59"/>
      <c r="P399" s="63"/>
      <c r="Q399" s="142"/>
      <c r="R399" s="142"/>
      <c r="S399" s="142"/>
      <c r="T399" s="142"/>
      <c r="U399" s="142"/>
      <c r="V399" s="58"/>
      <c r="X399" s="54"/>
      <c r="Y399" s="54"/>
      <c r="Z399" s="54"/>
    </row>
    <row r="400" spans="15:26">
      <c r="O400" s="59"/>
      <c r="P400" s="63"/>
      <c r="Q400" s="142"/>
      <c r="R400" s="142"/>
      <c r="S400" s="142"/>
      <c r="T400" s="142"/>
      <c r="U400" s="142"/>
      <c r="V400" s="58"/>
      <c r="X400" s="54"/>
      <c r="Y400" s="54"/>
      <c r="Z400" s="54"/>
    </row>
    <row r="401" spans="15:26">
      <c r="O401" s="59"/>
      <c r="P401" s="63"/>
      <c r="Q401" s="142"/>
      <c r="R401" s="142"/>
      <c r="S401" s="142"/>
      <c r="T401" s="142"/>
      <c r="U401" s="142"/>
      <c r="V401" s="58"/>
      <c r="X401" s="54"/>
      <c r="Y401" s="54"/>
      <c r="Z401" s="54"/>
    </row>
    <row r="402" spans="15:26">
      <c r="O402" s="59"/>
      <c r="P402" s="63"/>
      <c r="Q402" s="142"/>
      <c r="R402" s="142"/>
      <c r="S402" s="142"/>
      <c r="T402" s="142"/>
      <c r="U402" s="142"/>
      <c r="V402" s="58"/>
      <c r="X402" s="54"/>
      <c r="Y402" s="54"/>
      <c r="Z402" s="54"/>
    </row>
    <row r="403" spans="15:26">
      <c r="O403" s="59"/>
      <c r="P403" s="63"/>
      <c r="Q403" s="142"/>
      <c r="R403" s="142"/>
      <c r="S403" s="142"/>
      <c r="T403" s="142"/>
      <c r="U403" s="142"/>
      <c r="V403" s="58"/>
      <c r="X403" s="54"/>
      <c r="Y403" s="54"/>
      <c r="Z403" s="54"/>
    </row>
    <row r="404" spans="15:26">
      <c r="O404" s="59"/>
      <c r="P404" s="63"/>
      <c r="Q404" s="142"/>
      <c r="R404" s="142"/>
      <c r="S404" s="142"/>
      <c r="T404" s="142"/>
      <c r="U404" s="142"/>
      <c r="V404" s="58"/>
      <c r="X404" s="54"/>
      <c r="Y404" s="54"/>
      <c r="Z404" s="54"/>
    </row>
    <row r="405" spans="15:26">
      <c r="O405" s="59"/>
      <c r="P405" s="63"/>
      <c r="Q405" s="142"/>
      <c r="R405" s="142"/>
      <c r="S405" s="142"/>
      <c r="T405" s="142"/>
      <c r="U405" s="142"/>
      <c r="V405" s="58"/>
      <c r="X405" s="54"/>
      <c r="Y405" s="54"/>
      <c r="Z405" s="54"/>
    </row>
  </sheetData>
  <pageMargins left="0.75" right="0.75" top="1" bottom="1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5"/>
  <dimension ref="A1:B12"/>
  <sheetViews>
    <sheetView workbookViewId="0"/>
  </sheetViews>
  <sheetFormatPr baseColWidth="10" defaultRowHeight="12.75"/>
  <sheetData>
    <row r="1" spans="1:2">
      <c r="A1">
        <v>11</v>
      </c>
      <c r="B1" t="s">
        <v>249</v>
      </c>
    </row>
    <row r="2" spans="1:2">
      <c r="A2" t="s">
        <v>242</v>
      </c>
    </row>
    <row r="3" spans="1:2">
      <c r="A3" t="s">
        <v>238</v>
      </c>
    </row>
    <row r="4" spans="1:2">
      <c r="A4" t="s">
        <v>244</v>
      </c>
    </row>
    <row r="5" spans="1:2">
      <c r="A5" t="s">
        <v>247</v>
      </c>
    </row>
    <row r="6" spans="1:2">
      <c r="A6" t="s">
        <v>245</v>
      </c>
    </row>
    <row r="7" spans="1:2">
      <c r="A7" t="s">
        <v>243</v>
      </c>
    </row>
    <row r="8" spans="1:2">
      <c r="A8" t="s">
        <v>237</v>
      </c>
    </row>
    <row r="9" spans="1:2">
      <c r="A9" t="s">
        <v>250</v>
      </c>
    </row>
    <row r="10" spans="1:2">
      <c r="A10" t="s">
        <v>248</v>
      </c>
    </row>
    <row r="11" spans="1:2">
      <c r="A11" t="s">
        <v>230</v>
      </c>
    </row>
    <row r="12" spans="1:2">
      <c r="A12" t="s">
        <v>240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14">
    <pageSetUpPr autoPageBreaks="0"/>
  </sheetPr>
  <dimension ref="A1:R43"/>
  <sheetViews>
    <sheetView showGridLines="0" showRowColHeaders="0" workbookViewId="0">
      <selection activeCell="J25" sqref="J25"/>
    </sheetView>
  </sheetViews>
  <sheetFormatPr baseColWidth="10" defaultColWidth="11.42578125" defaultRowHeight="12.75"/>
  <cols>
    <col min="1" max="1" width="0.42578125" style="69" customWidth="1"/>
    <col min="2" max="2" width="2.5703125" style="69" customWidth="1"/>
    <col min="3" max="3" width="23.5703125" style="69" customWidth="1"/>
    <col min="4" max="4" width="1.42578125" style="69" customWidth="1"/>
    <col min="5" max="5" width="59.5703125" style="69" customWidth="1"/>
    <col min="6" max="6" width="11.42578125" style="83"/>
    <col min="7" max="7" width="15.5703125" style="83" customWidth="1"/>
    <col min="8" max="16384" width="11.42578125" style="83"/>
  </cols>
  <sheetData>
    <row r="1" spans="2:18" s="69" customFormat="1" ht="0.75" customHeight="1"/>
    <row r="2" spans="2:18" s="69" customFormat="1" ht="21" customHeight="1">
      <c r="E2" s="100" t="s">
        <v>1</v>
      </c>
    </row>
    <row r="3" spans="2:18" s="69" customFormat="1" ht="15" customHeight="1">
      <c r="E3" s="109" t="str">
        <f>Indice!E3</f>
        <v>Marzo 2024</v>
      </c>
    </row>
    <row r="4" spans="2:18" s="71" customFormat="1" ht="20.25" customHeight="1">
      <c r="B4" s="70"/>
      <c r="C4" s="99" t="s">
        <v>67</v>
      </c>
    </row>
    <row r="5" spans="2:18" s="71" customFormat="1" ht="12.75" customHeight="1">
      <c r="B5" s="70"/>
      <c r="C5" s="72"/>
    </row>
    <row r="6" spans="2:18" s="71" customFormat="1" ht="13.5" customHeight="1">
      <c r="B6" s="70"/>
      <c r="C6" s="73"/>
      <c r="D6" s="74"/>
      <c r="E6" s="74"/>
    </row>
    <row r="7" spans="2:18" s="71" customFormat="1" ht="12.75" customHeight="1">
      <c r="B7" s="70"/>
      <c r="C7" s="312" t="s">
        <v>77</v>
      </c>
      <c r="D7" s="74"/>
      <c r="E7" s="75"/>
      <c r="P7" s="76"/>
      <c r="Q7" s="76"/>
      <c r="R7" s="76"/>
    </row>
    <row r="8" spans="2:18" s="71" customFormat="1" ht="12.75" customHeight="1">
      <c r="B8" s="70"/>
      <c r="C8" s="312"/>
      <c r="D8" s="74"/>
      <c r="E8" s="75"/>
      <c r="P8" s="77"/>
      <c r="Q8" s="77"/>
      <c r="R8" s="77"/>
    </row>
    <row r="9" spans="2:18" s="71" customFormat="1" ht="12.75" customHeight="1">
      <c r="B9" s="70"/>
      <c r="C9" s="312"/>
      <c r="D9" s="74"/>
      <c r="E9" s="75"/>
      <c r="P9" s="78"/>
      <c r="Q9" s="78"/>
      <c r="R9" s="78"/>
    </row>
    <row r="10" spans="2:18" s="71" customFormat="1" ht="12.75" customHeight="1">
      <c r="B10" s="70"/>
      <c r="C10" s="85"/>
      <c r="D10" s="74"/>
      <c r="E10" s="75"/>
      <c r="P10" s="78"/>
      <c r="Q10" s="78"/>
      <c r="R10" s="78"/>
    </row>
    <row r="11" spans="2:18" s="71" customFormat="1" ht="12.75" customHeight="1">
      <c r="B11" s="70"/>
      <c r="C11" s="85"/>
      <c r="D11" s="74"/>
      <c r="E11" s="79"/>
      <c r="P11" s="78"/>
      <c r="Q11" s="78"/>
      <c r="R11" s="78"/>
    </row>
    <row r="12" spans="2:18" s="71" customFormat="1" ht="12.75" customHeight="1">
      <c r="B12" s="70"/>
      <c r="C12" s="85"/>
      <c r="D12" s="74"/>
      <c r="E12" s="79"/>
      <c r="P12" s="78"/>
      <c r="Q12" s="78"/>
      <c r="R12" s="78"/>
    </row>
    <row r="13" spans="2:18" s="71" customFormat="1" ht="12.75" customHeight="1">
      <c r="B13" s="70"/>
      <c r="C13" s="85"/>
      <c r="D13" s="74"/>
      <c r="E13" s="79"/>
      <c r="P13" s="78"/>
      <c r="Q13" s="78"/>
      <c r="R13" s="78"/>
    </row>
    <row r="14" spans="2:18" s="71" customFormat="1" ht="12.75" customHeight="1">
      <c r="B14" s="70"/>
      <c r="C14" s="73"/>
      <c r="D14" s="74"/>
      <c r="E14" s="79"/>
      <c r="P14" s="78"/>
      <c r="Q14" s="78"/>
      <c r="R14" s="78"/>
    </row>
    <row r="15" spans="2:18" s="71" customFormat="1" ht="12.75" customHeight="1">
      <c r="B15" s="70"/>
      <c r="C15" s="73"/>
      <c r="D15" s="74"/>
      <c r="E15" s="79"/>
      <c r="P15" s="78"/>
      <c r="Q15" s="78"/>
      <c r="R15" s="78"/>
    </row>
    <row r="16" spans="2:18" s="71" customFormat="1" ht="12.75" customHeight="1">
      <c r="B16" s="70"/>
      <c r="C16" s="73"/>
      <c r="D16" s="74"/>
      <c r="E16" s="79"/>
      <c r="P16" s="78"/>
      <c r="Q16" s="78"/>
      <c r="R16" s="78"/>
    </row>
    <row r="17" spans="2:9" s="71" customFormat="1" ht="12.75" customHeight="1">
      <c r="B17" s="70"/>
      <c r="C17" s="73"/>
      <c r="D17" s="74"/>
      <c r="E17" s="79"/>
      <c r="G17" s="81"/>
      <c r="H17" s="80"/>
      <c r="I17" s="80"/>
    </row>
    <row r="18" spans="2:9" s="71" customFormat="1" ht="12.75" customHeight="1">
      <c r="B18" s="70"/>
      <c r="C18" s="73"/>
      <c r="D18" s="74"/>
      <c r="E18" s="79"/>
      <c r="G18" s="81"/>
      <c r="H18" s="80"/>
      <c r="I18" s="80"/>
    </row>
    <row r="19" spans="2:9" s="71" customFormat="1" ht="12.75" customHeight="1">
      <c r="B19" s="70"/>
      <c r="C19" s="73"/>
      <c r="D19" s="74"/>
      <c r="E19" s="79"/>
      <c r="G19" s="81"/>
      <c r="H19" s="80"/>
      <c r="I19" s="80"/>
    </row>
    <row r="20" spans="2:9" s="71" customFormat="1" ht="12.75" customHeight="1">
      <c r="B20" s="70"/>
      <c r="C20" s="73"/>
      <c r="D20" s="74"/>
      <c r="E20" s="79"/>
      <c r="G20" s="81"/>
      <c r="H20" s="80"/>
      <c r="I20" s="80"/>
    </row>
    <row r="21" spans="2:9" s="71" customFormat="1" ht="12.75" customHeight="1">
      <c r="B21" s="70"/>
      <c r="C21" s="73"/>
      <c r="D21" s="74"/>
      <c r="E21" s="79"/>
      <c r="G21" s="81"/>
      <c r="H21" s="80"/>
      <c r="I21" s="80"/>
    </row>
    <row r="22" spans="2:9">
      <c r="E22" s="82"/>
      <c r="H22" s="80"/>
      <c r="I22" s="80"/>
    </row>
    <row r="23" spans="2:9" ht="12.75" customHeight="1">
      <c r="E23" s="82"/>
      <c r="H23" s="80"/>
    </row>
    <row r="24" spans="2:9" ht="12.75" customHeight="1">
      <c r="E24" s="82"/>
    </row>
    <row r="25" spans="2:9">
      <c r="E25" s="82"/>
    </row>
    <row r="26" spans="2:9">
      <c r="E26" s="82"/>
    </row>
    <row r="27" spans="2:9">
      <c r="E27" s="82"/>
    </row>
    <row r="28" spans="2:9">
      <c r="E28" s="303"/>
    </row>
    <row r="29" spans="2:9">
      <c r="E29" s="303"/>
    </row>
    <row r="30" spans="2:9">
      <c r="F30" s="84"/>
    </row>
    <row r="31" spans="2:9">
      <c r="F31" s="84"/>
    </row>
    <row r="32" spans="2:9">
      <c r="F32" s="84"/>
    </row>
    <row r="33" spans="6:14">
      <c r="F33" s="84"/>
    </row>
    <row r="34" spans="6:14">
      <c r="F34" s="84"/>
    </row>
    <row r="35" spans="6:14">
      <c r="F35" s="84"/>
    </row>
    <row r="40" spans="6:14">
      <c r="F40" s="69"/>
      <c r="G40" s="69"/>
      <c r="H40" s="69"/>
      <c r="I40" s="69"/>
      <c r="J40" s="69"/>
      <c r="K40" s="69"/>
      <c r="L40" s="69"/>
      <c r="N40" s="69"/>
    </row>
    <row r="41" spans="6:14">
      <c r="F41" s="69"/>
      <c r="G41" s="69"/>
      <c r="H41" s="69"/>
      <c r="I41" s="69"/>
      <c r="J41" s="69"/>
      <c r="K41" s="69"/>
      <c r="L41" s="69"/>
      <c r="N41" s="69"/>
    </row>
    <row r="42" spans="6:14">
      <c r="F42" s="69"/>
      <c r="G42" s="69"/>
      <c r="H42" s="69"/>
      <c r="I42" s="69"/>
      <c r="J42" s="69"/>
      <c r="K42" s="69"/>
      <c r="L42" s="69"/>
      <c r="N42" s="69"/>
    </row>
    <row r="43" spans="6:14">
      <c r="F43" s="69"/>
      <c r="G43" s="69"/>
      <c r="H43" s="69"/>
      <c r="I43" s="69"/>
      <c r="J43" s="69"/>
      <c r="K43" s="69"/>
      <c r="L43" s="69"/>
      <c r="N43" s="69"/>
    </row>
  </sheetData>
  <mergeCells count="2">
    <mergeCell ref="C7:C9"/>
    <mergeCell ref="E28:E29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horizontalDpi="4294967292" verticalDpi="4294967292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17"/>
  <dimension ref="B3:AA197"/>
  <sheetViews>
    <sheetView workbookViewId="0"/>
  </sheetViews>
  <sheetFormatPr baseColWidth="10" defaultColWidth="11.42578125" defaultRowHeight="11.25"/>
  <cols>
    <col min="1" max="1" width="11.42578125" style="104"/>
    <col min="2" max="2" width="40.5703125" style="104" customWidth="1"/>
    <col min="3" max="16384" width="11.42578125" style="104"/>
  </cols>
  <sheetData>
    <row r="3" spans="2:7">
      <c r="B3" s="102" t="s">
        <v>56</v>
      </c>
      <c r="C3" s="157"/>
      <c r="D3" s="157"/>
      <c r="E3" s="157"/>
    </row>
    <row r="4" spans="2:7">
      <c r="B4" s="103"/>
      <c r="C4" s="86" t="s">
        <v>57</v>
      </c>
      <c r="D4" s="86" t="s">
        <v>14</v>
      </c>
      <c r="F4" s="103"/>
      <c r="G4" s="86" t="s">
        <v>14</v>
      </c>
    </row>
    <row r="5" spans="2:7">
      <c r="B5" s="127" t="s">
        <v>81</v>
      </c>
      <c r="C5" s="123">
        <f>Dat_01!B33</f>
        <v>3331.4</v>
      </c>
      <c r="D5" s="106">
        <f>C5/$C$17*100</f>
        <v>2.8023213835388403</v>
      </c>
      <c r="F5" s="105" t="s">
        <v>16</v>
      </c>
      <c r="G5" s="106">
        <f>SUM(D5:D10)</f>
        <v>35.961832643388746</v>
      </c>
    </row>
    <row r="6" spans="2:7">
      <c r="B6" s="105" t="s">
        <v>3</v>
      </c>
      <c r="C6" s="123">
        <f>Dat_01!B34</f>
        <v>7117.29</v>
      </c>
      <c r="D6" s="106">
        <f t="shared" ref="D6:D16" si="0">C6/$C$17*100</f>
        <v>5.9869526204740202</v>
      </c>
      <c r="F6" s="194" t="s">
        <v>17</v>
      </c>
      <c r="G6" s="195">
        <f>SUM(D11:D16)</f>
        <v>64.031479941410694</v>
      </c>
    </row>
    <row r="7" spans="2:7">
      <c r="B7" s="105" t="s">
        <v>4</v>
      </c>
      <c r="C7" s="123">
        <f>Dat_01!B35</f>
        <v>1819.9749999999999</v>
      </c>
      <c r="D7" s="106">
        <f t="shared" si="0"/>
        <v>1.5309343999538032</v>
      </c>
    </row>
    <row r="8" spans="2:7">
      <c r="B8" s="105" t="s">
        <v>11</v>
      </c>
      <c r="C8" s="123">
        <f>Dat_01!B36</f>
        <v>24561.845000000001</v>
      </c>
      <c r="D8" s="106">
        <f t="shared" si="0"/>
        <v>20.661038441095801</v>
      </c>
    </row>
    <row r="9" spans="2:7">
      <c r="B9" s="105" t="s">
        <v>9</v>
      </c>
      <c r="C9" s="123">
        <f>Dat_01!B37</f>
        <v>5533.7425000000003</v>
      </c>
      <c r="D9" s="106">
        <f t="shared" si="0"/>
        <v>4.6548973220711058</v>
      </c>
    </row>
    <row r="10" spans="2:7">
      <c r="B10" s="105" t="s">
        <v>70</v>
      </c>
      <c r="C10" s="123">
        <f>Dat_01!B39</f>
        <v>387.17849999999999</v>
      </c>
      <c r="D10" s="106">
        <f t="shared" si="0"/>
        <v>0.32568847625517583</v>
      </c>
    </row>
    <row r="11" spans="2:7">
      <c r="B11" s="105" t="s">
        <v>69</v>
      </c>
      <c r="C11" s="123">
        <f>Dat_01!B40</f>
        <v>131.6275</v>
      </c>
      <c r="D11" s="106">
        <f t="shared" si="0"/>
        <v>0.11072298670581698</v>
      </c>
    </row>
    <row r="12" spans="2:7">
      <c r="B12" s="105" t="s">
        <v>5</v>
      </c>
      <c r="C12" s="123">
        <f>Dat_01!B41</f>
        <v>30286.29652</v>
      </c>
      <c r="D12" s="106">
        <f t="shared" si="0"/>
        <v>25.476357197032467</v>
      </c>
    </row>
    <row r="13" spans="2:7">
      <c r="B13" s="105" t="s">
        <v>2</v>
      </c>
      <c r="C13" s="123">
        <f>Dat_01!B42</f>
        <v>17095.888029999998</v>
      </c>
      <c r="D13" s="106">
        <f t="shared" si="0"/>
        <v>14.380792638846938</v>
      </c>
    </row>
    <row r="14" spans="2:7">
      <c r="B14" s="105" t="s">
        <v>6</v>
      </c>
      <c r="C14" s="123">
        <f>Dat_01!B43</f>
        <v>25215.456055999999</v>
      </c>
      <c r="D14" s="106">
        <f t="shared" si="0"/>
        <v>21.210845800988395</v>
      </c>
    </row>
    <row r="15" spans="2:7">
      <c r="B15" s="105" t="s">
        <v>7</v>
      </c>
      <c r="C15" s="123">
        <f>Dat_01!B44</f>
        <v>2304.0129999999999</v>
      </c>
      <c r="D15" s="106">
        <f t="shared" si="0"/>
        <v>1.9380995671043626</v>
      </c>
    </row>
    <row r="16" spans="2:7">
      <c r="B16" s="105" t="s">
        <v>8</v>
      </c>
      <c r="C16" s="123">
        <f>Dat_01!B45</f>
        <v>1087.3499999999999</v>
      </c>
      <c r="D16" s="106">
        <f t="shared" si="0"/>
        <v>0.91466175073271228</v>
      </c>
    </row>
    <row r="17" spans="2:7">
      <c r="B17" s="107" t="s">
        <v>15</v>
      </c>
      <c r="C17" s="124">
        <f>SUM(C5:C16)+C18</f>
        <v>118880.01210600001</v>
      </c>
      <c r="D17" s="108">
        <f>SUM(D5:D16)+D18</f>
        <v>100</v>
      </c>
    </row>
    <row r="18" spans="2:7">
      <c r="B18" s="105" t="s">
        <v>177</v>
      </c>
      <c r="C18" s="123">
        <f>Dat_01!B38</f>
        <v>7.95</v>
      </c>
      <c r="D18" s="106">
        <f>C18/$C$17*100</f>
        <v>6.6874152005564555E-3</v>
      </c>
      <c r="E18" s="157"/>
    </row>
    <row r="19" spans="2:7">
      <c r="B19" s="102" t="s">
        <v>59</v>
      </c>
      <c r="C19" s="157"/>
      <c r="D19" s="157"/>
      <c r="E19" s="157"/>
    </row>
    <row r="20" spans="2:7">
      <c r="B20" s="103"/>
      <c r="C20" s="86" t="s">
        <v>0</v>
      </c>
      <c r="D20" s="86" t="s">
        <v>14</v>
      </c>
      <c r="F20" s="103"/>
      <c r="G20" s="86" t="s">
        <v>14</v>
      </c>
    </row>
    <row r="21" spans="2:7">
      <c r="B21" s="127" t="s">
        <v>81</v>
      </c>
      <c r="C21" s="123">
        <f>Dat_01!B50</f>
        <v>576.58255640799996</v>
      </c>
      <c r="D21" s="106">
        <f>C21/$C$33*100</f>
        <v>2.7088484831994988</v>
      </c>
      <c r="F21" s="105" t="s">
        <v>16</v>
      </c>
      <c r="G21" s="106">
        <f>SUM(D21:D26)</f>
        <v>33.550147182632529</v>
      </c>
    </row>
    <row r="22" spans="2:7">
      <c r="B22" s="105" t="s">
        <v>3</v>
      </c>
      <c r="C22" s="123">
        <f>Dat_01!B51</f>
        <v>3470.760636</v>
      </c>
      <c r="D22" s="106">
        <f t="shared" ref="D22:D24" si="1">C22/$C$33*100</f>
        <v>16.306016510364689</v>
      </c>
      <c r="E22" s="125"/>
      <c r="F22" s="194" t="s">
        <v>17</v>
      </c>
      <c r="G22" s="195">
        <f>SUM(D27:D32)</f>
        <v>66.449852817367457</v>
      </c>
    </row>
    <row r="23" spans="2:7">
      <c r="B23" s="105" t="s">
        <v>4</v>
      </c>
      <c r="C23" s="123">
        <f>Dat_01!B52</f>
        <v>209.65913500000002</v>
      </c>
      <c r="D23" s="106">
        <f t="shared" si="1"/>
        <v>0.98500175477349727</v>
      </c>
      <c r="E23" s="125"/>
    </row>
    <row r="24" spans="2:7">
      <c r="B24" s="105" t="s">
        <v>11</v>
      </c>
      <c r="C24" s="123">
        <f>Dat_01!B53</f>
        <v>1658.3286880000001</v>
      </c>
      <c r="D24" s="106">
        <f t="shared" si="1"/>
        <v>7.7910111938181537</v>
      </c>
      <c r="E24" s="125"/>
    </row>
    <row r="25" spans="2:7">
      <c r="B25" s="105" t="s">
        <v>9</v>
      </c>
      <c r="C25" s="123">
        <f>Dat_01!B54</f>
        <v>1165.9289080000001</v>
      </c>
      <c r="D25" s="106">
        <f>C25/$C$33*100</f>
        <v>5.4776626848200412</v>
      </c>
      <c r="E25" s="125"/>
    </row>
    <row r="26" spans="2:7">
      <c r="B26" s="105" t="s">
        <v>70</v>
      </c>
      <c r="C26" s="123">
        <f>Dat_01!B55</f>
        <v>59.9403875</v>
      </c>
      <c r="D26" s="106">
        <f>C26/$C$33*100</f>
        <v>0.28160655565665382</v>
      </c>
      <c r="E26" s="125"/>
    </row>
    <row r="27" spans="2:7">
      <c r="B27" s="105" t="s">
        <v>69</v>
      </c>
      <c r="C27" s="123">
        <f>Dat_01!B56</f>
        <v>40.449704500000003</v>
      </c>
      <c r="D27" s="106">
        <f t="shared" ref="D27:D28" si="2">C27/$C$33*100</f>
        <v>0.19003717587869198</v>
      </c>
      <c r="E27" s="125"/>
    </row>
    <row r="28" spans="2:7">
      <c r="B28" s="105" t="s">
        <v>5</v>
      </c>
      <c r="C28" s="123">
        <f>Dat_01!B57</f>
        <v>6037.2126539999999</v>
      </c>
      <c r="D28" s="106">
        <f t="shared" si="2"/>
        <v>28.363491331445022</v>
      </c>
      <c r="E28" s="125"/>
    </row>
    <row r="29" spans="2:7">
      <c r="B29" s="105" t="s">
        <v>2</v>
      </c>
      <c r="C29" s="123">
        <f>Dat_01!B58</f>
        <v>4622.0192777359998</v>
      </c>
      <c r="D29" s="106">
        <f>C29/$C$33*100</f>
        <v>21.714756665226592</v>
      </c>
      <c r="E29" s="125"/>
    </row>
    <row r="30" spans="2:7">
      <c r="B30" s="105" t="s">
        <v>6</v>
      </c>
      <c r="C30" s="123">
        <f>Dat_01!B59</f>
        <v>2983.5408169999996</v>
      </c>
      <c r="D30" s="106">
        <f t="shared" ref="D30:D32" si="3">C30/$C$33*100</f>
        <v>14.017004029818938</v>
      </c>
      <c r="E30" s="125"/>
    </row>
    <row r="31" spans="2:7">
      <c r="B31" s="105" t="s">
        <v>7</v>
      </c>
      <c r="C31" s="123">
        <f>Dat_01!B60</f>
        <v>151.73508200000001</v>
      </c>
      <c r="D31" s="106">
        <f t="shared" si="3"/>
        <v>0.71286816112591744</v>
      </c>
      <c r="E31" s="125"/>
    </row>
    <row r="32" spans="2:7">
      <c r="B32" s="105" t="s">
        <v>8</v>
      </c>
      <c r="C32" s="123">
        <f>Dat_01!B61</f>
        <v>308.99560499999995</v>
      </c>
      <c r="D32" s="106">
        <f t="shared" si="3"/>
        <v>1.4516954538722977</v>
      </c>
      <c r="E32" s="125"/>
    </row>
    <row r="33" spans="2:6">
      <c r="B33" s="107" t="s">
        <v>15</v>
      </c>
      <c r="C33" s="124">
        <f>SUM(C21:C32)</f>
        <v>21285.153451144</v>
      </c>
      <c r="D33" s="108">
        <f>SUM(D21:D32)</f>
        <v>99.999999999999986</v>
      </c>
    </row>
    <row r="34" spans="2:6">
      <c r="B34" s="143"/>
      <c r="C34" s="157"/>
      <c r="D34" s="157"/>
      <c r="E34" s="157"/>
      <c r="F34" s="157"/>
    </row>
    <row r="35" spans="2:6">
      <c r="B35" s="143" t="s">
        <v>145</v>
      </c>
      <c r="C35" s="157"/>
      <c r="D35" s="157"/>
      <c r="E35" s="157"/>
      <c r="F35" s="196" t="str">
        <f>CONCATENATE("Mes",CHAR(13),MID(B35,66,10))</f>
        <v>Mes_x000D_18/08/2018</v>
      </c>
    </row>
    <row r="36" spans="2:6">
      <c r="B36" s="103"/>
      <c r="C36" s="86" t="s">
        <v>14</v>
      </c>
      <c r="E36" s="103"/>
      <c r="F36" s="86" t="s">
        <v>14</v>
      </c>
    </row>
    <row r="37" spans="2:6">
      <c r="B37" s="105" t="s">
        <v>81</v>
      </c>
      <c r="C37" s="106">
        <f>Dat_01!B94</f>
        <v>2.1904195172888707</v>
      </c>
      <c r="E37" s="105" t="s">
        <v>16</v>
      </c>
      <c r="F37" s="106">
        <f>SUM(C37:C42)</f>
        <v>29.31891862977184</v>
      </c>
    </row>
    <row r="38" spans="2:6">
      <c r="B38" s="105" t="s">
        <v>3</v>
      </c>
      <c r="C38" s="106">
        <f>Dat_01!B95</f>
        <v>18.048263322967987</v>
      </c>
      <c r="E38" s="194" t="s">
        <v>17</v>
      </c>
      <c r="F38" s="195">
        <f>SUM(C43:C48)</f>
        <v>70.681081370228171</v>
      </c>
    </row>
    <row r="39" spans="2:6">
      <c r="B39" s="105" t="s">
        <v>4</v>
      </c>
      <c r="C39" s="106">
        <f>Dat_01!B96</f>
        <v>0.97489937499147161</v>
      </c>
    </row>
    <row r="40" spans="2:6">
      <c r="B40" s="105" t="s">
        <v>11</v>
      </c>
      <c r="C40" s="106">
        <f>Dat_01!B97</f>
        <v>3.7618039970479313</v>
      </c>
    </row>
    <row r="41" spans="2:6">
      <c r="B41" s="105" t="s">
        <v>9</v>
      </c>
      <c r="C41" s="106">
        <f>Dat_01!B98</f>
        <v>4.1045684575346773</v>
      </c>
    </row>
    <row r="42" spans="2:6">
      <c r="B42" s="105" t="s">
        <v>70</v>
      </c>
      <c r="C42" s="106">
        <f>Dat_01!B99</f>
        <v>0.23896395994089853</v>
      </c>
    </row>
    <row r="43" spans="2:6">
      <c r="B43" s="105" t="s">
        <v>69</v>
      </c>
      <c r="C43" s="106">
        <f>Dat_01!B100</f>
        <v>0.15134292021047366</v>
      </c>
    </row>
    <row r="44" spans="2:6">
      <c r="B44" s="105" t="s">
        <v>5</v>
      </c>
      <c r="C44" s="106">
        <f>Dat_01!B101</f>
        <v>37.911733009489694</v>
      </c>
    </row>
    <row r="45" spans="2:6">
      <c r="B45" s="105" t="s">
        <v>2</v>
      </c>
      <c r="C45" s="106">
        <f>Dat_01!B102</f>
        <v>14.61392439251698</v>
      </c>
    </row>
    <row r="46" spans="2:6">
      <c r="B46" s="105" t="s">
        <v>6</v>
      </c>
      <c r="C46" s="106">
        <f>Dat_01!B103</f>
        <v>15.238715037493533</v>
      </c>
    </row>
    <row r="47" spans="2:6">
      <c r="B47" s="105" t="s">
        <v>7</v>
      </c>
      <c r="C47" s="106">
        <f>Dat_01!B104</f>
        <v>1.7543558259153615</v>
      </c>
    </row>
    <row r="48" spans="2:6">
      <c r="B48" s="105" t="s">
        <v>8</v>
      </c>
      <c r="C48" s="106">
        <f>Dat_01!B105</f>
        <v>1.0110101846021229</v>
      </c>
      <c r="D48" s="157"/>
      <c r="E48" s="157"/>
      <c r="F48" s="157"/>
    </row>
    <row r="49" spans="2:6">
      <c r="B49" s="107" t="s">
        <v>15</v>
      </c>
      <c r="C49" s="108">
        <f>SUM(C37:C48)</f>
        <v>100.00000000000001</v>
      </c>
      <c r="D49" s="157"/>
      <c r="E49" s="157"/>
      <c r="F49" s="157"/>
    </row>
    <row r="50" spans="2:6">
      <c r="B50" s="143"/>
      <c r="C50" s="157"/>
      <c r="D50" s="157"/>
      <c r="E50" s="157"/>
      <c r="F50" s="157"/>
    </row>
    <row r="51" spans="2:6">
      <c r="B51" s="143" t="s">
        <v>127</v>
      </c>
      <c r="C51" s="157"/>
      <c r="D51" s="157"/>
      <c r="E51" s="157"/>
      <c r="F51" s="196" t="str">
        <f>CONCATENATE("Histórico ",CHAR(13),MID(B51,65,11))</f>
        <v>Histórico _x000D_ 20/03/2018</v>
      </c>
    </row>
    <row r="52" spans="2:6">
      <c r="B52" s="103"/>
      <c r="C52" s="86" t="s">
        <v>14</v>
      </c>
      <c r="E52" s="103"/>
      <c r="F52" s="86" t="s">
        <v>14</v>
      </c>
    </row>
    <row r="53" spans="2:6">
      <c r="B53" s="105" t="s">
        <v>81</v>
      </c>
      <c r="C53" s="106">
        <f>Dat_01!H94</f>
        <v>1.8895784697506535</v>
      </c>
      <c r="E53" s="105" t="s">
        <v>16</v>
      </c>
      <c r="F53" s="106">
        <f>SUM(C53:C58)</f>
        <v>33.753482493800369</v>
      </c>
    </row>
    <row r="54" spans="2:6">
      <c r="B54" s="105" t="s">
        <v>3</v>
      </c>
      <c r="C54" s="106">
        <f>Dat_01!H95</f>
        <v>19.653475778110803</v>
      </c>
      <c r="E54" s="194" t="s">
        <v>17</v>
      </c>
      <c r="F54" s="195">
        <f>SUM(C59:C64)</f>
        <v>66.246517506199623</v>
      </c>
    </row>
    <row r="55" spans="2:6">
      <c r="B55" s="105" t="s">
        <v>4</v>
      </c>
      <c r="C55" s="106">
        <f>Dat_01!H96</f>
        <v>1.0481536119262065</v>
      </c>
    </row>
    <row r="56" spans="2:6">
      <c r="B56" s="105" t="s">
        <v>11</v>
      </c>
      <c r="C56" s="106">
        <f>Dat_01!H97</f>
        <v>6.6888920147353659</v>
      </c>
    </row>
    <row r="57" spans="2:6">
      <c r="B57" s="105" t="s">
        <v>9</v>
      </c>
      <c r="C57" s="106">
        <f>Dat_01!H98</f>
        <v>4.1938566809700903</v>
      </c>
    </row>
    <row r="58" spans="2:6">
      <c r="B58" s="105" t="s">
        <v>70</v>
      </c>
      <c r="C58" s="106">
        <f>Dat_01!H99</f>
        <v>0.27952593830725336</v>
      </c>
    </row>
    <row r="59" spans="2:6">
      <c r="B59" s="105" t="s">
        <v>69</v>
      </c>
      <c r="C59" s="106">
        <f>Dat_01!H100</f>
        <v>0.13468075393886975</v>
      </c>
    </row>
    <row r="60" spans="2:6">
      <c r="B60" s="105" t="s">
        <v>5</v>
      </c>
      <c r="C60" s="106">
        <f>Dat_01!H101</f>
        <v>39.118598399516294</v>
      </c>
    </row>
    <row r="61" spans="2:6">
      <c r="B61" s="105" t="s">
        <v>2</v>
      </c>
      <c r="C61" s="106">
        <f>Dat_01!H102</f>
        <v>16.2756399020383</v>
      </c>
    </row>
    <row r="62" spans="2:6">
      <c r="B62" s="105" t="s">
        <v>6</v>
      </c>
      <c r="C62" s="106">
        <f>Dat_01!H103</f>
        <v>8.7561215987314611</v>
      </c>
    </row>
    <row r="63" spans="2:6">
      <c r="B63" s="105" t="s">
        <v>7</v>
      </c>
      <c r="C63" s="106">
        <f>Dat_01!H104</f>
        <v>0.79306969914284942</v>
      </c>
    </row>
    <row r="64" spans="2:6">
      <c r="B64" s="105" t="s">
        <v>8</v>
      </c>
      <c r="C64" s="106">
        <f>Dat_01!H105</f>
        <v>1.1684071528318438</v>
      </c>
    </row>
    <row r="65" spans="2:16">
      <c r="B65" s="107" t="s">
        <v>15</v>
      </c>
      <c r="C65" s="108">
        <f>SUM(C53:C64)</f>
        <v>99.999999999999986</v>
      </c>
    </row>
    <row r="66" spans="2:16">
      <c r="B66" s="143"/>
      <c r="C66" s="157"/>
    </row>
    <row r="67" spans="2:16">
      <c r="B67" s="143" t="s">
        <v>62</v>
      </c>
      <c r="C67" s="197"/>
      <c r="D67" s="197"/>
      <c r="E67" s="197"/>
      <c r="F67" s="197"/>
      <c r="G67" s="197"/>
      <c r="H67" s="197"/>
      <c r="I67" s="197"/>
      <c r="J67" s="197"/>
      <c r="K67" s="197"/>
      <c r="L67" s="197"/>
      <c r="M67" s="197"/>
      <c r="N67" s="197"/>
      <c r="O67" s="197"/>
    </row>
    <row r="68" spans="2:16">
      <c r="B68" s="198"/>
      <c r="C68" s="199" t="str">
        <f>Dat_01!B140</f>
        <v>M</v>
      </c>
      <c r="D68" s="199" t="str">
        <f>Dat_01!C140</f>
        <v>A</v>
      </c>
      <c r="E68" s="199" t="str">
        <f>Dat_01!D140</f>
        <v>M</v>
      </c>
      <c r="F68" s="199" t="str">
        <f>Dat_01!E140</f>
        <v>J</v>
      </c>
      <c r="G68" s="199" t="str">
        <f>Dat_01!F140</f>
        <v>J</v>
      </c>
      <c r="H68" s="199" t="str">
        <f>Dat_01!G140</f>
        <v>A</v>
      </c>
      <c r="I68" s="199" t="str">
        <f>Dat_01!H140</f>
        <v>S</v>
      </c>
      <c r="J68" s="199" t="str">
        <f>Dat_01!I140</f>
        <v>O</v>
      </c>
      <c r="K68" s="199" t="str">
        <f>Dat_01!J140</f>
        <v>N</v>
      </c>
      <c r="L68" s="199" t="str">
        <f>Dat_01!K140</f>
        <v>D</v>
      </c>
      <c r="M68" s="199" t="str">
        <f>Dat_01!L140</f>
        <v>E</v>
      </c>
      <c r="N68" s="199" t="str">
        <f>Dat_01!M140</f>
        <v>F</v>
      </c>
      <c r="O68" s="199" t="str">
        <f>Dat_01!N140</f>
        <v>M</v>
      </c>
      <c r="P68" s="200"/>
    </row>
    <row r="69" spans="2:16">
      <c r="B69" s="120" t="s">
        <v>2</v>
      </c>
      <c r="C69" s="201">
        <f>Dat_01!B142</f>
        <v>2043.195288889</v>
      </c>
      <c r="D69" s="201">
        <f>Dat_01!C142</f>
        <v>1532.7970382829999</v>
      </c>
      <c r="E69" s="201">
        <f>Dat_01!D142</f>
        <v>1391.317400074</v>
      </c>
      <c r="F69" s="201">
        <f>Dat_01!E142</f>
        <v>1912.966164422</v>
      </c>
      <c r="G69" s="201">
        <f>Dat_01!F142</f>
        <v>1303.0717722879999</v>
      </c>
      <c r="H69" s="201">
        <f>Dat_01!G142</f>
        <v>966.63222098799997</v>
      </c>
      <c r="I69" s="201">
        <f>Dat_01!H142</f>
        <v>929.63253717600003</v>
      </c>
      <c r="J69" s="201">
        <f>Dat_01!I142</f>
        <v>1445.246566886</v>
      </c>
      <c r="K69" s="201">
        <f>Dat_01!J142</f>
        <v>3449.3918406510002</v>
      </c>
      <c r="L69" s="201">
        <f>Dat_01!K142</f>
        <v>3973.5715913580002</v>
      </c>
      <c r="M69" s="201">
        <f>Dat_01!L142</f>
        <v>3896.2215926650001</v>
      </c>
      <c r="N69" s="201">
        <f>Dat_01!M142</f>
        <v>2981.3167145880002</v>
      </c>
      <c r="O69" s="201">
        <f>Dat_01!N142</f>
        <v>4622.0192777359998</v>
      </c>
    </row>
    <row r="70" spans="2:16">
      <c r="B70" s="120" t="s">
        <v>81</v>
      </c>
      <c r="C70" s="201">
        <f>Dat_01!B143</f>
        <v>540.07979424799998</v>
      </c>
      <c r="D70" s="201">
        <f>Dat_01!C143</f>
        <v>611.59025412400001</v>
      </c>
      <c r="E70" s="201">
        <f>Dat_01!D143</f>
        <v>482.56337790999999</v>
      </c>
      <c r="F70" s="201">
        <f>Dat_01!E143</f>
        <v>288.68313398599997</v>
      </c>
      <c r="G70" s="201">
        <f>Dat_01!F143</f>
        <v>317.62358116000001</v>
      </c>
      <c r="H70" s="201">
        <f>Dat_01!G143</f>
        <v>417.21605209199998</v>
      </c>
      <c r="I70" s="201">
        <f>Dat_01!H143</f>
        <v>351.92025856800001</v>
      </c>
      <c r="J70" s="201">
        <f>Dat_01!I143</f>
        <v>486.13972009100002</v>
      </c>
      <c r="K70" s="201">
        <f>Dat_01!J143</f>
        <v>450.50809918800002</v>
      </c>
      <c r="L70" s="201">
        <f>Dat_01!K143</f>
        <v>445.30388932199997</v>
      </c>
      <c r="M70" s="201">
        <f>Dat_01!L143</f>
        <v>451.57611214299999</v>
      </c>
      <c r="N70" s="201">
        <f>Dat_01!M143</f>
        <v>539.383918204</v>
      </c>
      <c r="O70" s="201">
        <f>Dat_01!N143</f>
        <v>576.58255640799996</v>
      </c>
    </row>
    <row r="71" spans="2:16">
      <c r="B71" s="120" t="s">
        <v>3</v>
      </c>
      <c r="C71" s="201">
        <f>Dat_01!B144</f>
        <v>5102.2896650000002</v>
      </c>
      <c r="D71" s="201">
        <f>Dat_01!C144</f>
        <v>4567.2530120000001</v>
      </c>
      <c r="E71" s="201">
        <f>Dat_01!D144</f>
        <v>3741.7683910000001</v>
      </c>
      <c r="F71" s="201">
        <f>Dat_01!E144</f>
        <v>4008.7212100000002</v>
      </c>
      <c r="G71" s="201">
        <f>Dat_01!F144</f>
        <v>5123.1471769999998</v>
      </c>
      <c r="H71" s="201">
        <f>Dat_01!G144</f>
        <v>5008.274547</v>
      </c>
      <c r="I71" s="201">
        <f>Dat_01!H144</f>
        <v>4546.8185190000004</v>
      </c>
      <c r="J71" s="201">
        <f>Dat_01!I144</f>
        <v>3741.7340180000001</v>
      </c>
      <c r="K71" s="201">
        <f>Dat_01!J144</f>
        <v>3761.317407</v>
      </c>
      <c r="L71" s="201">
        <f>Dat_01!K144</f>
        <v>4990.0784999999996</v>
      </c>
      <c r="M71" s="201">
        <f>Dat_01!L144</f>
        <v>5160.8013369999999</v>
      </c>
      <c r="N71" s="201">
        <f>Dat_01!M144</f>
        <v>4509.5937249999997</v>
      </c>
      <c r="O71" s="201">
        <f>Dat_01!N144</f>
        <v>3470.760636</v>
      </c>
    </row>
    <row r="72" spans="2:16">
      <c r="B72" s="120" t="s">
        <v>4</v>
      </c>
      <c r="C72" s="201">
        <f>Dat_01!B145</f>
        <v>424.61757399999999</v>
      </c>
      <c r="D72" s="201">
        <f>Dat_01!C145</f>
        <v>250.49709999999999</v>
      </c>
      <c r="E72" s="201">
        <f>Dat_01!D145</f>
        <v>240.394893</v>
      </c>
      <c r="F72" s="201">
        <f>Dat_01!E145</f>
        <v>297.64954599999999</v>
      </c>
      <c r="G72" s="201">
        <f>Dat_01!F145</f>
        <v>278.085915</v>
      </c>
      <c r="H72" s="201">
        <f>Dat_01!G145</f>
        <v>405.98407800000001</v>
      </c>
      <c r="I72" s="201">
        <f>Dat_01!H145</f>
        <v>401.51815299999998</v>
      </c>
      <c r="J72" s="201">
        <f>Dat_01!I145</f>
        <v>373.47347600000001</v>
      </c>
      <c r="K72" s="201">
        <f>Dat_01!J145</f>
        <v>221.507746</v>
      </c>
      <c r="L72" s="201">
        <f>Dat_01!K145</f>
        <v>212.48337599999999</v>
      </c>
      <c r="M72" s="201">
        <f>Dat_01!L145</f>
        <v>268.85188900000003</v>
      </c>
      <c r="N72" s="201">
        <f>Dat_01!M145</f>
        <v>206.83761699999999</v>
      </c>
      <c r="O72" s="201">
        <f>Dat_01!N145</f>
        <v>209.65913499999999</v>
      </c>
    </row>
    <row r="73" spans="2:16">
      <c r="B73" s="120" t="s">
        <v>128</v>
      </c>
      <c r="C73" s="201"/>
      <c r="D73" s="201"/>
      <c r="E73" s="201"/>
      <c r="F73" s="201"/>
      <c r="G73" s="201"/>
      <c r="H73" s="201"/>
      <c r="I73" s="201"/>
      <c r="J73" s="201"/>
      <c r="K73" s="201"/>
      <c r="L73" s="201"/>
      <c r="M73" s="201"/>
      <c r="N73" s="201"/>
      <c r="O73" s="201"/>
    </row>
    <row r="74" spans="2:16">
      <c r="B74" s="120" t="s">
        <v>129</v>
      </c>
      <c r="C74" s="201">
        <f>Dat_01!B146</f>
        <v>2596.2711089999998</v>
      </c>
      <c r="D74" s="201">
        <f>Dat_01!C146</f>
        <v>2387.6938829999999</v>
      </c>
      <c r="E74" s="201">
        <f>Dat_01!D146</f>
        <v>2826.458556</v>
      </c>
      <c r="F74" s="201">
        <f>Dat_01!E146</f>
        <v>4052.7489780000001</v>
      </c>
      <c r="G74" s="201">
        <f>Dat_01!F146</f>
        <v>4383.6223309999996</v>
      </c>
      <c r="H74" s="201">
        <f>Dat_01!G146</f>
        <v>4368.1142330000002</v>
      </c>
      <c r="I74" s="201">
        <f>Dat_01!H146</f>
        <v>4240.7922829999998</v>
      </c>
      <c r="J74" s="201">
        <f>Dat_01!I146</f>
        <v>3454.1032340000002</v>
      </c>
      <c r="K74" s="201">
        <f>Dat_01!J146</f>
        <v>2337.3704469999998</v>
      </c>
      <c r="L74" s="201">
        <f>Dat_01!K146</f>
        <v>2614.9533230000002</v>
      </c>
      <c r="M74" s="201">
        <f>Dat_01!L146</f>
        <v>2758.3653610000001</v>
      </c>
      <c r="N74" s="201">
        <f>Dat_01!M146</f>
        <v>1582.038761</v>
      </c>
      <c r="O74" s="201">
        <f>Dat_01!N146</f>
        <v>1658.3286880000001</v>
      </c>
    </row>
    <row r="75" spans="2:16">
      <c r="B75" s="120" t="s">
        <v>5</v>
      </c>
      <c r="C75" s="201">
        <f>Dat_01!B147</f>
        <v>6562.9494439999999</v>
      </c>
      <c r="D75" s="201">
        <f>Dat_01!C147</f>
        <v>4798.0341330000001</v>
      </c>
      <c r="E75" s="201">
        <f>Dat_01!D147</f>
        <v>5330.5438809999996</v>
      </c>
      <c r="F75" s="201">
        <f>Dat_01!E147</f>
        <v>3017.4135729999998</v>
      </c>
      <c r="G75" s="201">
        <f>Dat_01!F147</f>
        <v>3650.5355380000001</v>
      </c>
      <c r="H75" s="201">
        <f>Dat_01!G147</f>
        <v>4088.245336</v>
      </c>
      <c r="I75" s="201">
        <f>Dat_01!H147</f>
        <v>3493.5598100000002</v>
      </c>
      <c r="J75" s="201">
        <f>Dat_01!I147</f>
        <v>5706.4825490000003</v>
      </c>
      <c r="K75" s="201">
        <f>Dat_01!J147</f>
        <v>6895.4752040000003</v>
      </c>
      <c r="L75" s="201">
        <f>Dat_01!K147</f>
        <v>5741.1681920000001</v>
      </c>
      <c r="M75" s="201">
        <f>Dat_01!L147</f>
        <v>5637.6258340000004</v>
      </c>
      <c r="N75" s="201">
        <f>Dat_01!M147</f>
        <v>6836.4947759999995</v>
      </c>
      <c r="O75" s="201">
        <f>Dat_01!N147</f>
        <v>6037.2126539999999</v>
      </c>
    </row>
    <row r="76" spans="2:16">
      <c r="B76" s="120" t="s">
        <v>130</v>
      </c>
      <c r="C76" s="201">
        <f>Dat_01!B148</f>
        <v>3026.359449</v>
      </c>
      <c r="D76" s="201">
        <f>Dat_01!C148</f>
        <v>3706.5430190000002</v>
      </c>
      <c r="E76" s="201">
        <f>Dat_01!D148</f>
        <v>3795.9065730000002</v>
      </c>
      <c r="F76" s="201">
        <f>Dat_01!E148</f>
        <v>3780.393454</v>
      </c>
      <c r="G76" s="201">
        <f>Dat_01!F148</f>
        <v>4475.9036299999998</v>
      </c>
      <c r="H76" s="201">
        <f>Dat_01!G148</f>
        <v>4376.8469839999998</v>
      </c>
      <c r="I76" s="201">
        <f>Dat_01!H148</f>
        <v>3295.670611</v>
      </c>
      <c r="J76" s="201">
        <f>Dat_01!I148</f>
        <v>2566.3154300000001</v>
      </c>
      <c r="K76" s="201">
        <f>Dat_01!J148</f>
        <v>1946.5475630000001</v>
      </c>
      <c r="L76" s="201">
        <f>Dat_01!K148</f>
        <v>1820.6462019999999</v>
      </c>
      <c r="M76" s="201">
        <f>Dat_01!L148</f>
        <v>1859.956492</v>
      </c>
      <c r="N76" s="201">
        <f>Dat_01!M148</f>
        <v>2544.8560080000002</v>
      </c>
      <c r="O76" s="201">
        <f>Dat_01!N148</f>
        <v>2983.5408170000001</v>
      </c>
    </row>
    <row r="77" spans="2:16">
      <c r="B77" s="120" t="s">
        <v>131</v>
      </c>
      <c r="C77" s="201">
        <f>Dat_01!B149</f>
        <v>409.93961899999999</v>
      </c>
      <c r="D77" s="201">
        <f>Dat_01!C149</f>
        <v>625.72451000000001</v>
      </c>
      <c r="E77" s="201">
        <f>Dat_01!D149</f>
        <v>500.29015700000002</v>
      </c>
      <c r="F77" s="201">
        <f>Dat_01!E149</f>
        <v>541.44321600000001</v>
      </c>
      <c r="G77" s="201">
        <f>Dat_01!F149</f>
        <v>768.13673300000005</v>
      </c>
      <c r="H77" s="201">
        <f>Dat_01!G149</f>
        <v>719.76334299999996</v>
      </c>
      <c r="I77" s="201">
        <f>Dat_01!H149</f>
        <v>400.78732400000001</v>
      </c>
      <c r="J77" s="201">
        <f>Dat_01!I149</f>
        <v>226.73819900000001</v>
      </c>
      <c r="K77" s="201">
        <f>Dat_01!J149</f>
        <v>111.28416799999999</v>
      </c>
      <c r="L77" s="201">
        <f>Dat_01!K149</f>
        <v>92.059718000000004</v>
      </c>
      <c r="M77" s="201">
        <f>Dat_01!L149</f>
        <v>94.242966999999993</v>
      </c>
      <c r="N77" s="201">
        <f>Dat_01!M149</f>
        <v>176.41685799999999</v>
      </c>
      <c r="O77" s="201">
        <f>Dat_01!N149</f>
        <v>151.73508200000001</v>
      </c>
    </row>
    <row r="78" spans="2:16">
      <c r="B78" s="120" t="s">
        <v>9</v>
      </c>
      <c r="C78" s="201">
        <f>Dat_01!B151</f>
        <v>1726.7644049999999</v>
      </c>
      <c r="D78" s="201">
        <f>Dat_01!C151</f>
        <v>1572.4450019999999</v>
      </c>
      <c r="E78" s="201">
        <f>Dat_01!D151</f>
        <v>1702.635225</v>
      </c>
      <c r="F78" s="201">
        <f>Dat_01!E151</f>
        <v>1724.8432869999999</v>
      </c>
      <c r="G78" s="201">
        <f>Dat_01!F151</f>
        <v>1477.1990989999999</v>
      </c>
      <c r="H78" s="201">
        <f>Dat_01!G151</f>
        <v>1302.218576</v>
      </c>
      <c r="I78" s="201">
        <f>Dat_01!H151</f>
        <v>1430.8498970000001</v>
      </c>
      <c r="J78" s="201">
        <f>Dat_01!I151</f>
        <v>1244.633681</v>
      </c>
      <c r="K78" s="201">
        <f>Dat_01!J151</f>
        <v>964.46819100000005</v>
      </c>
      <c r="L78" s="201">
        <f>Dat_01!K151</f>
        <v>1180.951693</v>
      </c>
      <c r="M78" s="201">
        <f>Dat_01!L151</f>
        <v>1694.552316</v>
      </c>
      <c r="N78" s="201">
        <f>Dat_01!M151</f>
        <v>1363.1187210000001</v>
      </c>
      <c r="O78" s="201">
        <f>Dat_01!N151</f>
        <v>1165.9289080000001</v>
      </c>
    </row>
    <row r="79" spans="2:16">
      <c r="B79" s="120" t="s">
        <v>132</v>
      </c>
      <c r="C79" s="201">
        <f>Dat_01!B152</f>
        <v>110.360659</v>
      </c>
      <c r="D79" s="201">
        <f>Dat_01!C152</f>
        <v>80.064349500000006</v>
      </c>
      <c r="E79" s="201">
        <f>Dat_01!D152</f>
        <v>58.672222499999997</v>
      </c>
      <c r="F79" s="201">
        <f>Dat_01!E152</f>
        <v>106.86346</v>
      </c>
      <c r="G79" s="201">
        <f>Dat_01!F152</f>
        <v>113.404867</v>
      </c>
      <c r="H79" s="201">
        <f>Dat_01!G152</f>
        <v>104.296549</v>
      </c>
      <c r="I79" s="201">
        <f>Dat_01!H152</f>
        <v>106.0009465</v>
      </c>
      <c r="J79" s="201">
        <f>Dat_01!I152</f>
        <v>108.36413899999999</v>
      </c>
      <c r="K79" s="201">
        <f>Dat_01!J152</f>
        <v>89.150436999999997</v>
      </c>
      <c r="L79" s="201">
        <f>Dat_01!K152</f>
        <v>102.220887</v>
      </c>
      <c r="M79" s="201">
        <f>Dat_01!L152</f>
        <v>95.291753499999999</v>
      </c>
      <c r="N79" s="201">
        <f>Dat_01!M152</f>
        <v>79.311832999999993</v>
      </c>
      <c r="O79" s="201">
        <f>Dat_01!N152</f>
        <v>59.9403875</v>
      </c>
    </row>
    <row r="80" spans="2:16">
      <c r="B80" s="120" t="s">
        <v>133</v>
      </c>
      <c r="C80" s="201">
        <f>Dat_01!B153</f>
        <v>62.173029999999997</v>
      </c>
      <c r="D80" s="201">
        <f>Dat_01!C153</f>
        <v>46.745470500000003</v>
      </c>
      <c r="E80" s="201">
        <f>Dat_01!D153</f>
        <v>32.738592500000003</v>
      </c>
      <c r="F80" s="201">
        <f>Dat_01!E153</f>
        <v>65.021735000000007</v>
      </c>
      <c r="G80" s="201">
        <f>Dat_01!F153</f>
        <v>70.556624999999997</v>
      </c>
      <c r="H80" s="201">
        <f>Dat_01!G153</f>
        <v>62.106560000000002</v>
      </c>
      <c r="I80" s="201">
        <f>Dat_01!H153</f>
        <v>63.283716499999997</v>
      </c>
      <c r="J80" s="201">
        <f>Dat_01!I153</f>
        <v>65.383654000000007</v>
      </c>
      <c r="K80" s="201">
        <f>Dat_01!J153</f>
        <v>52.408155000000001</v>
      </c>
      <c r="L80" s="201">
        <f>Dat_01!K153</f>
        <v>65.083246000000003</v>
      </c>
      <c r="M80" s="201">
        <f>Dat_01!L153</f>
        <v>58.133075499999997</v>
      </c>
      <c r="N80" s="201">
        <f>Dat_01!M153</f>
        <v>53.101937</v>
      </c>
      <c r="O80" s="201">
        <f>Dat_01!N153</f>
        <v>40.449704500000003</v>
      </c>
    </row>
    <row r="81" spans="2:15">
      <c r="B81" s="120" t="s">
        <v>134</v>
      </c>
      <c r="C81" s="201">
        <f>Dat_01!B150</f>
        <v>307.07592899999997</v>
      </c>
      <c r="D81" s="201">
        <f>Dat_01!C150</f>
        <v>272.39934599999998</v>
      </c>
      <c r="E81" s="201">
        <f>Dat_01!D150</f>
        <v>336.75007499999998</v>
      </c>
      <c r="F81" s="201">
        <f>Dat_01!E150</f>
        <v>321.04170599999998</v>
      </c>
      <c r="G81" s="201">
        <f>Dat_01!F150</f>
        <v>319.13790999999998</v>
      </c>
      <c r="H81" s="201">
        <f>Dat_01!G150</f>
        <v>339.53788500000002</v>
      </c>
      <c r="I81" s="201">
        <f>Dat_01!H150</f>
        <v>284.53883400000001</v>
      </c>
      <c r="J81" s="201">
        <f>Dat_01!I150</f>
        <v>262.341748</v>
      </c>
      <c r="K81" s="201">
        <f>Dat_01!J150</f>
        <v>237.95199600000001</v>
      </c>
      <c r="L81" s="201">
        <f>Dat_01!K150</f>
        <v>254.011473</v>
      </c>
      <c r="M81" s="201">
        <f>Dat_01!L150</f>
        <v>281.89705400000003</v>
      </c>
      <c r="N81" s="201">
        <f>Dat_01!M150</f>
        <v>257.40937400000001</v>
      </c>
      <c r="O81" s="201">
        <f>Dat_01!N150</f>
        <v>308.99560500000001</v>
      </c>
    </row>
    <row r="82" spans="2:15">
      <c r="B82" s="120" t="s">
        <v>135</v>
      </c>
      <c r="C82" s="201">
        <f>Dat_01!B154</f>
        <v>22912.075966137003</v>
      </c>
      <c r="D82" s="201">
        <f>Dat_01!C154</f>
        <v>20451.787117406999</v>
      </c>
      <c r="E82" s="201">
        <f>Dat_01!D154</f>
        <v>20440.039343984005</v>
      </c>
      <c r="F82" s="201">
        <f>Dat_01!E154</f>
        <v>20117.789463407997</v>
      </c>
      <c r="G82" s="201">
        <f>Dat_01!F154</f>
        <v>22280.425178448004</v>
      </c>
      <c r="H82" s="201">
        <f>Dat_01!G154</f>
        <v>22159.236364079999</v>
      </c>
      <c r="I82" s="201">
        <f>Dat_01!H154</f>
        <v>19545.372889743998</v>
      </c>
      <c r="J82" s="201">
        <f>Dat_01!I154</f>
        <v>19680.956414977001</v>
      </c>
      <c r="K82" s="201">
        <f>Dat_01!J154</f>
        <v>20517.381253839001</v>
      </c>
      <c r="L82" s="201">
        <f>Dat_01!K154</f>
        <v>21492.532090679993</v>
      </c>
      <c r="M82" s="201">
        <f>Dat_01!L154</f>
        <v>22257.515783808005</v>
      </c>
      <c r="N82" s="201">
        <f>Dat_01!M154</f>
        <v>21129.880242791995</v>
      </c>
      <c r="O82" s="201">
        <f>Dat_01!N154</f>
        <v>21285.153451143997</v>
      </c>
    </row>
    <row r="83" spans="2:15">
      <c r="B83" s="120" t="s">
        <v>136</v>
      </c>
      <c r="C83" s="201"/>
      <c r="D83" s="201"/>
      <c r="E83" s="201"/>
      <c r="F83" s="201"/>
      <c r="G83" s="201"/>
      <c r="H83" s="201"/>
      <c r="I83" s="201"/>
      <c r="J83" s="201"/>
      <c r="K83" s="201"/>
      <c r="L83" s="201"/>
      <c r="M83" s="201"/>
      <c r="N83" s="201"/>
      <c r="O83" s="201"/>
    </row>
    <row r="84" spans="2:15">
      <c r="B84" s="120" t="s">
        <v>137</v>
      </c>
      <c r="C84" s="201"/>
      <c r="D84" s="201"/>
      <c r="E84" s="201"/>
      <c r="F84" s="201"/>
      <c r="G84" s="201"/>
      <c r="H84" s="201"/>
      <c r="I84" s="201"/>
      <c r="J84" s="201"/>
      <c r="K84" s="201"/>
      <c r="L84" s="201"/>
      <c r="M84" s="201"/>
      <c r="N84" s="201"/>
      <c r="O84" s="201"/>
    </row>
    <row r="85" spans="2:15">
      <c r="B85" s="120" t="s">
        <v>138</v>
      </c>
      <c r="C85" s="201"/>
      <c r="D85" s="201"/>
      <c r="E85" s="201"/>
      <c r="F85" s="201"/>
      <c r="G85" s="201"/>
      <c r="H85" s="201"/>
      <c r="I85" s="201"/>
      <c r="J85" s="201"/>
      <c r="K85" s="201"/>
      <c r="L85" s="201"/>
      <c r="M85" s="201"/>
      <c r="N85" s="201"/>
      <c r="O85" s="201"/>
    </row>
    <row r="86" spans="2:15">
      <c r="B86" s="202" t="s">
        <v>139</v>
      </c>
      <c r="C86" s="203"/>
      <c r="D86" s="203"/>
      <c r="E86" s="203"/>
      <c r="F86" s="203"/>
      <c r="G86" s="203"/>
      <c r="H86" s="203"/>
      <c r="I86" s="203"/>
      <c r="J86" s="203"/>
      <c r="K86" s="203"/>
      <c r="L86" s="203"/>
      <c r="M86" s="203"/>
      <c r="N86" s="203"/>
      <c r="O86" s="203"/>
    </row>
    <row r="88" spans="2:15">
      <c r="B88" s="204" t="s">
        <v>17</v>
      </c>
      <c r="C88" s="205">
        <f t="shared" ref="C88:O88" si="4">SUM(C69,C75:C77,C80:C81)</f>
        <v>12411.692759889</v>
      </c>
      <c r="D88" s="205">
        <f t="shared" si="4"/>
        <v>10982.243516783001</v>
      </c>
      <c r="E88" s="205">
        <f t="shared" si="4"/>
        <v>11387.546678573999</v>
      </c>
      <c r="F88" s="205">
        <f t="shared" si="4"/>
        <v>9638.2798484219984</v>
      </c>
      <c r="G88" s="205">
        <f t="shared" si="4"/>
        <v>10587.342208287999</v>
      </c>
      <c r="H88" s="205">
        <f t="shared" si="4"/>
        <v>10553.132328988</v>
      </c>
      <c r="I88" s="205">
        <f t="shared" si="4"/>
        <v>8467.4728326759996</v>
      </c>
      <c r="J88" s="205">
        <f t="shared" si="4"/>
        <v>10272.508146886001</v>
      </c>
      <c r="K88" s="205">
        <f t="shared" si="4"/>
        <v>12693.058926651</v>
      </c>
      <c r="L88" s="205">
        <f t="shared" si="4"/>
        <v>11946.540422358001</v>
      </c>
      <c r="M88" s="205">
        <f t="shared" si="4"/>
        <v>11828.077015164999</v>
      </c>
      <c r="N88" s="205">
        <f t="shared" si="4"/>
        <v>12849.595667588001</v>
      </c>
      <c r="O88" s="205">
        <f t="shared" si="4"/>
        <v>14143.953140235999</v>
      </c>
    </row>
    <row r="89" spans="2:15">
      <c r="B89" s="202" t="s">
        <v>16</v>
      </c>
      <c r="C89" s="203">
        <f t="shared" ref="C89:O89" si="5">SUM(C70:C74,C78:C79)</f>
        <v>10500.383206248</v>
      </c>
      <c r="D89" s="203">
        <f t="shared" si="5"/>
        <v>9469.5436006239997</v>
      </c>
      <c r="E89" s="203">
        <f t="shared" si="5"/>
        <v>9052.49266541</v>
      </c>
      <c r="F89" s="203">
        <f t="shared" si="5"/>
        <v>10479.509614986</v>
      </c>
      <c r="G89" s="203">
        <f t="shared" si="5"/>
        <v>11693.082970159998</v>
      </c>
      <c r="H89" s="203">
        <f t="shared" si="5"/>
        <v>11606.104035091999</v>
      </c>
      <c r="I89" s="203">
        <f t="shared" si="5"/>
        <v>11077.900057068</v>
      </c>
      <c r="J89" s="203">
        <f t="shared" si="5"/>
        <v>9408.4482680909987</v>
      </c>
      <c r="K89" s="203">
        <f t="shared" si="5"/>
        <v>7824.3223271879997</v>
      </c>
      <c r="L89" s="203">
        <f t="shared" si="5"/>
        <v>9545.9916683219999</v>
      </c>
      <c r="M89" s="203">
        <f t="shared" si="5"/>
        <v>10429.438768642998</v>
      </c>
      <c r="N89" s="203">
        <f t="shared" si="5"/>
        <v>8280.2845752039993</v>
      </c>
      <c r="O89" s="203">
        <f t="shared" si="5"/>
        <v>7141.2003109080006</v>
      </c>
    </row>
    <row r="91" spans="2:15">
      <c r="B91" s="204" t="s">
        <v>17</v>
      </c>
      <c r="C91" s="206">
        <f>SUM(C69/SUM(C88:C89)*100,C75/SUM(C88:C89)*100,C76/SUM(C88:C89)*100,C77/SUM(C88:C89)*100,C80/SUM(C88:C89)*100,C81/SUM(C88:C89)*100)</f>
        <v>54.170965469182775</v>
      </c>
      <c r="D91" s="206">
        <f t="shared" ref="D91:O91" si="6">SUM(D69/SUM(D88:D89)*100,D75/SUM(D88:D89)*100,D76/SUM(D88:D89)*100,D77/SUM(D88:D89)*100,D80/SUM(D88:D89)*100,D81/SUM(D88:D89)*100)</f>
        <v>53.698209617269832</v>
      </c>
      <c r="E91" s="206">
        <f t="shared" si="6"/>
        <v>55.711960661786271</v>
      </c>
      <c r="F91" s="206">
        <f t="shared" si="6"/>
        <v>47.909239064028121</v>
      </c>
      <c r="G91" s="206">
        <f t="shared" si="6"/>
        <v>47.518582448458865</v>
      </c>
      <c r="H91" s="206">
        <f t="shared" si="6"/>
        <v>47.624079438470943</v>
      </c>
      <c r="I91" s="206">
        <f t="shared" si="6"/>
        <v>43.322135016002271</v>
      </c>
      <c r="J91" s="206">
        <f t="shared" si="6"/>
        <v>52.195167400852178</v>
      </c>
      <c r="K91" s="206">
        <f t="shared" si="6"/>
        <v>61.864907463646254</v>
      </c>
      <c r="L91" s="206">
        <f t="shared" si="6"/>
        <v>55.584611305703184</v>
      </c>
      <c r="M91" s="206">
        <f t="shared" si="6"/>
        <v>53.141945983791004</v>
      </c>
      <c r="N91" s="206">
        <f t="shared" si="6"/>
        <v>60.81243963496366</v>
      </c>
      <c r="O91" s="206">
        <f t="shared" si="6"/>
        <v>66.449852817367457</v>
      </c>
    </row>
    <row r="92" spans="2:15">
      <c r="B92" s="202" t="s">
        <v>16</v>
      </c>
      <c r="C92" s="266">
        <f t="shared" ref="C92" si="7">100-C91</f>
        <v>45.829034530817225</v>
      </c>
      <c r="D92" s="266">
        <f t="shared" ref="D92:O92" si="8">100-D91</f>
        <v>46.301790382730168</v>
      </c>
      <c r="E92" s="266">
        <f t="shared" si="8"/>
        <v>44.288039338213729</v>
      </c>
      <c r="F92" s="266">
        <f t="shared" si="8"/>
        <v>52.090760935971879</v>
      </c>
      <c r="G92" s="266">
        <f t="shared" si="8"/>
        <v>52.481417551541135</v>
      </c>
      <c r="H92" s="266">
        <f t="shared" si="8"/>
        <v>52.375920561529057</v>
      </c>
      <c r="I92" s="266">
        <f t="shared" si="8"/>
        <v>56.677864983997729</v>
      </c>
      <c r="J92" s="266">
        <f t="shared" si="8"/>
        <v>47.804832599147822</v>
      </c>
      <c r="K92" s="266">
        <f t="shared" si="8"/>
        <v>38.135092536353746</v>
      </c>
      <c r="L92" s="266">
        <f t="shared" si="8"/>
        <v>44.415388694296816</v>
      </c>
      <c r="M92" s="266">
        <f t="shared" si="8"/>
        <v>46.858054016208996</v>
      </c>
      <c r="N92" s="266">
        <f t="shared" si="8"/>
        <v>39.18756036503634</v>
      </c>
      <c r="O92" s="266">
        <f t="shared" si="8"/>
        <v>33.550147182632543</v>
      </c>
    </row>
    <row r="94" spans="2:15">
      <c r="B94" s="104" t="s">
        <v>84</v>
      </c>
    </row>
    <row r="95" spans="2:15">
      <c r="B95" s="104" t="s">
        <v>85</v>
      </c>
    </row>
    <row r="97" spans="2:16">
      <c r="B97" s="143"/>
      <c r="C97" s="200"/>
      <c r="D97" s="200"/>
      <c r="E97" s="200"/>
      <c r="F97" s="200"/>
      <c r="G97" s="200"/>
      <c r="H97" s="200"/>
      <c r="I97" s="200"/>
      <c r="J97" s="200"/>
      <c r="K97" s="200"/>
      <c r="L97" s="200"/>
      <c r="M97" s="200"/>
      <c r="N97" s="200"/>
      <c r="O97" s="200"/>
      <c r="P97" s="200"/>
    </row>
    <row r="98" spans="2:16">
      <c r="B98" s="276"/>
      <c r="C98" s="277"/>
      <c r="D98" s="277"/>
      <c r="E98" s="277"/>
      <c r="F98" s="277"/>
      <c r="G98" s="277"/>
      <c r="H98" s="277"/>
      <c r="I98" s="277"/>
      <c r="J98" s="277"/>
      <c r="K98" s="277"/>
      <c r="L98" s="277"/>
      <c r="M98" s="277"/>
      <c r="N98" s="277"/>
      <c r="O98" s="277"/>
      <c r="P98" s="200"/>
    </row>
    <row r="99" spans="2:16">
      <c r="B99" s="120"/>
      <c r="C99" s="201"/>
      <c r="D99" s="201"/>
      <c r="E99" s="201"/>
      <c r="F99" s="201"/>
      <c r="G99" s="201"/>
      <c r="H99" s="201"/>
      <c r="I99" s="201"/>
      <c r="J99" s="201"/>
      <c r="K99" s="201"/>
      <c r="L99" s="201"/>
      <c r="M99" s="201"/>
      <c r="N99" s="201"/>
      <c r="O99" s="201"/>
    </row>
    <row r="100" spans="2:16">
      <c r="B100" s="120"/>
      <c r="C100" s="201"/>
      <c r="D100" s="201"/>
      <c r="E100" s="201"/>
      <c r="F100" s="201"/>
      <c r="G100" s="201"/>
      <c r="H100" s="201"/>
      <c r="I100" s="201"/>
      <c r="J100" s="201"/>
      <c r="K100" s="201"/>
      <c r="L100" s="201"/>
      <c r="M100" s="201"/>
      <c r="N100" s="201"/>
      <c r="O100" s="201"/>
    </row>
    <row r="101" spans="2:16">
      <c r="B101" s="120"/>
      <c r="C101" s="201"/>
      <c r="D101" s="201"/>
      <c r="E101" s="201"/>
      <c r="F101" s="201"/>
      <c r="G101" s="201"/>
      <c r="H101" s="201"/>
      <c r="I101" s="201"/>
      <c r="J101" s="201"/>
      <c r="K101" s="201"/>
      <c r="L101" s="201"/>
      <c r="M101" s="201"/>
      <c r="N101" s="201"/>
      <c r="O101" s="201"/>
    </row>
    <row r="102" spans="2:16">
      <c r="B102" s="120"/>
      <c r="C102" s="201"/>
      <c r="D102" s="201"/>
      <c r="E102" s="201"/>
      <c r="F102" s="201"/>
      <c r="G102" s="201"/>
      <c r="H102" s="201"/>
      <c r="I102" s="201"/>
      <c r="J102" s="201"/>
      <c r="K102" s="201"/>
      <c r="L102" s="201"/>
      <c r="M102" s="201"/>
      <c r="N102" s="201"/>
      <c r="O102" s="201"/>
    </row>
    <row r="103" spans="2:16">
      <c r="B103" s="120"/>
      <c r="C103" s="201"/>
      <c r="D103" s="201"/>
      <c r="E103" s="201"/>
      <c r="F103" s="201"/>
      <c r="G103" s="201"/>
      <c r="H103" s="201"/>
      <c r="I103" s="201"/>
      <c r="J103" s="201"/>
      <c r="K103" s="201"/>
      <c r="L103" s="201"/>
      <c r="M103" s="201"/>
      <c r="N103" s="201"/>
      <c r="O103" s="201"/>
    </row>
    <row r="104" spans="2:16">
      <c r="B104" s="120"/>
      <c r="C104" s="201"/>
      <c r="D104" s="201"/>
      <c r="E104" s="201"/>
      <c r="F104" s="201"/>
      <c r="G104" s="201"/>
      <c r="H104" s="201"/>
      <c r="I104" s="201"/>
      <c r="J104" s="201"/>
      <c r="K104" s="201"/>
      <c r="L104" s="201"/>
      <c r="M104" s="201"/>
      <c r="N104" s="201"/>
      <c r="O104" s="201"/>
    </row>
    <row r="105" spans="2:16">
      <c r="B105" s="120"/>
      <c r="C105" s="201"/>
      <c r="D105" s="201"/>
      <c r="E105" s="201"/>
      <c r="F105" s="201"/>
      <c r="G105" s="201"/>
      <c r="H105" s="201"/>
      <c r="I105" s="201"/>
      <c r="J105" s="201"/>
      <c r="K105" s="201"/>
      <c r="L105" s="201"/>
      <c r="M105" s="201"/>
      <c r="N105" s="201"/>
      <c r="O105" s="201"/>
    </row>
    <row r="106" spans="2:16">
      <c r="B106" s="120"/>
      <c r="C106" s="201"/>
      <c r="D106" s="201"/>
      <c r="E106" s="201"/>
      <c r="F106" s="201"/>
      <c r="G106" s="201"/>
      <c r="H106" s="201"/>
      <c r="I106" s="201"/>
      <c r="J106" s="201"/>
      <c r="K106" s="201"/>
      <c r="L106" s="201"/>
      <c r="M106" s="201"/>
      <c r="N106" s="201"/>
      <c r="O106" s="201"/>
    </row>
    <row r="107" spans="2:16">
      <c r="B107" s="120"/>
      <c r="C107" s="201"/>
      <c r="D107" s="201"/>
      <c r="E107" s="201"/>
      <c r="F107" s="201"/>
      <c r="G107" s="201"/>
      <c r="H107" s="201"/>
      <c r="I107" s="201"/>
      <c r="J107" s="201"/>
      <c r="K107" s="201"/>
      <c r="L107" s="201"/>
      <c r="M107" s="201"/>
      <c r="N107" s="201"/>
      <c r="O107" s="201"/>
    </row>
    <row r="108" spans="2:16">
      <c r="B108" s="120"/>
      <c r="C108" s="201"/>
      <c r="D108" s="201"/>
      <c r="E108" s="201"/>
      <c r="F108" s="201"/>
      <c r="G108" s="201"/>
      <c r="H108" s="201"/>
      <c r="I108" s="201"/>
      <c r="J108" s="201"/>
      <c r="K108" s="201"/>
      <c r="L108" s="201"/>
      <c r="M108" s="201"/>
      <c r="N108" s="201"/>
      <c r="O108" s="201"/>
    </row>
    <row r="109" spans="2:16">
      <c r="B109" s="120"/>
      <c r="C109" s="201"/>
      <c r="D109" s="201"/>
      <c r="E109" s="201"/>
      <c r="F109" s="201"/>
      <c r="G109" s="201"/>
      <c r="H109" s="201"/>
      <c r="I109" s="201"/>
      <c r="J109" s="201"/>
      <c r="K109" s="201"/>
      <c r="L109" s="201"/>
      <c r="M109" s="201"/>
      <c r="N109" s="201"/>
      <c r="O109" s="201"/>
    </row>
    <row r="110" spans="2:16">
      <c r="B110" s="120"/>
      <c r="C110" s="201"/>
      <c r="D110" s="201"/>
      <c r="E110" s="201"/>
      <c r="F110" s="201"/>
      <c r="G110" s="201"/>
      <c r="H110" s="201"/>
      <c r="I110" s="201"/>
      <c r="J110" s="201"/>
      <c r="K110" s="201"/>
      <c r="L110" s="201"/>
      <c r="M110" s="201"/>
      <c r="N110" s="201"/>
      <c r="O110" s="201"/>
    </row>
    <row r="111" spans="2:16">
      <c r="B111" s="120"/>
      <c r="C111" s="201"/>
      <c r="D111" s="201"/>
      <c r="E111" s="201"/>
      <c r="F111" s="201"/>
      <c r="G111" s="201"/>
      <c r="H111" s="201"/>
      <c r="I111" s="201"/>
      <c r="J111" s="201"/>
      <c r="K111" s="201"/>
      <c r="L111" s="201"/>
      <c r="M111" s="201"/>
      <c r="N111" s="201"/>
      <c r="O111" s="201"/>
    </row>
    <row r="112" spans="2:16">
      <c r="B112" s="120"/>
      <c r="C112" s="201"/>
      <c r="D112" s="201"/>
      <c r="E112" s="201"/>
      <c r="F112" s="201"/>
      <c r="G112" s="201"/>
      <c r="H112" s="201"/>
      <c r="I112" s="201"/>
      <c r="J112" s="201"/>
      <c r="K112" s="201"/>
      <c r="L112" s="201"/>
      <c r="M112" s="201"/>
      <c r="N112" s="201"/>
      <c r="O112" s="201"/>
    </row>
    <row r="113" spans="2:18">
      <c r="B113" s="120"/>
      <c r="C113" s="201"/>
      <c r="D113" s="201"/>
      <c r="E113" s="201"/>
      <c r="F113" s="201"/>
      <c r="G113" s="201"/>
      <c r="H113" s="201"/>
      <c r="I113" s="201"/>
      <c r="J113" s="201"/>
      <c r="K113" s="201"/>
      <c r="L113" s="201"/>
      <c r="M113" s="201"/>
      <c r="N113" s="201"/>
      <c r="O113" s="201"/>
    </row>
    <row r="114" spans="2:18">
      <c r="B114" s="120"/>
      <c r="C114" s="201"/>
      <c r="D114" s="201"/>
      <c r="E114" s="201"/>
      <c r="F114" s="201"/>
      <c r="G114" s="201"/>
      <c r="H114" s="201"/>
      <c r="I114" s="201"/>
      <c r="J114" s="201"/>
      <c r="K114" s="201"/>
      <c r="L114" s="201"/>
      <c r="M114" s="201"/>
      <c r="N114" s="201"/>
      <c r="O114" s="201"/>
    </row>
    <row r="115" spans="2:18">
      <c r="B115" s="120"/>
      <c r="C115" s="201"/>
      <c r="D115" s="201"/>
      <c r="E115" s="201"/>
      <c r="F115" s="201"/>
      <c r="G115" s="201"/>
      <c r="H115" s="201"/>
      <c r="I115" s="201"/>
      <c r="J115" s="201"/>
      <c r="K115" s="201"/>
      <c r="L115" s="201"/>
      <c r="M115" s="201"/>
      <c r="N115" s="201"/>
      <c r="O115" s="201"/>
    </row>
    <row r="116" spans="2:18">
      <c r="B116" s="120"/>
      <c r="C116" s="201"/>
      <c r="D116" s="201"/>
      <c r="E116" s="201"/>
      <c r="F116" s="201"/>
      <c r="G116" s="201"/>
      <c r="H116" s="201"/>
      <c r="I116" s="201"/>
      <c r="J116" s="201"/>
      <c r="K116" s="201"/>
      <c r="L116" s="201"/>
      <c r="M116" s="201"/>
      <c r="N116" s="201"/>
      <c r="O116" s="201"/>
    </row>
    <row r="118" spans="2:18">
      <c r="B118" s="120"/>
      <c r="C118" s="201"/>
      <c r="D118" s="201"/>
      <c r="E118" s="201"/>
      <c r="F118" s="201"/>
      <c r="G118" s="201"/>
      <c r="H118" s="201"/>
      <c r="I118" s="201"/>
      <c r="J118" s="201"/>
      <c r="K118" s="201"/>
      <c r="L118" s="201"/>
      <c r="M118" s="201"/>
      <c r="N118" s="201"/>
      <c r="O118" s="201"/>
    </row>
    <row r="119" spans="2:18">
      <c r="B119" s="120"/>
      <c r="C119" s="201"/>
      <c r="D119" s="201"/>
      <c r="E119" s="201"/>
      <c r="F119" s="201"/>
      <c r="G119" s="201"/>
      <c r="H119" s="201"/>
      <c r="I119" s="201"/>
      <c r="J119" s="201"/>
      <c r="K119" s="201"/>
      <c r="L119" s="201"/>
      <c r="M119" s="201"/>
      <c r="N119" s="201"/>
      <c r="O119" s="201"/>
      <c r="R119" s="207"/>
    </row>
    <row r="121" spans="2:18">
      <c r="B121" s="120"/>
      <c r="C121" s="278"/>
      <c r="D121" s="278"/>
      <c r="E121" s="278"/>
      <c r="F121" s="278"/>
      <c r="G121" s="278"/>
      <c r="H121" s="278"/>
      <c r="I121" s="278"/>
      <c r="J121" s="278"/>
      <c r="K121" s="278"/>
      <c r="L121" s="278"/>
      <c r="M121" s="278"/>
      <c r="N121" s="278"/>
      <c r="O121" s="278"/>
    </row>
    <row r="122" spans="2:18">
      <c r="B122" s="120"/>
      <c r="C122" s="279"/>
      <c r="D122" s="279"/>
      <c r="E122" s="279"/>
      <c r="F122" s="279"/>
      <c r="G122" s="279"/>
      <c r="H122" s="279"/>
      <c r="I122" s="279"/>
      <c r="J122" s="279"/>
      <c r="K122" s="279"/>
      <c r="L122" s="279"/>
      <c r="M122" s="279"/>
      <c r="N122" s="279"/>
      <c r="O122" s="279"/>
    </row>
    <row r="124" spans="2:18">
      <c r="B124" s="143" t="s">
        <v>140</v>
      </c>
      <c r="C124" s="208"/>
      <c r="D124" s="208"/>
      <c r="E124" s="208"/>
      <c r="F124" s="208"/>
      <c r="G124" s="208"/>
      <c r="H124" s="208"/>
      <c r="I124" s="208"/>
      <c r="J124" s="208"/>
      <c r="K124" s="208"/>
      <c r="L124" s="208"/>
      <c r="M124" s="208"/>
      <c r="N124" s="208"/>
      <c r="O124" s="208"/>
    </row>
    <row r="125" spans="2:18">
      <c r="B125" s="198"/>
      <c r="C125" s="199" t="str">
        <f>Dat_01!B140</f>
        <v>M</v>
      </c>
      <c r="D125" s="199" t="str">
        <f>Dat_01!C140</f>
        <v>A</v>
      </c>
      <c r="E125" s="199" t="str">
        <f>Dat_01!D140</f>
        <v>M</v>
      </c>
      <c r="F125" s="199" t="str">
        <f>Dat_01!E140</f>
        <v>J</v>
      </c>
      <c r="G125" s="199" t="str">
        <f>Dat_01!F140</f>
        <v>J</v>
      </c>
      <c r="H125" s="199" t="str">
        <f>Dat_01!G140</f>
        <v>A</v>
      </c>
      <c r="I125" s="199" t="str">
        <f>Dat_01!H140</f>
        <v>S</v>
      </c>
      <c r="J125" s="199" t="str">
        <f>Dat_01!I140</f>
        <v>O</v>
      </c>
      <c r="K125" s="199" t="str">
        <f>Dat_01!J140</f>
        <v>N</v>
      </c>
      <c r="L125" s="199" t="str">
        <f>Dat_01!K140</f>
        <v>D</v>
      </c>
      <c r="M125" s="199" t="str">
        <f>Dat_01!L140</f>
        <v>E</v>
      </c>
      <c r="N125" s="199" t="str">
        <f>Dat_01!M140</f>
        <v>F</v>
      </c>
      <c r="O125" s="199" t="str">
        <f>Dat_01!N140</f>
        <v>M</v>
      </c>
    </row>
    <row r="126" spans="2:18">
      <c r="B126" s="120" t="s">
        <v>2</v>
      </c>
      <c r="C126" s="201">
        <f>C69</f>
        <v>2043.195288889</v>
      </c>
      <c r="D126" s="201">
        <f t="shared" ref="D126:O126" si="9">D69</f>
        <v>1532.7970382829999</v>
      </c>
      <c r="E126" s="201">
        <f t="shared" si="9"/>
        <v>1391.317400074</v>
      </c>
      <c r="F126" s="201">
        <f t="shared" si="9"/>
        <v>1912.966164422</v>
      </c>
      <c r="G126" s="201">
        <f t="shared" si="9"/>
        <v>1303.0717722879999</v>
      </c>
      <c r="H126" s="201">
        <f t="shared" si="9"/>
        <v>966.63222098799997</v>
      </c>
      <c r="I126" s="201">
        <f t="shared" si="9"/>
        <v>929.63253717600003</v>
      </c>
      <c r="J126" s="201">
        <f t="shared" si="9"/>
        <v>1445.246566886</v>
      </c>
      <c r="K126" s="201">
        <f t="shared" si="9"/>
        <v>3449.3918406510002</v>
      </c>
      <c r="L126" s="201">
        <f t="shared" si="9"/>
        <v>3973.5715913580002</v>
      </c>
      <c r="M126" s="201">
        <f t="shared" si="9"/>
        <v>3896.2215926650001</v>
      </c>
      <c r="N126" s="201">
        <f t="shared" si="9"/>
        <v>2981.3167145880002</v>
      </c>
      <c r="O126" s="201">
        <f t="shared" si="9"/>
        <v>4622.0192777359998</v>
      </c>
      <c r="P126" s="209"/>
    </row>
    <row r="127" spans="2:18">
      <c r="B127" s="120" t="s">
        <v>81</v>
      </c>
      <c r="C127" s="201">
        <f t="shared" ref="C127:O139" si="10">C70</f>
        <v>540.07979424799998</v>
      </c>
      <c r="D127" s="201">
        <f t="shared" si="10"/>
        <v>611.59025412400001</v>
      </c>
      <c r="E127" s="201">
        <f t="shared" si="10"/>
        <v>482.56337790999999</v>
      </c>
      <c r="F127" s="201">
        <f t="shared" si="10"/>
        <v>288.68313398599997</v>
      </c>
      <c r="G127" s="201">
        <f t="shared" si="10"/>
        <v>317.62358116000001</v>
      </c>
      <c r="H127" s="201">
        <f t="shared" si="10"/>
        <v>417.21605209199998</v>
      </c>
      <c r="I127" s="201">
        <f t="shared" si="10"/>
        <v>351.92025856800001</v>
      </c>
      <c r="J127" s="201">
        <f t="shared" si="10"/>
        <v>486.13972009100002</v>
      </c>
      <c r="K127" s="201">
        <f t="shared" si="10"/>
        <v>450.50809918800002</v>
      </c>
      <c r="L127" s="201">
        <f t="shared" si="10"/>
        <v>445.30388932199997</v>
      </c>
      <c r="M127" s="201">
        <f t="shared" si="10"/>
        <v>451.57611214299999</v>
      </c>
      <c r="N127" s="201">
        <f t="shared" si="10"/>
        <v>539.383918204</v>
      </c>
      <c r="O127" s="201">
        <f t="shared" si="10"/>
        <v>576.58255640799996</v>
      </c>
    </row>
    <row r="128" spans="2:18">
      <c r="B128" s="120" t="s">
        <v>3</v>
      </c>
      <c r="C128" s="201">
        <f t="shared" si="10"/>
        <v>5102.2896650000002</v>
      </c>
      <c r="D128" s="201">
        <f t="shared" si="10"/>
        <v>4567.2530120000001</v>
      </c>
      <c r="E128" s="201">
        <f t="shared" si="10"/>
        <v>3741.7683910000001</v>
      </c>
      <c r="F128" s="201">
        <f t="shared" si="10"/>
        <v>4008.7212100000002</v>
      </c>
      <c r="G128" s="201">
        <f t="shared" si="10"/>
        <v>5123.1471769999998</v>
      </c>
      <c r="H128" s="201">
        <f t="shared" si="10"/>
        <v>5008.274547</v>
      </c>
      <c r="I128" s="201">
        <f t="shared" si="10"/>
        <v>4546.8185190000004</v>
      </c>
      <c r="J128" s="201">
        <f t="shared" si="10"/>
        <v>3741.7340180000001</v>
      </c>
      <c r="K128" s="201">
        <f t="shared" si="10"/>
        <v>3761.317407</v>
      </c>
      <c r="L128" s="201">
        <f t="shared" si="10"/>
        <v>4990.0784999999996</v>
      </c>
      <c r="M128" s="201">
        <f t="shared" si="10"/>
        <v>5160.8013369999999</v>
      </c>
      <c r="N128" s="201">
        <f t="shared" si="10"/>
        <v>4509.5937249999997</v>
      </c>
      <c r="O128" s="201">
        <f t="shared" si="10"/>
        <v>3470.760636</v>
      </c>
    </row>
    <row r="129" spans="2:15">
      <c r="B129" s="120" t="s">
        <v>4</v>
      </c>
      <c r="C129" s="201">
        <f t="shared" si="10"/>
        <v>424.61757399999999</v>
      </c>
      <c r="D129" s="201">
        <f t="shared" si="10"/>
        <v>250.49709999999999</v>
      </c>
      <c r="E129" s="201">
        <f t="shared" si="10"/>
        <v>240.394893</v>
      </c>
      <c r="F129" s="201">
        <f t="shared" si="10"/>
        <v>297.64954599999999</v>
      </c>
      <c r="G129" s="201">
        <f t="shared" si="10"/>
        <v>278.085915</v>
      </c>
      <c r="H129" s="201">
        <f t="shared" si="10"/>
        <v>405.98407800000001</v>
      </c>
      <c r="I129" s="201">
        <f t="shared" si="10"/>
        <v>401.51815299999998</v>
      </c>
      <c r="J129" s="201">
        <f t="shared" si="10"/>
        <v>373.47347600000001</v>
      </c>
      <c r="K129" s="201">
        <f t="shared" si="10"/>
        <v>221.507746</v>
      </c>
      <c r="L129" s="201">
        <f t="shared" si="10"/>
        <v>212.48337599999999</v>
      </c>
      <c r="M129" s="201">
        <f t="shared" si="10"/>
        <v>268.85188900000003</v>
      </c>
      <c r="N129" s="201">
        <f t="shared" si="10"/>
        <v>206.83761699999999</v>
      </c>
      <c r="O129" s="201">
        <f t="shared" si="10"/>
        <v>209.65913499999999</v>
      </c>
    </row>
    <row r="130" spans="2:15">
      <c r="B130" s="120" t="s">
        <v>128</v>
      </c>
      <c r="C130" s="201">
        <f t="shared" si="10"/>
        <v>0</v>
      </c>
      <c r="D130" s="201">
        <f t="shared" si="10"/>
        <v>0</v>
      </c>
      <c r="E130" s="201">
        <f t="shared" si="10"/>
        <v>0</v>
      </c>
      <c r="F130" s="201">
        <f t="shared" si="10"/>
        <v>0</v>
      </c>
      <c r="G130" s="201">
        <f t="shared" si="10"/>
        <v>0</v>
      </c>
      <c r="H130" s="201">
        <f t="shared" si="10"/>
        <v>0</v>
      </c>
      <c r="I130" s="201">
        <f t="shared" si="10"/>
        <v>0</v>
      </c>
      <c r="J130" s="201">
        <f t="shared" si="10"/>
        <v>0</v>
      </c>
      <c r="K130" s="201">
        <f t="shared" si="10"/>
        <v>0</v>
      </c>
      <c r="L130" s="201">
        <f t="shared" si="10"/>
        <v>0</v>
      </c>
      <c r="M130" s="201">
        <f t="shared" si="10"/>
        <v>0</v>
      </c>
      <c r="N130" s="201">
        <f t="shared" si="10"/>
        <v>0</v>
      </c>
      <c r="O130" s="201">
        <f t="shared" si="10"/>
        <v>0</v>
      </c>
    </row>
    <row r="131" spans="2:15">
      <c r="B131" s="120" t="s">
        <v>129</v>
      </c>
      <c r="C131" s="201">
        <f t="shared" si="10"/>
        <v>2596.2711089999998</v>
      </c>
      <c r="D131" s="201">
        <f t="shared" si="10"/>
        <v>2387.6938829999999</v>
      </c>
      <c r="E131" s="201">
        <f t="shared" si="10"/>
        <v>2826.458556</v>
      </c>
      <c r="F131" s="201">
        <f t="shared" si="10"/>
        <v>4052.7489780000001</v>
      </c>
      <c r="G131" s="201">
        <f t="shared" si="10"/>
        <v>4383.6223309999996</v>
      </c>
      <c r="H131" s="201">
        <f t="shared" si="10"/>
        <v>4368.1142330000002</v>
      </c>
      <c r="I131" s="201">
        <f t="shared" si="10"/>
        <v>4240.7922829999998</v>
      </c>
      <c r="J131" s="201">
        <f t="shared" si="10"/>
        <v>3454.1032340000002</v>
      </c>
      <c r="K131" s="201">
        <f t="shared" si="10"/>
        <v>2337.3704469999998</v>
      </c>
      <c r="L131" s="201">
        <f t="shared" si="10"/>
        <v>2614.9533230000002</v>
      </c>
      <c r="M131" s="201">
        <f t="shared" si="10"/>
        <v>2758.3653610000001</v>
      </c>
      <c r="N131" s="201">
        <f t="shared" si="10"/>
        <v>1582.038761</v>
      </c>
      <c r="O131" s="201">
        <f t="shared" si="10"/>
        <v>1658.3286880000001</v>
      </c>
    </row>
    <row r="132" spans="2:15">
      <c r="B132" s="120" t="s">
        <v>5</v>
      </c>
      <c r="C132" s="201">
        <f t="shared" si="10"/>
        <v>6562.9494439999999</v>
      </c>
      <c r="D132" s="201">
        <f t="shared" si="10"/>
        <v>4798.0341330000001</v>
      </c>
      <c r="E132" s="201">
        <f t="shared" si="10"/>
        <v>5330.5438809999996</v>
      </c>
      <c r="F132" s="201">
        <f t="shared" si="10"/>
        <v>3017.4135729999998</v>
      </c>
      <c r="G132" s="201">
        <f t="shared" si="10"/>
        <v>3650.5355380000001</v>
      </c>
      <c r="H132" s="201">
        <f t="shared" si="10"/>
        <v>4088.245336</v>
      </c>
      <c r="I132" s="201">
        <f t="shared" si="10"/>
        <v>3493.5598100000002</v>
      </c>
      <c r="J132" s="201">
        <f t="shared" si="10"/>
        <v>5706.4825490000003</v>
      </c>
      <c r="K132" s="201">
        <f t="shared" si="10"/>
        <v>6895.4752040000003</v>
      </c>
      <c r="L132" s="201">
        <f t="shared" si="10"/>
        <v>5741.1681920000001</v>
      </c>
      <c r="M132" s="201">
        <f t="shared" si="10"/>
        <v>5637.6258340000004</v>
      </c>
      <c r="N132" s="201">
        <f t="shared" si="10"/>
        <v>6836.4947759999995</v>
      </c>
      <c r="O132" s="201">
        <f t="shared" si="10"/>
        <v>6037.2126539999999</v>
      </c>
    </row>
    <row r="133" spans="2:15">
      <c r="B133" s="120" t="s">
        <v>130</v>
      </c>
      <c r="C133" s="201">
        <f t="shared" si="10"/>
        <v>3026.359449</v>
      </c>
      <c r="D133" s="201">
        <f t="shared" si="10"/>
        <v>3706.5430190000002</v>
      </c>
      <c r="E133" s="201">
        <f t="shared" si="10"/>
        <v>3795.9065730000002</v>
      </c>
      <c r="F133" s="201">
        <f t="shared" si="10"/>
        <v>3780.393454</v>
      </c>
      <c r="G133" s="201">
        <f t="shared" si="10"/>
        <v>4475.9036299999998</v>
      </c>
      <c r="H133" s="201">
        <f t="shared" si="10"/>
        <v>4376.8469839999998</v>
      </c>
      <c r="I133" s="201">
        <f t="shared" si="10"/>
        <v>3295.670611</v>
      </c>
      <c r="J133" s="201">
        <f t="shared" si="10"/>
        <v>2566.3154300000001</v>
      </c>
      <c r="K133" s="201">
        <f t="shared" si="10"/>
        <v>1946.5475630000001</v>
      </c>
      <c r="L133" s="201">
        <f t="shared" si="10"/>
        <v>1820.6462019999999</v>
      </c>
      <c r="M133" s="201">
        <f t="shared" si="10"/>
        <v>1859.956492</v>
      </c>
      <c r="N133" s="201">
        <f t="shared" si="10"/>
        <v>2544.8560080000002</v>
      </c>
      <c r="O133" s="201">
        <f t="shared" si="10"/>
        <v>2983.5408170000001</v>
      </c>
    </row>
    <row r="134" spans="2:15">
      <c r="B134" s="120" t="s">
        <v>131</v>
      </c>
      <c r="C134" s="201">
        <f t="shared" si="10"/>
        <v>409.93961899999999</v>
      </c>
      <c r="D134" s="201">
        <f t="shared" si="10"/>
        <v>625.72451000000001</v>
      </c>
      <c r="E134" s="201">
        <f t="shared" si="10"/>
        <v>500.29015700000002</v>
      </c>
      <c r="F134" s="201">
        <f t="shared" si="10"/>
        <v>541.44321600000001</v>
      </c>
      <c r="G134" s="201">
        <f t="shared" si="10"/>
        <v>768.13673300000005</v>
      </c>
      <c r="H134" s="201">
        <f t="shared" si="10"/>
        <v>719.76334299999996</v>
      </c>
      <c r="I134" s="201">
        <f t="shared" si="10"/>
        <v>400.78732400000001</v>
      </c>
      <c r="J134" s="201">
        <f t="shared" si="10"/>
        <v>226.73819900000001</v>
      </c>
      <c r="K134" s="201">
        <f t="shared" si="10"/>
        <v>111.28416799999999</v>
      </c>
      <c r="L134" s="201">
        <f t="shared" si="10"/>
        <v>92.059718000000004</v>
      </c>
      <c r="M134" s="201">
        <f t="shared" si="10"/>
        <v>94.242966999999993</v>
      </c>
      <c r="N134" s="201">
        <f t="shared" si="10"/>
        <v>176.41685799999999</v>
      </c>
      <c r="O134" s="201">
        <f t="shared" si="10"/>
        <v>151.73508200000001</v>
      </c>
    </row>
    <row r="135" spans="2:15">
      <c r="B135" s="120" t="s">
        <v>9</v>
      </c>
      <c r="C135" s="201">
        <f t="shared" si="10"/>
        <v>1726.7644049999999</v>
      </c>
      <c r="D135" s="201">
        <f t="shared" si="10"/>
        <v>1572.4450019999999</v>
      </c>
      <c r="E135" s="201">
        <f t="shared" si="10"/>
        <v>1702.635225</v>
      </c>
      <c r="F135" s="201">
        <f t="shared" si="10"/>
        <v>1724.8432869999999</v>
      </c>
      <c r="G135" s="201">
        <f t="shared" si="10"/>
        <v>1477.1990989999999</v>
      </c>
      <c r="H135" s="201">
        <f t="shared" si="10"/>
        <v>1302.218576</v>
      </c>
      <c r="I135" s="201">
        <f t="shared" si="10"/>
        <v>1430.8498970000001</v>
      </c>
      <c r="J135" s="201">
        <f t="shared" si="10"/>
        <v>1244.633681</v>
      </c>
      <c r="K135" s="201">
        <f t="shared" si="10"/>
        <v>964.46819100000005</v>
      </c>
      <c r="L135" s="201">
        <f t="shared" si="10"/>
        <v>1180.951693</v>
      </c>
      <c r="M135" s="201">
        <f t="shared" si="10"/>
        <v>1694.552316</v>
      </c>
      <c r="N135" s="201">
        <f t="shared" si="10"/>
        <v>1363.1187210000001</v>
      </c>
      <c r="O135" s="201">
        <f t="shared" si="10"/>
        <v>1165.9289080000001</v>
      </c>
    </row>
    <row r="136" spans="2:15">
      <c r="B136" s="120" t="s">
        <v>132</v>
      </c>
      <c r="C136" s="201">
        <f t="shared" si="10"/>
        <v>110.360659</v>
      </c>
      <c r="D136" s="201">
        <f t="shared" si="10"/>
        <v>80.064349500000006</v>
      </c>
      <c r="E136" s="201">
        <f t="shared" si="10"/>
        <v>58.672222499999997</v>
      </c>
      <c r="F136" s="201">
        <f t="shared" si="10"/>
        <v>106.86346</v>
      </c>
      <c r="G136" s="201">
        <f t="shared" si="10"/>
        <v>113.404867</v>
      </c>
      <c r="H136" s="201">
        <f t="shared" si="10"/>
        <v>104.296549</v>
      </c>
      <c r="I136" s="201">
        <f t="shared" si="10"/>
        <v>106.0009465</v>
      </c>
      <c r="J136" s="201">
        <f t="shared" si="10"/>
        <v>108.36413899999999</v>
      </c>
      <c r="K136" s="201">
        <f t="shared" si="10"/>
        <v>89.150436999999997</v>
      </c>
      <c r="L136" s="201">
        <f t="shared" si="10"/>
        <v>102.220887</v>
      </c>
      <c r="M136" s="201">
        <f t="shared" si="10"/>
        <v>95.291753499999999</v>
      </c>
      <c r="N136" s="201">
        <f t="shared" si="10"/>
        <v>79.311832999999993</v>
      </c>
      <c r="O136" s="201">
        <f t="shared" si="10"/>
        <v>59.9403875</v>
      </c>
    </row>
    <row r="137" spans="2:15">
      <c r="B137" s="120" t="s">
        <v>133</v>
      </c>
      <c r="C137" s="201">
        <f t="shared" si="10"/>
        <v>62.173029999999997</v>
      </c>
      <c r="D137" s="201">
        <f t="shared" si="10"/>
        <v>46.745470500000003</v>
      </c>
      <c r="E137" s="201">
        <f t="shared" si="10"/>
        <v>32.738592500000003</v>
      </c>
      <c r="F137" s="201">
        <f t="shared" si="10"/>
        <v>65.021735000000007</v>
      </c>
      <c r="G137" s="201">
        <f t="shared" si="10"/>
        <v>70.556624999999997</v>
      </c>
      <c r="H137" s="201">
        <f t="shared" si="10"/>
        <v>62.106560000000002</v>
      </c>
      <c r="I137" s="201">
        <f t="shared" si="10"/>
        <v>63.283716499999997</v>
      </c>
      <c r="J137" s="201">
        <f t="shared" si="10"/>
        <v>65.383654000000007</v>
      </c>
      <c r="K137" s="201">
        <f t="shared" si="10"/>
        <v>52.408155000000001</v>
      </c>
      <c r="L137" s="201">
        <f t="shared" si="10"/>
        <v>65.083246000000003</v>
      </c>
      <c r="M137" s="201">
        <f t="shared" si="10"/>
        <v>58.133075499999997</v>
      </c>
      <c r="N137" s="201">
        <f t="shared" si="10"/>
        <v>53.101937</v>
      </c>
      <c r="O137" s="201">
        <f t="shared" si="10"/>
        <v>40.449704500000003</v>
      </c>
    </row>
    <row r="138" spans="2:15">
      <c r="B138" s="120" t="s">
        <v>134</v>
      </c>
      <c r="C138" s="201">
        <f t="shared" si="10"/>
        <v>307.07592899999997</v>
      </c>
      <c r="D138" s="201">
        <f t="shared" si="10"/>
        <v>272.39934599999998</v>
      </c>
      <c r="E138" s="201">
        <f t="shared" si="10"/>
        <v>336.75007499999998</v>
      </c>
      <c r="F138" s="201">
        <f t="shared" si="10"/>
        <v>321.04170599999998</v>
      </c>
      <c r="G138" s="201">
        <f t="shared" si="10"/>
        <v>319.13790999999998</v>
      </c>
      <c r="H138" s="201">
        <f t="shared" si="10"/>
        <v>339.53788500000002</v>
      </c>
      <c r="I138" s="201">
        <f t="shared" si="10"/>
        <v>284.53883400000001</v>
      </c>
      <c r="J138" s="201">
        <f t="shared" si="10"/>
        <v>262.341748</v>
      </c>
      <c r="K138" s="201">
        <f t="shared" si="10"/>
        <v>237.95199600000001</v>
      </c>
      <c r="L138" s="201">
        <f t="shared" si="10"/>
        <v>254.011473</v>
      </c>
      <c r="M138" s="201">
        <f t="shared" si="10"/>
        <v>281.89705400000003</v>
      </c>
      <c r="N138" s="201">
        <f t="shared" si="10"/>
        <v>257.40937400000001</v>
      </c>
      <c r="O138" s="201">
        <f t="shared" si="10"/>
        <v>308.99560500000001</v>
      </c>
    </row>
    <row r="139" spans="2:15">
      <c r="B139" s="120" t="s">
        <v>135</v>
      </c>
      <c r="C139" s="201">
        <f t="shared" si="10"/>
        <v>22912.075966137003</v>
      </c>
      <c r="D139" s="201">
        <f t="shared" si="10"/>
        <v>20451.787117406999</v>
      </c>
      <c r="E139" s="201">
        <f t="shared" si="10"/>
        <v>20440.039343984005</v>
      </c>
      <c r="F139" s="201">
        <f t="shared" si="10"/>
        <v>20117.789463407997</v>
      </c>
      <c r="G139" s="201">
        <f t="shared" si="10"/>
        <v>22280.425178448004</v>
      </c>
      <c r="H139" s="201">
        <f t="shared" si="10"/>
        <v>22159.236364079999</v>
      </c>
      <c r="I139" s="201">
        <f t="shared" si="10"/>
        <v>19545.372889743998</v>
      </c>
      <c r="J139" s="201">
        <f t="shared" si="10"/>
        <v>19680.956414977001</v>
      </c>
      <c r="K139" s="201">
        <f t="shared" si="10"/>
        <v>20517.381253839001</v>
      </c>
      <c r="L139" s="201">
        <f t="shared" si="10"/>
        <v>21492.532090679993</v>
      </c>
      <c r="M139" s="201">
        <f t="shared" si="10"/>
        <v>22257.515783808005</v>
      </c>
      <c r="N139" s="201">
        <f t="shared" si="10"/>
        <v>21129.880242791995</v>
      </c>
      <c r="O139" s="201">
        <f t="shared" si="10"/>
        <v>21285.153451143997</v>
      </c>
    </row>
    <row r="140" spans="2:15">
      <c r="B140" s="120" t="s">
        <v>136</v>
      </c>
      <c r="C140" s="201"/>
      <c r="D140" s="201"/>
      <c r="E140" s="201"/>
      <c r="F140" s="201"/>
      <c r="G140" s="201"/>
      <c r="H140" s="201"/>
      <c r="I140" s="201"/>
      <c r="J140" s="201"/>
      <c r="K140" s="201"/>
      <c r="L140" s="201"/>
      <c r="M140" s="201"/>
      <c r="N140" s="201"/>
      <c r="O140" s="201"/>
    </row>
    <row r="141" spans="2:15">
      <c r="B141" s="120" t="s">
        <v>137</v>
      </c>
      <c r="C141" s="201"/>
      <c r="D141" s="201"/>
      <c r="E141" s="201"/>
      <c r="F141" s="201"/>
      <c r="G141" s="201"/>
      <c r="H141" s="201"/>
      <c r="I141" s="201"/>
      <c r="J141" s="201"/>
      <c r="K141" s="201"/>
      <c r="L141" s="201"/>
      <c r="M141" s="201"/>
      <c r="N141" s="201"/>
      <c r="O141" s="201"/>
    </row>
    <row r="142" spans="2:15">
      <c r="B142" s="120" t="s">
        <v>138</v>
      </c>
      <c r="C142" s="201"/>
      <c r="D142" s="201"/>
      <c r="E142" s="201"/>
      <c r="F142" s="201"/>
      <c r="G142" s="201"/>
      <c r="H142" s="201"/>
      <c r="I142" s="201"/>
      <c r="J142" s="201"/>
      <c r="K142" s="201"/>
      <c r="L142" s="201"/>
      <c r="M142" s="201"/>
      <c r="N142" s="201"/>
      <c r="O142" s="201"/>
    </row>
    <row r="143" spans="2:15">
      <c r="B143" s="202" t="s">
        <v>139</v>
      </c>
      <c r="C143" s="203"/>
      <c r="D143" s="203"/>
      <c r="E143" s="203"/>
      <c r="F143" s="203"/>
      <c r="G143" s="203"/>
      <c r="H143" s="203"/>
      <c r="I143" s="203"/>
      <c r="J143" s="203"/>
      <c r="K143" s="203"/>
      <c r="L143" s="203"/>
      <c r="M143" s="203"/>
      <c r="N143" s="203"/>
      <c r="O143" s="203"/>
    </row>
    <row r="145" spans="2:15">
      <c r="B145" s="204" t="s">
        <v>17</v>
      </c>
      <c r="C145" s="205">
        <f>SUM(C126,C132:C134,C137:C138)</f>
        <v>12411.692759889</v>
      </c>
      <c r="D145" s="205">
        <f t="shared" ref="D145:N145" si="11">SUM(D126,D132:D134,D137:D138)</f>
        <v>10982.243516783001</v>
      </c>
      <c r="E145" s="205">
        <f t="shared" si="11"/>
        <v>11387.546678573999</v>
      </c>
      <c r="F145" s="205">
        <f t="shared" si="11"/>
        <v>9638.2798484219984</v>
      </c>
      <c r="G145" s="205">
        <f t="shared" si="11"/>
        <v>10587.342208287999</v>
      </c>
      <c r="H145" s="205">
        <f t="shared" si="11"/>
        <v>10553.132328988</v>
      </c>
      <c r="I145" s="205">
        <f t="shared" si="11"/>
        <v>8467.4728326759996</v>
      </c>
      <c r="J145" s="205">
        <f t="shared" si="11"/>
        <v>10272.508146886001</v>
      </c>
      <c r="K145" s="205">
        <f t="shared" si="11"/>
        <v>12693.058926651</v>
      </c>
      <c r="L145" s="205">
        <f t="shared" si="11"/>
        <v>11946.540422358001</v>
      </c>
      <c r="M145" s="205">
        <f t="shared" si="11"/>
        <v>11828.077015164999</v>
      </c>
      <c r="N145" s="205">
        <f t="shared" si="11"/>
        <v>12849.595667588001</v>
      </c>
      <c r="O145" s="205">
        <f>SUM(O126,O132:O134,O137:O138)</f>
        <v>14143.953140235999</v>
      </c>
    </row>
    <row r="146" spans="2:15">
      <c r="B146" s="202" t="s">
        <v>16</v>
      </c>
      <c r="C146" s="203">
        <f>SUM(C127:C131,C135:C136)</f>
        <v>10500.383206248</v>
      </c>
      <c r="D146" s="203">
        <f t="shared" ref="D146:O146" si="12">SUM(D127:D131,D135:D136)</f>
        <v>9469.5436006239997</v>
      </c>
      <c r="E146" s="203">
        <f t="shared" si="12"/>
        <v>9052.49266541</v>
      </c>
      <c r="F146" s="203">
        <f t="shared" si="12"/>
        <v>10479.509614986</v>
      </c>
      <c r="G146" s="203">
        <f t="shared" si="12"/>
        <v>11693.082970159998</v>
      </c>
      <c r="H146" s="203">
        <f t="shared" si="12"/>
        <v>11606.104035091999</v>
      </c>
      <c r="I146" s="203">
        <f t="shared" si="12"/>
        <v>11077.900057068</v>
      </c>
      <c r="J146" s="203">
        <f t="shared" si="12"/>
        <v>9408.4482680909987</v>
      </c>
      <c r="K146" s="203">
        <f t="shared" si="12"/>
        <v>7824.3223271879997</v>
      </c>
      <c r="L146" s="203">
        <f t="shared" si="12"/>
        <v>9545.9916683219999</v>
      </c>
      <c r="M146" s="203">
        <f t="shared" si="12"/>
        <v>10429.438768642998</v>
      </c>
      <c r="N146" s="203">
        <f t="shared" si="12"/>
        <v>8280.2845752039993</v>
      </c>
      <c r="O146" s="203">
        <f t="shared" si="12"/>
        <v>7141.2003109080006</v>
      </c>
    </row>
    <row r="148" spans="2:15">
      <c r="B148" s="204" t="s">
        <v>17</v>
      </c>
      <c r="C148" s="206">
        <f>SUM(C126/SUM(C145:C146)*100,C132/SUM(C145:C146)*100,C133/SUM(C145:C146)*100,C134/SUM(C145:C146)*100,C137/SUM(C145:C146)*100,C138/SUM(C145:C146)*100)</f>
        <v>54.170965469182775</v>
      </c>
      <c r="D148" s="206">
        <f t="shared" ref="D148:I148" si="13">SUM(D126/SUM(D145:D146)*100,D132/SUM(D145:D146)*100,D133/SUM(D145:D146)*100,D134/SUM(D145:D146)*100,D137/SUM(D145:D146)*100,D138/SUM(D145:D146)*100)</f>
        <v>53.698209617269832</v>
      </c>
      <c r="E148" s="206">
        <f t="shared" si="13"/>
        <v>55.711960661786271</v>
      </c>
      <c r="F148" s="206">
        <f t="shared" si="13"/>
        <v>47.909239064028121</v>
      </c>
      <c r="G148" s="206">
        <f t="shared" si="13"/>
        <v>47.518582448458865</v>
      </c>
      <c r="H148" s="206">
        <f t="shared" si="13"/>
        <v>47.624079438470943</v>
      </c>
      <c r="I148" s="206">
        <f t="shared" si="13"/>
        <v>43.322135016002271</v>
      </c>
      <c r="J148" s="206">
        <f>SUM(J126/SUM(J145:J146)*100,J132/SUM(J145:J146)*100,J133/SUM(J145:J146)*100,J134/SUM(J145:J146)*100,J137/SUM(J145:J146)*100,J138/SUM(J145:J146)*100)</f>
        <v>52.195167400852178</v>
      </c>
      <c r="K148" s="206">
        <f t="shared" ref="K148:O148" si="14">SUM(K126/SUM(K145:K146)*100,K132/SUM(K145:K146)*100,K133/SUM(K145:K146)*100,K134/SUM(K145:K146)*100,K137/SUM(K145:K146)*100,K138/SUM(K145:K146)*100)</f>
        <v>61.864907463646254</v>
      </c>
      <c r="L148" s="206">
        <f t="shared" si="14"/>
        <v>55.584611305703184</v>
      </c>
      <c r="M148" s="206">
        <f t="shared" si="14"/>
        <v>53.141945983791004</v>
      </c>
      <c r="N148" s="206">
        <f t="shared" si="14"/>
        <v>60.81243963496366</v>
      </c>
      <c r="O148" s="206">
        <f t="shared" si="14"/>
        <v>66.449852817367457</v>
      </c>
    </row>
    <row r="149" spans="2:15">
      <c r="B149" s="202" t="s">
        <v>16</v>
      </c>
      <c r="C149" s="266">
        <f t="shared" ref="C149" si="15">100-C148</f>
        <v>45.829034530817225</v>
      </c>
      <c r="D149" s="266">
        <f t="shared" ref="D149:J149" si="16">100-D148</f>
        <v>46.301790382730168</v>
      </c>
      <c r="E149" s="266">
        <f t="shared" si="16"/>
        <v>44.288039338213729</v>
      </c>
      <c r="F149" s="266">
        <f t="shared" si="16"/>
        <v>52.090760935971879</v>
      </c>
      <c r="G149" s="266">
        <f t="shared" si="16"/>
        <v>52.481417551541135</v>
      </c>
      <c r="H149" s="266">
        <f t="shared" si="16"/>
        <v>52.375920561529057</v>
      </c>
      <c r="I149" s="266">
        <f t="shared" si="16"/>
        <v>56.677864983997729</v>
      </c>
      <c r="J149" s="266">
        <f t="shared" si="16"/>
        <v>47.804832599147822</v>
      </c>
      <c r="K149" s="266">
        <f t="shared" ref="K149:O149" si="17">100-K148</f>
        <v>38.135092536353746</v>
      </c>
      <c r="L149" s="266">
        <f t="shared" si="17"/>
        <v>44.415388694296816</v>
      </c>
      <c r="M149" s="266">
        <f t="shared" si="17"/>
        <v>46.858054016208996</v>
      </c>
      <c r="N149" s="266">
        <f t="shared" si="17"/>
        <v>39.18756036503634</v>
      </c>
      <c r="O149" s="266">
        <f t="shared" si="17"/>
        <v>33.550147182632543</v>
      </c>
    </row>
    <row r="153" spans="2:15">
      <c r="B153" s="143" t="s">
        <v>24</v>
      </c>
    </row>
    <row r="154" spans="2:15">
      <c r="B154" s="204"/>
      <c r="C154" s="204"/>
      <c r="D154" s="316" t="s">
        <v>22</v>
      </c>
      <c r="E154" s="316" t="s">
        <v>23</v>
      </c>
      <c r="F154" s="316" t="s">
        <v>216</v>
      </c>
      <c r="G154" s="316" t="s">
        <v>217</v>
      </c>
    </row>
    <row r="155" spans="2:15">
      <c r="B155" s="202" t="s">
        <v>141</v>
      </c>
      <c r="C155" s="202" t="s">
        <v>142</v>
      </c>
      <c r="D155" s="317"/>
      <c r="E155" s="317"/>
      <c r="F155" s="317"/>
      <c r="G155" s="317"/>
    </row>
    <row r="156" spans="2:15">
      <c r="B156" s="210">
        <f>DATE(YEAR(Dat_01!B$2),MONTH(Dat_01!B$2),Dat_01!A180)</f>
        <v>45352</v>
      </c>
      <c r="C156" s="120">
        <f>Dat_01!A180</f>
        <v>1</v>
      </c>
      <c r="D156" s="201">
        <f>Dat_01!W180</f>
        <v>302.524857</v>
      </c>
      <c r="E156" s="211">
        <f>Dat_01!V180</f>
        <v>37.911733009489694</v>
      </c>
      <c r="F156" s="211">
        <f>Dat_01!Y180</f>
        <v>121.60061599999999</v>
      </c>
      <c r="G156" s="211">
        <f>Dat_01!X180</f>
        <v>15.238715037493533</v>
      </c>
    </row>
    <row r="157" spans="2:15">
      <c r="B157" s="210">
        <f>DATE(YEAR(Dat_01!B$2),MONTH(Dat_01!B$2),Dat_01!A181)</f>
        <v>45353</v>
      </c>
      <c r="C157" s="120">
        <f>Dat_01!A181</f>
        <v>2</v>
      </c>
      <c r="D157" s="201">
        <f>Dat_01!W181</f>
        <v>308.22680099999997</v>
      </c>
      <c r="E157" s="211">
        <f>Dat_01!V181</f>
        <v>44.042935842295414</v>
      </c>
      <c r="F157" s="211">
        <f>Dat_01!Y181</f>
        <v>55.331459000000002</v>
      </c>
      <c r="G157" s="211">
        <f>Dat_01!X181</f>
        <v>7.9063854632083057</v>
      </c>
    </row>
    <row r="158" spans="2:15">
      <c r="B158" s="210">
        <f>DATE(YEAR(Dat_01!B$2),MONTH(Dat_01!B$2),Dat_01!A182)</f>
        <v>45354</v>
      </c>
      <c r="C158" s="120">
        <f>Dat_01!A182</f>
        <v>3</v>
      </c>
      <c r="D158" s="201">
        <f>Dat_01!W182</f>
        <v>270.08899099999996</v>
      </c>
      <c r="E158" s="211">
        <f>Dat_01!V182</f>
        <v>38.515398099984402</v>
      </c>
      <c r="F158" s="211">
        <f>Dat_01!Y182</f>
        <v>96.291117999999997</v>
      </c>
      <c r="G158" s="211">
        <f>Dat_01!X182</f>
        <v>13.731365834391132</v>
      </c>
    </row>
    <row r="159" spans="2:15">
      <c r="B159" s="210">
        <f>DATE(YEAR(Dat_01!B$2),MONTH(Dat_01!B$2),Dat_01!A183)</f>
        <v>45355</v>
      </c>
      <c r="C159" s="120">
        <f>Dat_01!A183</f>
        <v>4</v>
      </c>
      <c r="D159" s="201">
        <f>Dat_01!W183</f>
        <v>301.84651700000001</v>
      </c>
      <c r="E159" s="211">
        <f>Dat_01!V183</f>
        <v>41.444130259049942</v>
      </c>
      <c r="F159" s="211">
        <f>Dat_01!Y183</f>
        <v>72.200810000000004</v>
      </c>
      <c r="G159" s="211">
        <f>Dat_01!X183</f>
        <v>9.9133155624549278</v>
      </c>
    </row>
    <row r="160" spans="2:15">
      <c r="B160" s="210">
        <f>DATE(YEAR(Dat_01!B$2),MONTH(Dat_01!B$2),Dat_01!A184)</f>
        <v>45356</v>
      </c>
      <c r="C160" s="120">
        <f>Dat_01!A184</f>
        <v>5</v>
      </c>
      <c r="D160" s="201">
        <f>Dat_01!W184</f>
        <v>139.309166</v>
      </c>
      <c r="E160" s="211">
        <f>Dat_01!V184</f>
        <v>19.297256529409879</v>
      </c>
      <c r="F160" s="211">
        <f>Dat_01!Y184</f>
        <v>141.17894699999999</v>
      </c>
      <c r="G160" s="211">
        <f>Dat_01!X184</f>
        <v>19.55626061827806</v>
      </c>
    </row>
    <row r="161" spans="2:7">
      <c r="B161" s="210">
        <f>DATE(YEAR(Dat_01!B$2),MONTH(Dat_01!B$2),Dat_01!A185)</f>
        <v>45357</v>
      </c>
      <c r="C161" s="120">
        <f>Dat_01!A185</f>
        <v>6</v>
      </c>
      <c r="D161" s="201">
        <f>Dat_01!W185</f>
        <v>73.999161999999998</v>
      </c>
      <c r="E161" s="211">
        <f>Dat_01!V185</f>
        <v>10.664347117708116</v>
      </c>
      <c r="F161" s="211">
        <f>Dat_01!Y185</f>
        <v>139.45210699999998</v>
      </c>
      <c r="G161" s="211">
        <f>Dat_01!X185</f>
        <v>20.097061036228673</v>
      </c>
    </row>
    <row r="162" spans="2:7">
      <c r="B162" s="210">
        <f>DATE(YEAR(Dat_01!B$2),MONTH(Dat_01!B$2),Dat_01!A186)</f>
        <v>45358</v>
      </c>
      <c r="C162" s="120">
        <f>Dat_01!A186</f>
        <v>7</v>
      </c>
      <c r="D162" s="201">
        <f>Dat_01!W186</f>
        <v>286.18137800000005</v>
      </c>
      <c r="E162" s="211">
        <f>Dat_01!V186</f>
        <v>37.805954767838642</v>
      </c>
      <c r="F162" s="211">
        <f>Dat_01!Y186</f>
        <v>71.912965</v>
      </c>
      <c r="G162" s="211">
        <f>Dat_01!X186</f>
        <v>9.5000531516455382</v>
      </c>
    </row>
    <row r="163" spans="2:7">
      <c r="B163" s="210">
        <f>DATE(YEAR(Dat_01!B$2),MONTH(Dat_01!B$2),Dat_01!A187)</f>
        <v>45359</v>
      </c>
      <c r="C163" s="120">
        <f>Dat_01!A187</f>
        <v>8</v>
      </c>
      <c r="D163" s="201">
        <f>Dat_01!W187</f>
        <v>299.56321100000002</v>
      </c>
      <c r="E163" s="211">
        <f>Dat_01!V187</f>
        <v>39.393047615207507</v>
      </c>
      <c r="F163" s="211">
        <f>Dat_01!Y187</f>
        <v>82.087441999999996</v>
      </c>
      <c r="G163" s="211">
        <f>Dat_01!X187</f>
        <v>10.794631625565613</v>
      </c>
    </row>
    <row r="164" spans="2:7">
      <c r="B164" s="210">
        <f>DATE(YEAR(Dat_01!B$2),MONTH(Dat_01!B$2),Dat_01!A188)</f>
        <v>45360</v>
      </c>
      <c r="C164" s="120">
        <f>Dat_01!A188</f>
        <v>9</v>
      </c>
      <c r="D164" s="201">
        <f>Dat_01!W188</f>
        <v>290.76631699999996</v>
      </c>
      <c r="E164" s="211">
        <f>Dat_01!V188</f>
        <v>42.002891828173766</v>
      </c>
      <c r="F164" s="211">
        <f>Dat_01!Y188</f>
        <v>47.678432000000001</v>
      </c>
      <c r="G164" s="211">
        <f>Dat_01!X188</f>
        <v>6.8874278234673891</v>
      </c>
    </row>
    <row r="165" spans="2:7">
      <c r="B165" s="210">
        <f>DATE(YEAR(Dat_01!B$2),MONTH(Dat_01!B$2),Dat_01!A189)</f>
        <v>45361</v>
      </c>
      <c r="C165" s="120">
        <f>Dat_01!A189</f>
        <v>10</v>
      </c>
      <c r="D165" s="201">
        <f>Dat_01!W189</f>
        <v>246.96331599999999</v>
      </c>
      <c r="E165" s="211">
        <f>Dat_01!V189</f>
        <v>38.43376495018326</v>
      </c>
      <c r="F165" s="211">
        <f>Dat_01!Y189</f>
        <v>72.397199999999998</v>
      </c>
      <c r="G165" s="211">
        <f>Dat_01!X189</f>
        <v>11.266843241817369</v>
      </c>
    </row>
    <row r="166" spans="2:7">
      <c r="B166" s="210">
        <f>DATE(YEAR(Dat_01!B$2),MONTH(Dat_01!B$2),Dat_01!A190)</f>
        <v>45362</v>
      </c>
      <c r="C166" s="120">
        <f>Dat_01!A190</f>
        <v>11</v>
      </c>
      <c r="D166" s="201">
        <f>Dat_01!W190</f>
        <v>230.55006400000002</v>
      </c>
      <c r="E166" s="211">
        <f>Dat_01!V190</f>
        <v>31.552332011231996</v>
      </c>
      <c r="F166" s="211">
        <f>Dat_01!Y190</f>
        <v>119.78096499999999</v>
      </c>
      <c r="G166" s="211">
        <f>Dat_01!X190</f>
        <v>16.392833342721428</v>
      </c>
    </row>
    <row r="167" spans="2:7">
      <c r="B167" s="210">
        <f>DATE(YEAR(Dat_01!B$2),MONTH(Dat_01!B$2),Dat_01!A191)</f>
        <v>45363</v>
      </c>
      <c r="C167" s="120">
        <f>Dat_01!A191</f>
        <v>12</v>
      </c>
      <c r="D167" s="201">
        <f>Dat_01!W191</f>
        <v>92.597411999999991</v>
      </c>
      <c r="E167" s="211">
        <f>Dat_01!V191</f>
        <v>13.395743641941596</v>
      </c>
      <c r="F167" s="211">
        <f>Dat_01!Y191</f>
        <v>147.561531</v>
      </c>
      <c r="G167" s="211">
        <f>Dat_01!X191</f>
        <v>21.347210445670097</v>
      </c>
    </row>
    <row r="168" spans="2:7">
      <c r="B168" s="210">
        <f>DATE(YEAR(Dat_01!B$2),MONTH(Dat_01!B$2),Dat_01!A192)</f>
        <v>45364</v>
      </c>
      <c r="C168" s="120">
        <f>Dat_01!A192</f>
        <v>13</v>
      </c>
      <c r="D168" s="201">
        <f>Dat_01!W192</f>
        <v>76.561442</v>
      </c>
      <c r="E168" s="211">
        <f>Dat_01!V192</f>
        <v>11.245819420282679</v>
      </c>
      <c r="F168" s="211">
        <f>Dat_01!Y192</f>
        <v>141.632531</v>
      </c>
      <c r="G168" s="211">
        <f>Dat_01!X192</f>
        <v>20.803864530968323</v>
      </c>
    </row>
    <row r="169" spans="2:7">
      <c r="B169" s="210">
        <f>DATE(YEAR(Dat_01!B$2),MONTH(Dat_01!B$2),Dat_01!A193)</f>
        <v>45365</v>
      </c>
      <c r="C169" s="120">
        <f>Dat_01!A193</f>
        <v>14</v>
      </c>
      <c r="D169" s="201">
        <f>Dat_01!W193</f>
        <v>155.15884199999999</v>
      </c>
      <c r="E169" s="211">
        <f>Dat_01!V193</f>
        <v>22.193123432300311</v>
      </c>
      <c r="F169" s="211">
        <f>Dat_01!Y193</f>
        <v>115.56585199999999</v>
      </c>
      <c r="G169" s="211">
        <f>Dat_01!X193</f>
        <v>16.529945602423027</v>
      </c>
    </row>
    <row r="170" spans="2:7">
      <c r="B170" s="210">
        <f>DATE(YEAR(Dat_01!B$2),MONTH(Dat_01!B$2),Dat_01!A194)</f>
        <v>45366</v>
      </c>
      <c r="C170" s="120">
        <f>Dat_01!A194</f>
        <v>15</v>
      </c>
      <c r="D170" s="201">
        <f>Dat_01!W194</f>
        <v>123.780681</v>
      </c>
      <c r="E170" s="211">
        <f>Dat_01!V194</f>
        <v>18.337414324650815</v>
      </c>
      <c r="F170" s="211">
        <f>Dat_01!Y194</f>
        <v>121.07140099999999</v>
      </c>
      <c r="G170" s="211">
        <f>Dat_01!X194</f>
        <v>17.936049673235701</v>
      </c>
    </row>
    <row r="171" spans="2:7">
      <c r="B171" s="210">
        <f>DATE(YEAR(Dat_01!B$2),MONTH(Dat_01!B$2),Dat_01!A195)</f>
        <v>45367</v>
      </c>
      <c r="C171" s="120">
        <f>Dat_01!A195</f>
        <v>16</v>
      </c>
      <c r="D171" s="201">
        <f>Dat_01!W195</f>
        <v>93.912283000000002</v>
      </c>
      <c r="E171" s="211">
        <f>Dat_01!V195</f>
        <v>14.75201015494445</v>
      </c>
      <c r="F171" s="211">
        <f>Dat_01!Y195</f>
        <v>130.38302899999999</v>
      </c>
      <c r="G171" s="211">
        <f>Dat_01!X195</f>
        <v>20.480939302055052</v>
      </c>
    </row>
    <row r="172" spans="2:7">
      <c r="B172" s="210">
        <f>DATE(YEAR(Dat_01!B$2),MONTH(Dat_01!B$2),Dat_01!A196)</f>
        <v>45368</v>
      </c>
      <c r="C172" s="120">
        <f>Dat_01!A196</f>
        <v>17</v>
      </c>
      <c r="D172" s="201">
        <f>Dat_01!W196</f>
        <v>83.048638000000011</v>
      </c>
      <c r="E172" s="211">
        <f>Dat_01!V196</f>
        <v>13.179934952452143</v>
      </c>
      <c r="F172" s="211">
        <f>Dat_01!Y196</f>
        <v>123.592359</v>
      </c>
      <c r="G172" s="211">
        <f>Dat_01!X196</f>
        <v>19.614280155203907</v>
      </c>
    </row>
    <row r="173" spans="2:7">
      <c r="B173" s="210">
        <f>DATE(YEAR(Dat_01!B$2),MONTH(Dat_01!B$2),Dat_01!A197)</f>
        <v>45369</v>
      </c>
      <c r="C173" s="120">
        <f>Dat_01!A197</f>
        <v>18</v>
      </c>
      <c r="D173" s="201">
        <f>Dat_01!W197</f>
        <v>35.144297000000002</v>
      </c>
      <c r="E173" s="211">
        <f>Dat_01!V197</f>
        <v>5.6058973392273312</v>
      </c>
      <c r="F173" s="211">
        <f>Dat_01!Y197</f>
        <v>104.670186</v>
      </c>
      <c r="G173" s="211">
        <f>Dat_01!X197</f>
        <v>16.696032280680701</v>
      </c>
    </row>
    <row r="174" spans="2:7">
      <c r="B174" s="210">
        <f>DATE(YEAR(Dat_01!B$2),MONTH(Dat_01!B$2),Dat_01!A198)</f>
        <v>45370</v>
      </c>
      <c r="C174" s="120">
        <f>Dat_01!A198</f>
        <v>19</v>
      </c>
      <c r="D174" s="201">
        <f>Dat_01!W198</f>
        <v>41.812383000000004</v>
      </c>
      <c r="E174" s="211">
        <f>Dat_01!V198</f>
        <v>6.2998755809679272</v>
      </c>
      <c r="F174" s="211">
        <f>Dat_01!Y198</f>
        <v>122.445205</v>
      </c>
      <c r="G174" s="211">
        <f>Dat_01!X198</f>
        <v>18.448830266050894</v>
      </c>
    </row>
    <row r="175" spans="2:7">
      <c r="B175" s="210">
        <f>DATE(YEAR(Dat_01!B$2),MONTH(Dat_01!B$2),Dat_01!A199)</f>
        <v>45371</v>
      </c>
      <c r="C175" s="120">
        <f>Dat_01!A199</f>
        <v>20</v>
      </c>
      <c r="D175" s="201">
        <f>Dat_01!W199</f>
        <v>127.50763400000001</v>
      </c>
      <c r="E175" s="211">
        <f>Dat_01!V199</f>
        <v>18.5570034283671</v>
      </c>
      <c r="F175" s="211">
        <f>Dat_01!Y199</f>
        <v>106.079413</v>
      </c>
      <c r="G175" s="211">
        <f>Dat_01!X199</f>
        <v>15.438417049760089</v>
      </c>
    </row>
    <row r="176" spans="2:7">
      <c r="B176" s="210">
        <f>DATE(YEAR(Dat_01!B$2),MONTH(Dat_01!B$2),Dat_01!A200)</f>
        <v>45372</v>
      </c>
      <c r="C176" s="120">
        <f>Dat_01!A200</f>
        <v>21</v>
      </c>
      <c r="D176" s="201">
        <f>Dat_01!W200</f>
        <v>187.28439699999998</v>
      </c>
      <c r="E176" s="211">
        <f>Dat_01!V200</f>
        <v>26.856198204914239</v>
      </c>
      <c r="F176" s="211">
        <f>Dat_01!Y200</f>
        <v>97.996581999999989</v>
      </c>
      <c r="G176" s="211">
        <f>Dat_01!X200</f>
        <v>14.052508760759878</v>
      </c>
    </row>
    <row r="177" spans="2:27">
      <c r="B177" s="210">
        <f>DATE(YEAR(Dat_01!B$2),MONTH(Dat_01!B$2),Dat_01!A201)</f>
        <v>45373</v>
      </c>
      <c r="C177" s="120">
        <f>Dat_01!A201</f>
        <v>22</v>
      </c>
      <c r="D177" s="201">
        <f>Dat_01!W201</f>
        <v>133.137472</v>
      </c>
      <c r="E177" s="211">
        <f>Dat_01!V201</f>
        <v>20.181367719413853</v>
      </c>
      <c r="F177" s="211">
        <f>Dat_01!Y201</f>
        <v>109.81231600000001</v>
      </c>
      <c r="G177" s="211">
        <f>Dat_01!X201</f>
        <v>16.645672296650439</v>
      </c>
    </row>
    <row r="178" spans="2:27">
      <c r="B178" s="210">
        <f>DATE(YEAR(Dat_01!B$2),MONTH(Dat_01!B$2),Dat_01!A202)</f>
        <v>45374</v>
      </c>
      <c r="C178" s="120">
        <f>Dat_01!A202</f>
        <v>23</v>
      </c>
      <c r="D178" s="201">
        <f>Dat_01!W202</f>
        <v>252.14781299999999</v>
      </c>
      <c r="E178" s="211">
        <f>Dat_01!V202</f>
        <v>37.645016574584041</v>
      </c>
      <c r="F178" s="211">
        <f>Dat_01!Y202</f>
        <v>85.931160999999989</v>
      </c>
      <c r="G178" s="211">
        <f>Dat_01!X202</f>
        <v>12.829300169731194</v>
      </c>
    </row>
    <row r="179" spans="2:27">
      <c r="B179" s="210">
        <f>DATE(YEAR(Dat_01!B$2),MONTH(Dat_01!B$2),Dat_01!A203)</f>
        <v>45375</v>
      </c>
      <c r="C179" s="120">
        <f>Dat_01!A203</f>
        <v>24</v>
      </c>
      <c r="D179" s="201">
        <f>Dat_01!W203</f>
        <v>191.59177199999999</v>
      </c>
      <c r="E179" s="211">
        <f>Dat_01!V203</f>
        <v>32.098560996412722</v>
      </c>
      <c r="F179" s="211">
        <f>Dat_01!Y203</f>
        <v>69.925910000000002</v>
      </c>
      <c r="G179" s="211">
        <f>Dat_01!X203</f>
        <v>11.715122543804577</v>
      </c>
    </row>
    <row r="180" spans="2:27">
      <c r="B180" s="210">
        <f>DATE(YEAR(Dat_01!B$2),MONTH(Dat_01!B$2),Dat_01!A204)</f>
        <v>45376</v>
      </c>
      <c r="C180" s="120">
        <f>Dat_01!A204</f>
        <v>25</v>
      </c>
      <c r="D180" s="201">
        <f>Dat_01!W204</f>
        <v>194.72767999999999</v>
      </c>
      <c r="E180" s="211">
        <f>Dat_01!V204</f>
        <v>28.941729749372207</v>
      </c>
      <c r="F180" s="211">
        <f>Dat_01!Y204</f>
        <v>51.232773999999999</v>
      </c>
      <c r="G180" s="211">
        <f>Dat_01!X204</f>
        <v>7.6145574138132961</v>
      </c>
    </row>
    <row r="181" spans="2:27">
      <c r="B181" s="210">
        <f>DATE(YEAR(Dat_01!B$2),MONTH(Dat_01!B$2),Dat_01!A205)</f>
        <v>45377</v>
      </c>
      <c r="C181" s="120">
        <f>Dat_01!A205</f>
        <v>26</v>
      </c>
      <c r="D181" s="201">
        <f>Dat_01!W205</f>
        <v>258.82985000000002</v>
      </c>
      <c r="E181" s="211">
        <f>Dat_01!V205</f>
        <v>34.627045039773954</v>
      </c>
      <c r="F181" s="211">
        <f>Dat_01!Y205</f>
        <v>94.592787000000001</v>
      </c>
      <c r="G181" s="211">
        <f>Dat_01!X205</f>
        <v>12.654910922703639</v>
      </c>
    </row>
    <row r="182" spans="2:27">
      <c r="B182" s="210">
        <f>DATE(YEAR(Dat_01!B$2),MONTH(Dat_01!B$2),Dat_01!A206)</f>
        <v>45378</v>
      </c>
      <c r="C182" s="120">
        <f>Dat_01!A206</f>
        <v>27</v>
      </c>
      <c r="D182" s="201">
        <f>Dat_01!W206</f>
        <v>330.57490799999999</v>
      </c>
      <c r="E182" s="211">
        <f>Dat_01!V206</f>
        <v>45.092182444428509</v>
      </c>
      <c r="F182" s="211">
        <f>Dat_01!Y206</f>
        <v>70.600798999999995</v>
      </c>
      <c r="G182" s="211">
        <f>Dat_01!X206</f>
        <v>9.6303259327547792</v>
      </c>
    </row>
    <row r="183" spans="2:27">
      <c r="B183" s="210">
        <f>DATE(YEAR(Dat_01!B$2),MONTH(Dat_01!B$2),Dat_01!A207)</f>
        <v>45379</v>
      </c>
      <c r="C183" s="120">
        <f>Dat_01!A207</f>
        <v>28</v>
      </c>
      <c r="D183" s="201">
        <f>Dat_01!W207</f>
        <v>291.58597100000003</v>
      </c>
      <c r="E183" s="211">
        <f>Dat_01!V207</f>
        <v>41.944872544120059</v>
      </c>
      <c r="F183" s="211">
        <f>Dat_01!Y207</f>
        <v>72.165244999999999</v>
      </c>
      <c r="G183" s="211">
        <f>Dat_01!X207</f>
        <v>10.3810275688476</v>
      </c>
    </row>
    <row r="184" spans="2:27">
      <c r="B184" s="210">
        <f>DATE(YEAR(Dat_01!B$2),MONTH(Dat_01!B$2),Dat_01!A208)</f>
        <v>45380</v>
      </c>
      <c r="C184" s="120">
        <f>Dat_01!A208</f>
        <v>29</v>
      </c>
      <c r="D184" s="201">
        <f>Dat_01!W208</f>
        <v>207.19015400000001</v>
      </c>
      <c r="E184" s="211">
        <f>Dat_01!V208</f>
        <v>32.050109485015106</v>
      </c>
      <c r="F184" s="211">
        <f>Dat_01!Y208</f>
        <v>69.475298999999993</v>
      </c>
      <c r="G184" s="211">
        <f>Dat_01!X208</f>
        <v>10.747088587299183</v>
      </c>
    </row>
    <row r="185" spans="2:27">
      <c r="B185" s="210">
        <f>DATE(YEAR(Dat_01!B$2),MONTH(Dat_01!B$2),Dat_01!A209)</f>
        <v>45381</v>
      </c>
      <c r="C185" s="120">
        <f>Dat_01!A209</f>
        <v>30</v>
      </c>
      <c r="D185" s="201">
        <f>Dat_01!W209</f>
        <v>184.87734599999999</v>
      </c>
      <c r="E185" s="211">
        <f>Dat_01!V209</f>
        <v>29.201126937359707</v>
      </c>
      <c r="F185" s="211">
        <f>Dat_01!Y209</f>
        <v>72.760616999999996</v>
      </c>
      <c r="G185" s="211">
        <f>Dat_01!X209</f>
        <v>11.492441118543603</v>
      </c>
    </row>
    <row r="186" spans="2:27">
      <c r="B186" s="210">
        <f>DATE(YEAR(Dat_01!B$2),MONTH(Dat_01!B$2),Dat_01!A210)</f>
        <v>45382</v>
      </c>
      <c r="C186" s="120">
        <f>Dat_01!A210</f>
        <v>31</v>
      </c>
      <c r="D186" s="201">
        <f>Dat_01!W210</f>
        <v>225.72189900000001</v>
      </c>
      <c r="E186" s="211">
        <f>Dat_01!V210</f>
        <v>36.614196786458812</v>
      </c>
      <c r="F186" s="201">
        <f>Dat_01!Y210</f>
        <v>56.133758999999998</v>
      </c>
      <c r="G186" s="211">
        <f>Dat_01!X210</f>
        <v>9.1054191352060769</v>
      </c>
    </row>
    <row r="187" spans="2:27">
      <c r="B187" s="212"/>
      <c r="C187" s="120"/>
      <c r="D187" s="201"/>
      <c r="E187" s="201"/>
      <c r="F187" s="201"/>
      <c r="G187" s="201"/>
    </row>
    <row r="188" spans="2:27">
      <c r="B188" s="120"/>
      <c r="C188" s="120"/>
      <c r="D188" s="120"/>
      <c r="E188" s="120"/>
      <c r="F188" s="120"/>
      <c r="G188" s="120"/>
    </row>
    <row r="189" spans="2:27">
      <c r="B189" s="202" t="s">
        <v>143</v>
      </c>
      <c r="C189" s="202"/>
      <c r="D189" s="202">
        <f>MAX(D156:D186)</f>
        <v>330.57490799999999</v>
      </c>
      <c r="E189" s="213">
        <f>VLOOKUP(D189,D156:E186,2)</f>
        <v>36.614196786458812</v>
      </c>
      <c r="F189" s="202">
        <f>MAX(F156:F186)</f>
        <v>147.561531</v>
      </c>
      <c r="G189" s="213">
        <f>VLOOKUP(F189,F156:G186,2)</f>
        <v>9.1054191352060769</v>
      </c>
    </row>
    <row r="191" spans="2:27">
      <c r="B191" s="143" t="s">
        <v>144</v>
      </c>
    </row>
    <row r="192" spans="2:27">
      <c r="B192" s="214"/>
      <c r="C192" s="215">
        <v>1</v>
      </c>
      <c r="D192" s="215">
        <v>2</v>
      </c>
      <c r="E192" s="215">
        <v>3</v>
      </c>
      <c r="F192" s="215">
        <v>4</v>
      </c>
      <c r="G192" s="215">
        <v>5</v>
      </c>
      <c r="H192" s="215">
        <v>6</v>
      </c>
      <c r="I192" s="215">
        <v>7</v>
      </c>
      <c r="J192" s="215">
        <v>8</v>
      </c>
      <c r="K192" s="215">
        <v>9</v>
      </c>
      <c r="L192" s="215">
        <v>10</v>
      </c>
      <c r="M192" s="215">
        <v>11</v>
      </c>
      <c r="N192" s="215">
        <v>12</v>
      </c>
      <c r="O192" s="215">
        <v>13</v>
      </c>
      <c r="P192" s="215">
        <v>14</v>
      </c>
      <c r="Q192" s="215">
        <v>15</v>
      </c>
      <c r="R192" s="215">
        <v>16</v>
      </c>
      <c r="S192" s="215">
        <v>17</v>
      </c>
      <c r="T192" s="215">
        <v>18</v>
      </c>
      <c r="U192" s="215">
        <v>19</v>
      </c>
      <c r="V192" s="215">
        <v>20</v>
      </c>
      <c r="W192" s="215">
        <v>21</v>
      </c>
      <c r="X192" s="215">
        <v>22</v>
      </c>
      <c r="Y192" s="215">
        <v>23</v>
      </c>
      <c r="Z192" s="215">
        <v>24</v>
      </c>
      <c r="AA192" s="216" t="s">
        <v>15</v>
      </c>
    </row>
    <row r="193" spans="2:27">
      <c r="B193" s="120" t="s">
        <v>5</v>
      </c>
      <c r="C193" s="201">
        <v>9.1643000000000008</v>
      </c>
      <c r="D193" s="201">
        <v>8.7952999999999992</v>
      </c>
      <c r="E193" s="201">
        <v>8.8308</v>
      </c>
      <c r="F193" s="201">
        <v>8.5412999999999997</v>
      </c>
      <c r="G193" s="201">
        <v>8.3774999999999995</v>
      </c>
      <c r="H193" s="201">
        <v>8.2622</v>
      </c>
      <c r="I193" s="201">
        <v>8.3582999999999998</v>
      </c>
      <c r="J193" s="201">
        <v>8.2825000000000006</v>
      </c>
      <c r="K193" s="201">
        <v>7.7236000000000002</v>
      </c>
      <c r="L193" s="201">
        <v>7.4927000000000001</v>
      </c>
      <c r="M193" s="201">
        <v>7.0507</v>
      </c>
      <c r="N193" s="201">
        <v>6.7298999999999998</v>
      </c>
      <c r="O193" s="201">
        <v>5.7401</v>
      </c>
      <c r="P193" s="201">
        <v>5.3799000000000001</v>
      </c>
      <c r="Q193" s="201">
        <v>4.9191000000000003</v>
      </c>
      <c r="R193" s="201">
        <v>5.3954000000000004</v>
      </c>
      <c r="S193" s="201">
        <v>5.3757000000000001</v>
      </c>
      <c r="T193" s="201">
        <v>5.6306000000000003</v>
      </c>
      <c r="U193" s="201">
        <v>5.8331</v>
      </c>
      <c r="V193" s="201">
        <v>6.3666999999999998</v>
      </c>
      <c r="W193" s="201">
        <v>6.7653999999999996</v>
      </c>
      <c r="X193" s="201">
        <v>6.9931999999999999</v>
      </c>
      <c r="Y193" s="201">
        <v>7.2034000000000002</v>
      </c>
      <c r="Z193" s="201">
        <v>7.3064</v>
      </c>
      <c r="AA193" s="201">
        <f t="shared" ref="AA193:AA194" si="18">SUM(C193:Z193)</f>
        <v>170.5181</v>
      </c>
    </row>
    <row r="194" spans="2:27">
      <c r="B194" s="120" t="s">
        <v>10</v>
      </c>
      <c r="C194" s="201">
        <v>25.1279</v>
      </c>
      <c r="D194" s="201">
        <v>24.4297</v>
      </c>
      <c r="E194" s="201">
        <v>23.810600000000001</v>
      </c>
      <c r="F194" s="201">
        <v>23.1861</v>
      </c>
      <c r="G194" s="201">
        <v>22.812899999999999</v>
      </c>
      <c r="H194" s="201">
        <v>22.671399999999998</v>
      </c>
      <c r="I194" s="201">
        <v>22.881699999999999</v>
      </c>
      <c r="J194" s="201">
        <v>22.9634</v>
      </c>
      <c r="K194" s="201">
        <v>23.478000000000002</v>
      </c>
      <c r="L194" s="201">
        <v>24.83</v>
      </c>
      <c r="M194" s="201">
        <v>25.264600000000002</v>
      </c>
      <c r="N194" s="201">
        <v>26.226400000000002</v>
      </c>
      <c r="O194" s="201">
        <v>26.419699999999999</v>
      </c>
      <c r="P194" s="201">
        <v>26.6785</v>
      </c>
      <c r="Q194" s="201">
        <v>26.776900000000001</v>
      </c>
      <c r="R194" s="201">
        <v>26.777999999999999</v>
      </c>
      <c r="S194" s="201">
        <v>26.0596</v>
      </c>
      <c r="T194" s="201">
        <v>25.779599999999999</v>
      </c>
      <c r="U194" s="201">
        <v>26.1708</v>
      </c>
      <c r="V194" s="201">
        <v>27.240100000000002</v>
      </c>
      <c r="W194" s="201">
        <v>27.512499999999999</v>
      </c>
      <c r="X194" s="201">
        <v>27.726400000000002</v>
      </c>
      <c r="Y194" s="201">
        <v>27.232600000000001</v>
      </c>
      <c r="Z194" s="201">
        <v>25.386600000000001</v>
      </c>
      <c r="AA194" s="201">
        <f t="shared" si="18"/>
        <v>607.44400000000019</v>
      </c>
    </row>
    <row r="195" spans="2:27">
      <c r="B195" s="120"/>
      <c r="C195" s="120"/>
      <c r="D195" s="120"/>
      <c r="E195" s="120"/>
      <c r="F195" s="120"/>
      <c r="G195" s="120"/>
      <c r="H195" s="120"/>
      <c r="I195" s="120"/>
      <c r="J195" s="120"/>
      <c r="K195" s="120"/>
      <c r="L195" s="120"/>
      <c r="M195" s="120"/>
      <c r="N195" s="120"/>
      <c r="O195" s="120"/>
      <c r="P195" s="120"/>
      <c r="Q195" s="120"/>
      <c r="R195" s="120"/>
      <c r="S195" s="120"/>
      <c r="T195" s="120"/>
      <c r="U195" s="120"/>
      <c r="V195" s="120"/>
      <c r="W195" s="120"/>
      <c r="X195" s="120"/>
      <c r="Y195" s="120"/>
      <c r="Z195" s="120"/>
      <c r="AA195" s="120"/>
    </row>
    <row r="196" spans="2:27">
      <c r="B196" s="120"/>
      <c r="C196" s="120"/>
      <c r="D196" s="120"/>
      <c r="E196" s="120"/>
      <c r="F196" s="120"/>
      <c r="G196" s="120"/>
      <c r="H196" s="120"/>
      <c r="I196" s="120"/>
      <c r="J196" s="120"/>
      <c r="K196" s="120"/>
      <c r="L196" s="120"/>
      <c r="M196" s="120"/>
      <c r="N196" s="120"/>
      <c r="O196" s="120"/>
      <c r="P196" s="120"/>
      <c r="Q196" s="120"/>
      <c r="R196" s="120"/>
      <c r="S196" s="120"/>
      <c r="T196" s="120"/>
      <c r="U196" s="120"/>
      <c r="V196" s="120"/>
      <c r="W196" s="120"/>
      <c r="X196" s="120"/>
      <c r="Y196" s="120"/>
      <c r="Z196" s="120"/>
      <c r="AA196" s="120"/>
    </row>
    <row r="197" spans="2:27">
      <c r="B197" s="202" t="s">
        <v>124</v>
      </c>
      <c r="C197" s="217">
        <f>C193/C194*100</f>
        <v>36.470616326871728</v>
      </c>
      <c r="D197" s="217">
        <f t="shared" ref="D197:AA197" si="19">D193/D194*100</f>
        <v>36.002488773910443</v>
      </c>
      <c r="E197" s="217">
        <f t="shared" si="19"/>
        <v>37.087683636699623</v>
      </c>
      <c r="F197" s="217">
        <f t="shared" si="19"/>
        <v>36.838019330547176</v>
      </c>
      <c r="G197" s="217">
        <f t="shared" si="19"/>
        <v>36.722643767342163</v>
      </c>
      <c r="H197" s="217">
        <f t="shared" si="19"/>
        <v>36.443272140229546</v>
      </c>
      <c r="I197" s="217">
        <f t="shared" si="19"/>
        <v>36.528317389005188</v>
      </c>
      <c r="J197" s="217">
        <f t="shared" si="19"/>
        <v>36.068265152372909</v>
      </c>
      <c r="K197" s="217">
        <f t="shared" si="19"/>
        <v>32.897180339040801</v>
      </c>
      <c r="L197" s="217">
        <f t="shared" si="19"/>
        <v>30.175996778091026</v>
      </c>
      <c r="M197" s="217">
        <f t="shared" si="19"/>
        <v>27.90742778433064</v>
      </c>
      <c r="N197" s="217">
        <f t="shared" si="19"/>
        <v>25.660784552969524</v>
      </c>
      <c r="O197" s="217">
        <f t="shared" si="19"/>
        <v>21.726590385204979</v>
      </c>
      <c r="P197" s="217">
        <f t="shared" si="19"/>
        <v>20.165676481061528</v>
      </c>
      <c r="Q197" s="217">
        <f t="shared" si="19"/>
        <v>18.370685180136611</v>
      </c>
      <c r="R197" s="217">
        <f t="shared" si="19"/>
        <v>20.148629471954592</v>
      </c>
      <c r="S197" s="217">
        <f t="shared" si="19"/>
        <v>20.62848240187877</v>
      </c>
      <c r="T197" s="217">
        <f t="shared" si="19"/>
        <v>21.841300873558943</v>
      </c>
      <c r="U197" s="217">
        <f t="shared" si="19"/>
        <v>22.288581166796583</v>
      </c>
      <c r="V197" s="217">
        <f t="shared" si="19"/>
        <v>23.372528000998528</v>
      </c>
      <c r="W197" s="217">
        <f t="shared" si="19"/>
        <v>24.590277146751475</v>
      </c>
      <c r="X197" s="217">
        <f t="shared" si="19"/>
        <v>25.222170927347221</v>
      </c>
      <c r="Y197" s="217">
        <f t="shared" si="19"/>
        <v>26.451385471824214</v>
      </c>
      <c r="Z197" s="217">
        <f t="shared" si="19"/>
        <v>28.780537764017232</v>
      </c>
      <c r="AA197" s="217">
        <f t="shared" si="19"/>
        <v>28.071410697940873</v>
      </c>
    </row>
  </sheetData>
  <mergeCells count="4">
    <mergeCell ref="D154:D155"/>
    <mergeCell ref="E154:E155"/>
    <mergeCell ref="F154:F155"/>
    <mergeCell ref="G154:G155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Hoja16"/>
  <dimension ref="A1:Z262"/>
  <sheetViews>
    <sheetView topLeftCell="A235" zoomScale="70" zoomScaleNormal="70" workbookViewId="0">
      <selection activeCell="O159" sqref="O159"/>
    </sheetView>
  </sheetViews>
  <sheetFormatPr baseColWidth="10" defaultRowHeight="12.75"/>
  <cols>
    <col min="1" max="1" width="23.42578125" bestFit="1" customWidth="1"/>
    <col min="2" max="2" width="35.5703125" bestFit="1" customWidth="1"/>
    <col min="3" max="15" width="18.7109375" bestFit="1" customWidth="1"/>
    <col min="16" max="19" width="14.7109375" customWidth="1"/>
    <col min="20" max="26" width="17.5703125" customWidth="1"/>
    <col min="27" max="235" width="14.5703125" customWidth="1"/>
  </cols>
  <sheetData>
    <row r="1" spans="1:13">
      <c r="A1" s="170" t="s">
        <v>30</v>
      </c>
      <c r="B1" s="170" t="s">
        <v>108</v>
      </c>
    </row>
    <row r="2" spans="1:13">
      <c r="A2" s="272" t="s">
        <v>235</v>
      </c>
      <c r="B2" s="272" t="s">
        <v>236</v>
      </c>
    </row>
    <row r="4" spans="1:13">
      <c r="A4" s="166" t="s">
        <v>30</v>
      </c>
      <c r="B4" s="326" t="s">
        <v>235</v>
      </c>
      <c r="C4" s="327"/>
      <c r="D4" s="327"/>
      <c r="E4" s="327"/>
      <c r="F4" s="327"/>
      <c r="G4" s="327"/>
      <c r="H4" s="327"/>
      <c r="I4" s="327"/>
      <c r="J4" s="327"/>
      <c r="L4" s="269" t="s">
        <v>106</v>
      </c>
      <c r="M4" s="270" t="s">
        <v>180</v>
      </c>
    </row>
    <row r="5" spans="1:13">
      <c r="A5" s="166" t="s">
        <v>105</v>
      </c>
      <c r="B5" s="324" t="s">
        <v>98</v>
      </c>
      <c r="C5" s="325"/>
      <c r="D5" s="325"/>
      <c r="E5" s="325"/>
      <c r="F5" s="325"/>
      <c r="G5" s="325"/>
      <c r="H5" s="325"/>
      <c r="I5" s="325"/>
      <c r="J5" s="325"/>
      <c r="L5" s="269" t="s">
        <v>30</v>
      </c>
      <c r="M5" s="270" t="s">
        <v>239</v>
      </c>
    </row>
    <row r="6" spans="1:13">
      <c r="A6" s="166" t="s">
        <v>106</v>
      </c>
      <c r="B6" s="167" t="s">
        <v>99</v>
      </c>
      <c r="C6" s="167" t="s">
        <v>169</v>
      </c>
      <c r="D6" s="167" t="s">
        <v>100</v>
      </c>
      <c r="E6" s="167" t="s">
        <v>101</v>
      </c>
      <c r="F6" s="167" t="s">
        <v>157</v>
      </c>
      <c r="G6" s="167" t="s">
        <v>102</v>
      </c>
      <c r="H6" s="167" t="s">
        <v>103</v>
      </c>
      <c r="I6" s="167" t="s">
        <v>170</v>
      </c>
      <c r="J6" s="167" t="s">
        <v>104</v>
      </c>
      <c r="L6" s="269" t="s">
        <v>181</v>
      </c>
      <c r="M6" s="271"/>
    </row>
    <row r="7" spans="1:13">
      <c r="A7" s="166" t="s">
        <v>107</v>
      </c>
      <c r="B7" s="168"/>
      <c r="C7" s="168"/>
      <c r="D7" s="168"/>
      <c r="E7" s="168"/>
      <c r="F7" s="168"/>
      <c r="G7" s="168"/>
      <c r="H7" s="168"/>
      <c r="I7" s="168"/>
      <c r="J7" s="168"/>
      <c r="L7" s="244" t="s">
        <v>4</v>
      </c>
      <c r="M7" s="285">
        <v>1819.9749999999999</v>
      </c>
    </row>
    <row r="8" spans="1:13">
      <c r="A8" s="272" t="s">
        <v>2</v>
      </c>
      <c r="B8" s="281">
        <v>4622019.2777359998</v>
      </c>
      <c r="C8" s="281">
        <v>2043195.288889</v>
      </c>
      <c r="D8" s="282">
        <v>1.2621524741000001</v>
      </c>
      <c r="E8" s="281">
        <v>11499557.584989</v>
      </c>
      <c r="F8" s="281">
        <v>8364762.8274229998</v>
      </c>
      <c r="G8" s="282">
        <v>0.37476194149999997</v>
      </c>
      <c r="H8" s="281">
        <v>28404184.717115</v>
      </c>
      <c r="I8" s="281">
        <v>21236980.620735999</v>
      </c>
      <c r="J8" s="282">
        <v>0.33748696319999999</v>
      </c>
      <c r="L8" s="244" t="s">
        <v>129</v>
      </c>
      <c r="M8" s="285">
        <v>24561.845000000001</v>
      </c>
    </row>
    <row r="9" spans="1:13">
      <c r="A9" s="272" t="s">
        <v>81</v>
      </c>
      <c r="B9" s="281">
        <v>576582.55640799995</v>
      </c>
      <c r="C9" s="281">
        <v>540079.79424800002</v>
      </c>
      <c r="D9" s="282">
        <v>6.7587720500000004E-2</v>
      </c>
      <c r="E9" s="281">
        <v>1567542.5867550001</v>
      </c>
      <c r="F9" s="281">
        <v>1343748.4334499999</v>
      </c>
      <c r="G9" s="282">
        <v>0.1665446803</v>
      </c>
      <c r="H9" s="281">
        <v>5419090.9531960003</v>
      </c>
      <c r="I9" s="281">
        <v>4345332.7494869996</v>
      </c>
      <c r="J9" s="282">
        <v>0.24710609419999999</v>
      </c>
      <c r="L9" s="244" t="s">
        <v>9</v>
      </c>
      <c r="M9" s="285">
        <v>5533.7425000000003</v>
      </c>
    </row>
    <row r="10" spans="1:13">
      <c r="A10" s="272" t="s">
        <v>3</v>
      </c>
      <c r="B10" s="281">
        <v>3470760.6359999999</v>
      </c>
      <c r="C10" s="281">
        <v>5102289.665</v>
      </c>
      <c r="D10" s="282">
        <v>-0.3197640934</v>
      </c>
      <c r="E10" s="281">
        <v>13141155.698000001</v>
      </c>
      <c r="F10" s="281">
        <v>14787012.970000001</v>
      </c>
      <c r="G10" s="282">
        <v>-0.11130424210000001</v>
      </c>
      <c r="H10" s="281">
        <v>52630268.479000002</v>
      </c>
      <c r="I10" s="281">
        <v>56134944.943000004</v>
      </c>
      <c r="J10" s="282">
        <v>-6.2433061400000003E-2</v>
      </c>
      <c r="L10" s="244" t="s">
        <v>5</v>
      </c>
      <c r="M10" s="285">
        <v>30286.29652</v>
      </c>
    </row>
    <row r="11" spans="1:13">
      <c r="A11" s="272" t="s">
        <v>4</v>
      </c>
      <c r="B11" s="281">
        <v>209659.13500000001</v>
      </c>
      <c r="C11" s="281">
        <v>424617.57400000002</v>
      </c>
      <c r="D11" s="282">
        <v>-0.50624009029999995</v>
      </c>
      <c r="E11" s="281">
        <v>685348.64099999995</v>
      </c>
      <c r="F11" s="281">
        <v>1128938.297</v>
      </c>
      <c r="G11" s="282">
        <v>-0.39292639569999999</v>
      </c>
      <c r="H11" s="281">
        <v>3366942.9240000001</v>
      </c>
      <c r="I11" s="281">
        <v>6826776.7439999999</v>
      </c>
      <c r="J11" s="282">
        <v>-0.50680342270000001</v>
      </c>
      <c r="L11" s="244" t="s">
        <v>95</v>
      </c>
      <c r="M11" s="285">
        <v>7.95</v>
      </c>
    </row>
    <row r="12" spans="1:13">
      <c r="A12" s="272" t="s">
        <v>95</v>
      </c>
      <c r="B12" s="281">
        <v>1E-3</v>
      </c>
      <c r="C12" s="281">
        <v>-1E-3</v>
      </c>
      <c r="D12" s="282">
        <v>-2</v>
      </c>
      <c r="E12" s="281">
        <v>1E-3</v>
      </c>
      <c r="F12" s="281">
        <v>-1E-3</v>
      </c>
      <c r="G12" s="282">
        <v>-2</v>
      </c>
      <c r="H12" s="281">
        <v>0</v>
      </c>
      <c r="I12" s="281">
        <v>-1E-3</v>
      </c>
      <c r="J12" s="282">
        <v>-1</v>
      </c>
      <c r="L12" s="244" t="s">
        <v>2</v>
      </c>
      <c r="M12" s="285">
        <v>17095.888029999998</v>
      </c>
    </row>
    <row r="13" spans="1:13">
      <c r="A13" s="272" t="s">
        <v>11</v>
      </c>
      <c r="B13" s="281">
        <v>1658328.6880000001</v>
      </c>
      <c r="C13" s="281">
        <v>2596271.1090000002</v>
      </c>
      <c r="D13" s="282">
        <v>-0.36126520750000002</v>
      </c>
      <c r="E13" s="281">
        <v>5998732.8099999996</v>
      </c>
      <c r="F13" s="281">
        <v>8616698.8570000008</v>
      </c>
      <c r="G13" s="282">
        <v>-0.30382471179999998</v>
      </c>
      <c r="H13" s="281">
        <v>36664590.078000002</v>
      </c>
      <c r="I13" s="281">
        <v>56639414.447999999</v>
      </c>
      <c r="J13" s="282">
        <v>-0.35266650560000001</v>
      </c>
      <c r="L13" s="244" t="s">
        <v>3</v>
      </c>
      <c r="M13" s="285">
        <v>7117.29</v>
      </c>
    </row>
    <row r="14" spans="1:13">
      <c r="A14" s="272" t="s">
        <v>5</v>
      </c>
      <c r="B14" s="281">
        <v>6037212.6540000001</v>
      </c>
      <c r="C14" s="281">
        <v>6562949.4440000001</v>
      </c>
      <c r="D14" s="282">
        <v>-8.0106786499999999E-2</v>
      </c>
      <c r="E14" s="281">
        <v>18511333.263999999</v>
      </c>
      <c r="F14" s="281">
        <v>18521147.649999999</v>
      </c>
      <c r="G14" s="282">
        <v>-5.2990160000000004E-4</v>
      </c>
      <c r="H14" s="281">
        <v>61232791.479999997</v>
      </c>
      <c r="I14" s="281">
        <v>61944177.711000003</v>
      </c>
      <c r="J14" s="282">
        <v>-1.14843115E-2</v>
      </c>
      <c r="L14" s="244" t="s">
        <v>134</v>
      </c>
      <c r="M14" s="285">
        <v>1087.3499999999999</v>
      </c>
    </row>
    <row r="15" spans="1:13">
      <c r="A15" s="272" t="s">
        <v>6</v>
      </c>
      <c r="B15" s="281">
        <v>2983540.8169999998</v>
      </c>
      <c r="C15" s="281">
        <v>3026359.449</v>
      </c>
      <c r="D15" s="282">
        <v>-1.41485612E-2</v>
      </c>
      <c r="E15" s="281">
        <v>7388353.3169999998</v>
      </c>
      <c r="F15" s="281">
        <v>6838753.3030000003</v>
      </c>
      <c r="G15" s="282">
        <v>8.03655271E-2</v>
      </c>
      <c r="H15" s="281">
        <v>37153126.783</v>
      </c>
      <c r="I15" s="281">
        <v>29550636.828000002</v>
      </c>
      <c r="J15" s="282">
        <v>0.25726991939999999</v>
      </c>
      <c r="L15" s="244" t="s">
        <v>179</v>
      </c>
      <c r="M15" s="285">
        <v>387.17849999999999</v>
      </c>
    </row>
    <row r="16" spans="1:13">
      <c r="A16" s="272" t="s">
        <v>7</v>
      </c>
      <c r="B16" s="281">
        <v>151735.08199999999</v>
      </c>
      <c r="C16" s="281">
        <v>409939.61900000001</v>
      </c>
      <c r="D16" s="282">
        <v>-0.62985992329999996</v>
      </c>
      <c r="E16" s="281">
        <v>422394.90700000001</v>
      </c>
      <c r="F16" s="281">
        <v>708232.79299999995</v>
      </c>
      <c r="G16" s="282">
        <v>-0.40359312479999998</v>
      </c>
      <c r="H16" s="281">
        <v>4408622.2750000004</v>
      </c>
      <c r="I16" s="281">
        <v>4331686.0439999998</v>
      </c>
      <c r="J16" s="282">
        <v>1.77612667E-2</v>
      </c>
      <c r="L16" s="244" t="s">
        <v>133</v>
      </c>
      <c r="M16" s="285">
        <v>131.6275</v>
      </c>
    </row>
    <row r="17" spans="1:13">
      <c r="A17" s="272" t="s">
        <v>8</v>
      </c>
      <c r="B17" s="281">
        <v>308995.60499999998</v>
      </c>
      <c r="C17" s="281">
        <v>307075.929</v>
      </c>
      <c r="D17" s="282">
        <v>6.2514700999999999E-3</v>
      </c>
      <c r="E17" s="281">
        <v>848302.03300000005</v>
      </c>
      <c r="F17" s="281">
        <v>954289.61</v>
      </c>
      <c r="G17" s="282">
        <v>-0.11106437280000001</v>
      </c>
      <c r="H17" s="281">
        <v>3476013.0060000001</v>
      </c>
      <c r="I17" s="281">
        <v>4379174.4230000004</v>
      </c>
      <c r="J17" s="282">
        <v>-0.20624011049999999</v>
      </c>
      <c r="L17" s="244" t="s">
        <v>130</v>
      </c>
      <c r="M17" s="285">
        <v>25215.456055999999</v>
      </c>
    </row>
    <row r="18" spans="1:13">
      <c r="A18" s="272" t="s">
        <v>9</v>
      </c>
      <c r="B18" s="281">
        <v>1165928.9080000001</v>
      </c>
      <c r="C18" s="281">
        <v>1726764.405</v>
      </c>
      <c r="D18" s="282">
        <v>-0.32478981810000002</v>
      </c>
      <c r="E18" s="281">
        <v>4223599.9450000003</v>
      </c>
      <c r="F18" s="281">
        <v>4651035.0420000004</v>
      </c>
      <c r="G18" s="282">
        <v>-9.1901070000000001E-2</v>
      </c>
      <c r="H18" s="281">
        <v>16823844.596000001</v>
      </c>
      <c r="I18" s="281">
        <v>15900427.846000001</v>
      </c>
      <c r="J18" s="282">
        <v>5.8074962399999999E-2</v>
      </c>
      <c r="L18" s="244" t="s">
        <v>131</v>
      </c>
      <c r="M18" s="285">
        <v>2304.0129999999999</v>
      </c>
    </row>
    <row r="19" spans="1:13">
      <c r="A19" s="272" t="s">
        <v>69</v>
      </c>
      <c r="B19" s="281">
        <v>40449.7045</v>
      </c>
      <c r="C19" s="281">
        <v>62173.03</v>
      </c>
      <c r="D19" s="282">
        <v>-0.34940110689999998</v>
      </c>
      <c r="E19" s="281">
        <v>151684.717</v>
      </c>
      <c r="F19" s="281">
        <v>184164.01449999999</v>
      </c>
      <c r="G19" s="282">
        <v>-0.17636071619999999</v>
      </c>
      <c r="H19" s="281">
        <v>675012.47149999999</v>
      </c>
      <c r="I19" s="281">
        <v>715102.76150000002</v>
      </c>
      <c r="J19" s="282">
        <v>-5.6062278299999997E-2</v>
      </c>
      <c r="L19" s="244" t="s">
        <v>81</v>
      </c>
      <c r="M19" s="285">
        <v>3331.4</v>
      </c>
    </row>
    <row r="20" spans="1:13">
      <c r="A20" s="272" t="s">
        <v>70</v>
      </c>
      <c r="B20" s="281">
        <v>59940.387499999997</v>
      </c>
      <c r="C20" s="281">
        <v>110360.659</v>
      </c>
      <c r="D20" s="282">
        <v>-0.45686816260000002</v>
      </c>
      <c r="E20" s="281">
        <v>234543.97399999999</v>
      </c>
      <c r="F20" s="281">
        <v>310923.21049999999</v>
      </c>
      <c r="G20" s="282">
        <v>-0.2456530549</v>
      </c>
      <c r="H20" s="281">
        <v>1103581.8315000001</v>
      </c>
      <c r="I20" s="281">
        <v>1600103.9624999999</v>
      </c>
      <c r="J20" s="282">
        <v>-0.31030616919999998</v>
      </c>
      <c r="L20" s="286" t="s">
        <v>15</v>
      </c>
      <c r="M20" s="287">
        <v>118880.01210599999</v>
      </c>
    </row>
    <row r="21" spans="1:13">
      <c r="A21" s="273" t="s">
        <v>10</v>
      </c>
      <c r="B21" s="283">
        <v>21285153.452144001</v>
      </c>
      <c r="C21" s="283">
        <v>22912075.965137001</v>
      </c>
      <c r="D21" s="284">
        <v>-7.1007206700000006E-2</v>
      </c>
      <c r="E21" s="283">
        <v>64672549.478744</v>
      </c>
      <c r="F21" s="283">
        <v>66409707.006872997</v>
      </c>
      <c r="G21" s="284">
        <v>-2.6158186900000002E-2</v>
      </c>
      <c r="H21" s="283">
        <v>251358069.594311</v>
      </c>
      <c r="I21" s="283">
        <v>263604759.08022299</v>
      </c>
      <c r="J21" s="284">
        <v>-4.6458529499999998E-2</v>
      </c>
    </row>
    <row r="22" spans="1:13">
      <c r="A22" s="272" t="s">
        <v>121</v>
      </c>
      <c r="B22" s="281">
        <v>-1089125.2350000001</v>
      </c>
      <c r="C22" s="281">
        <v>-896468.836198</v>
      </c>
      <c r="D22" s="282">
        <v>0.21490585170000001</v>
      </c>
      <c r="E22" s="281">
        <v>-2689353.5858849999</v>
      </c>
      <c r="F22" s="281">
        <v>-2244305.5912660002</v>
      </c>
      <c r="G22" s="282">
        <v>0.19830097839999999</v>
      </c>
      <c r="H22" s="281">
        <v>-8628626.5784399994</v>
      </c>
      <c r="I22" s="281">
        <v>-7048246.4723309996</v>
      </c>
      <c r="J22" s="282">
        <v>0.22422316140000001</v>
      </c>
      <c r="M22" s="280"/>
    </row>
    <row r="23" spans="1:13">
      <c r="A23" s="272" t="s">
        <v>97</v>
      </c>
      <c r="B23" s="281">
        <v>-110667.727</v>
      </c>
      <c r="C23" s="281">
        <v>-82194.308000000005</v>
      </c>
      <c r="D23" s="282">
        <v>0.34641594650000002</v>
      </c>
      <c r="E23" s="281">
        <v>-348172.08299999998</v>
      </c>
      <c r="F23" s="281">
        <v>-295878.701</v>
      </c>
      <c r="G23" s="282">
        <v>0.17673925779999999</v>
      </c>
      <c r="H23" s="281">
        <v>-1478353.3119999999</v>
      </c>
      <c r="I23" s="281">
        <v>-809261.28300000005</v>
      </c>
      <c r="J23" s="282">
        <v>0.82679357470000003</v>
      </c>
    </row>
    <row r="24" spans="1:13">
      <c r="A24" s="272" t="s">
        <v>122</v>
      </c>
      <c r="B24" s="281">
        <v>-833065.56799999997</v>
      </c>
      <c r="C24" s="281">
        <v>-2606845.8590000002</v>
      </c>
      <c r="D24" s="282">
        <v>-0.680431597</v>
      </c>
      <c r="E24" s="281">
        <v>-2442733.6439999999</v>
      </c>
      <c r="F24" s="281">
        <v>-4452401.9680000003</v>
      </c>
      <c r="G24" s="282">
        <v>-0.45136722569999999</v>
      </c>
      <c r="H24" s="281">
        <v>-11948426.054</v>
      </c>
      <c r="I24" s="281">
        <v>-21725904.320999999</v>
      </c>
      <c r="J24" s="282">
        <v>-0.45003780380000002</v>
      </c>
    </row>
    <row r="25" spans="1:13">
      <c r="A25" s="273" t="s">
        <v>123</v>
      </c>
      <c r="B25" s="283">
        <v>19252294.922143999</v>
      </c>
      <c r="C25" s="283">
        <v>19326566.961939</v>
      </c>
      <c r="D25" s="284">
        <v>-3.8430021999999999E-3</v>
      </c>
      <c r="E25" s="283">
        <v>59192290.165858999</v>
      </c>
      <c r="F25" s="283">
        <v>59417120.746606998</v>
      </c>
      <c r="G25" s="284">
        <v>-3.7839359999999999E-3</v>
      </c>
      <c r="H25" s="283">
        <v>229302663.64987099</v>
      </c>
      <c r="I25" s="283">
        <v>234021347.003892</v>
      </c>
      <c r="J25" s="284">
        <v>-2.0163474000000001E-2</v>
      </c>
    </row>
    <row r="31" spans="1:13">
      <c r="A31" s="102" t="s">
        <v>56</v>
      </c>
      <c r="B31" s="157"/>
      <c r="C31" s="157"/>
      <c r="D31" s="157"/>
      <c r="E31" s="104"/>
      <c r="F31" s="104"/>
    </row>
    <row r="32" spans="1:13">
      <c r="A32" s="103"/>
      <c r="B32" s="86" t="s">
        <v>57</v>
      </c>
      <c r="C32" s="86" t="s">
        <v>14</v>
      </c>
      <c r="D32" s="104"/>
      <c r="E32" s="161"/>
      <c r="F32" s="162" t="s">
        <v>14</v>
      </c>
      <c r="I32" s="44"/>
    </row>
    <row r="33" spans="1:9">
      <c r="A33" s="127" t="s">
        <v>81</v>
      </c>
      <c r="B33" s="123">
        <f>VLOOKUP(A33,L$7:M$21,2,FALSE)</f>
        <v>3331.4</v>
      </c>
      <c r="C33" s="106">
        <f>B33/$B$46*100</f>
        <v>2.8023213835388403</v>
      </c>
      <c r="D33" s="104"/>
      <c r="E33" s="159" t="s">
        <v>16</v>
      </c>
      <c r="F33" s="160">
        <f>SUM(C33:C39)</f>
        <v>35.968520058589306</v>
      </c>
      <c r="I33" s="44"/>
    </row>
    <row r="34" spans="1:9">
      <c r="A34" s="105" t="s">
        <v>3</v>
      </c>
      <c r="B34" s="123">
        <f t="shared" ref="B34:B45" si="0">VLOOKUP(A34,L$7:M$21,2,FALSE)</f>
        <v>7117.29</v>
      </c>
      <c r="C34" s="106">
        <f t="shared" ref="C34:C45" si="1">B34/$B$46*100</f>
        <v>5.9869526204740202</v>
      </c>
      <c r="D34" s="104"/>
      <c r="E34" s="163" t="s">
        <v>17</v>
      </c>
      <c r="F34" s="164">
        <f>SUM(C40:C45)</f>
        <v>64.031479941410694</v>
      </c>
      <c r="I34" s="44"/>
    </row>
    <row r="35" spans="1:9">
      <c r="A35" s="105" t="s">
        <v>4</v>
      </c>
      <c r="B35" s="123">
        <f t="shared" si="0"/>
        <v>1819.9749999999999</v>
      </c>
      <c r="C35" s="106">
        <f t="shared" si="1"/>
        <v>1.5309343999538032</v>
      </c>
      <c r="D35" s="104"/>
      <c r="E35" s="104"/>
      <c r="F35" s="104"/>
      <c r="I35" s="44"/>
    </row>
    <row r="36" spans="1:9">
      <c r="A36" s="105" t="s">
        <v>11</v>
      </c>
      <c r="B36" s="123">
        <f t="shared" si="0"/>
        <v>24561.845000000001</v>
      </c>
      <c r="C36" s="106">
        <f t="shared" si="1"/>
        <v>20.661038441095801</v>
      </c>
      <c r="D36" s="104"/>
      <c r="E36" s="104"/>
      <c r="F36" s="104"/>
      <c r="I36" s="44"/>
    </row>
    <row r="37" spans="1:9">
      <c r="A37" s="105" t="s">
        <v>9</v>
      </c>
      <c r="B37" s="123">
        <f t="shared" si="0"/>
        <v>5533.7425000000003</v>
      </c>
      <c r="C37" s="106">
        <f t="shared" si="1"/>
        <v>4.6548973220711058</v>
      </c>
      <c r="D37" s="104"/>
      <c r="E37" s="104"/>
      <c r="F37" s="104"/>
      <c r="I37" s="44"/>
    </row>
    <row r="38" spans="1:9">
      <c r="A38" s="105" t="s">
        <v>182</v>
      </c>
      <c r="B38" s="123">
        <f t="shared" si="0"/>
        <v>7.95</v>
      </c>
      <c r="C38" s="106">
        <f t="shared" si="1"/>
        <v>6.6874152005564555E-3</v>
      </c>
      <c r="D38" s="104"/>
      <c r="E38" s="104"/>
      <c r="F38" s="104"/>
      <c r="I38" s="44"/>
    </row>
    <row r="39" spans="1:9">
      <c r="A39" s="105" t="s">
        <v>70</v>
      </c>
      <c r="B39" s="123">
        <f t="shared" si="0"/>
        <v>387.17849999999999</v>
      </c>
      <c r="C39" s="106">
        <f t="shared" si="1"/>
        <v>0.32568847625517583</v>
      </c>
      <c r="D39" s="104"/>
      <c r="E39" s="104"/>
      <c r="F39" s="104"/>
      <c r="I39" s="44"/>
    </row>
    <row r="40" spans="1:9">
      <c r="A40" s="105" t="s">
        <v>69</v>
      </c>
      <c r="B40" s="123">
        <f t="shared" si="0"/>
        <v>131.6275</v>
      </c>
      <c r="C40" s="106">
        <f t="shared" si="1"/>
        <v>0.11072298670581698</v>
      </c>
      <c r="D40" s="104"/>
      <c r="E40" s="104"/>
      <c r="F40" s="104"/>
      <c r="I40" s="44"/>
    </row>
    <row r="41" spans="1:9">
      <c r="A41" s="105" t="s">
        <v>5</v>
      </c>
      <c r="B41" s="123">
        <f>VLOOKUP(A41,L$7:M$21,2,FALSE)</f>
        <v>30286.29652</v>
      </c>
      <c r="C41" s="106">
        <f t="shared" si="1"/>
        <v>25.476357197032467</v>
      </c>
      <c r="D41" s="104"/>
      <c r="E41" s="104"/>
      <c r="F41" s="104"/>
      <c r="I41" s="44"/>
    </row>
    <row r="42" spans="1:9">
      <c r="A42" s="105" t="s">
        <v>2</v>
      </c>
      <c r="B42" s="123">
        <f t="shared" si="0"/>
        <v>17095.888029999998</v>
      </c>
      <c r="C42" s="106">
        <f t="shared" si="1"/>
        <v>14.380792638846938</v>
      </c>
      <c r="D42" s="104"/>
      <c r="E42" s="104"/>
      <c r="F42" s="104"/>
      <c r="I42" s="44"/>
    </row>
    <row r="43" spans="1:9">
      <c r="A43" s="105" t="s">
        <v>6</v>
      </c>
      <c r="B43" s="123">
        <f t="shared" si="0"/>
        <v>25215.456055999999</v>
      </c>
      <c r="C43" s="106">
        <f t="shared" si="1"/>
        <v>21.210845800988395</v>
      </c>
      <c r="D43" s="104"/>
      <c r="E43" s="104"/>
      <c r="F43" s="104"/>
      <c r="I43" s="44"/>
    </row>
    <row r="44" spans="1:9">
      <c r="A44" s="105" t="s">
        <v>7</v>
      </c>
      <c r="B44" s="123">
        <f t="shared" si="0"/>
        <v>2304.0129999999999</v>
      </c>
      <c r="C44" s="106">
        <f t="shared" si="1"/>
        <v>1.9380995671043626</v>
      </c>
      <c r="D44" s="104"/>
      <c r="E44" s="104"/>
      <c r="F44" s="104"/>
    </row>
    <row r="45" spans="1:9">
      <c r="A45" s="105" t="s">
        <v>8</v>
      </c>
      <c r="B45" s="123">
        <f t="shared" si="0"/>
        <v>1087.3499999999999</v>
      </c>
      <c r="C45" s="106">
        <f t="shared" si="1"/>
        <v>0.91466175073271228</v>
      </c>
      <c r="E45" s="104"/>
      <c r="F45" s="104"/>
    </row>
    <row r="46" spans="1:9">
      <c r="A46" s="107" t="s">
        <v>15</v>
      </c>
      <c r="B46" s="124">
        <f>SUM(B33:B45)</f>
        <v>118880.01210600001</v>
      </c>
      <c r="C46" s="108">
        <f>SUM(C33:C45)</f>
        <v>100</v>
      </c>
      <c r="D46" s="104" t="str">
        <f>CONCATENATE(TEXT(B46,"#.##0")," MW")</f>
        <v>118.880 MW</v>
      </c>
    </row>
    <row r="48" spans="1:9">
      <c r="A48" s="102" t="s">
        <v>59</v>
      </c>
      <c r="B48" s="157"/>
      <c r="C48" s="157"/>
      <c r="D48" s="157"/>
      <c r="E48" s="104"/>
      <c r="F48" s="104"/>
    </row>
    <row r="49" spans="1:10">
      <c r="A49" s="103"/>
      <c r="B49" s="86" t="s">
        <v>0</v>
      </c>
      <c r="C49" s="86" t="s">
        <v>14</v>
      </c>
      <c r="D49" s="104"/>
      <c r="E49" s="161"/>
      <c r="F49" s="162" t="s">
        <v>14</v>
      </c>
    </row>
    <row r="50" spans="1:10">
      <c r="A50" s="127" t="s">
        <v>81</v>
      </c>
      <c r="B50" s="165">
        <f>VLOOKUP(A33,A$8:B$22,2,FALSE)/1000</f>
        <v>576.58255640799996</v>
      </c>
      <c r="C50" s="106">
        <f t="shared" ref="C50:C61" si="2">B50/$B$62*100</f>
        <v>2.7088484831994988</v>
      </c>
      <c r="D50" s="125"/>
      <c r="E50" s="159" t="s">
        <v>16</v>
      </c>
      <c r="F50" s="160">
        <f>SUM(C50:C55)</f>
        <v>33.550147182632529</v>
      </c>
      <c r="G50" s="160"/>
      <c r="J50" s="44"/>
    </row>
    <row r="51" spans="1:10">
      <c r="A51" s="105" t="s">
        <v>3</v>
      </c>
      <c r="B51" s="165">
        <f t="shared" ref="B51:B54" si="3">VLOOKUP(A34,A$8:B$22,2,FALSE)/1000</f>
        <v>3470.760636</v>
      </c>
      <c r="C51" s="106">
        <f t="shared" si="2"/>
        <v>16.306016510364689</v>
      </c>
      <c r="D51" s="125"/>
      <c r="E51" s="163" t="s">
        <v>17</v>
      </c>
      <c r="F51" s="164">
        <f>SUM(C56:C61)</f>
        <v>66.449852817367457</v>
      </c>
      <c r="J51" s="44"/>
    </row>
    <row r="52" spans="1:10">
      <c r="A52" s="105" t="s">
        <v>4</v>
      </c>
      <c r="B52" s="165">
        <f t="shared" si="3"/>
        <v>209.65913500000002</v>
      </c>
      <c r="C52" s="106">
        <f t="shared" si="2"/>
        <v>0.98500175477349727</v>
      </c>
      <c r="D52" s="125"/>
      <c r="E52" s="104"/>
      <c r="F52" s="104"/>
      <c r="J52" s="44"/>
    </row>
    <row r="53" spans="1:10">
      <c r="A53" s="105" t="s">
        <v>11</v>
      </c>
      <c r="B53" s="165">
        <f t="shared" si="3"/>
        <v>1658.3286880000001</v>
      </c>
      <c r="C53" s="106">
        <f t="shared" si="2"/>
        <v>7.7910111938181537</v>
      </c>
      <c r="D53" s="125"/>
      <c r="E53" s="104"/>
      <c r="F53" s="104"/>
      <c r="J53" s="44"/>
    </row>
    <row r="54" spans="1:10">
      <c r="A54" s="105" t="s">
        <v>9</v>
      </c>
      <c r="B54" s="165">
        <f t="shared" si="3"/>
        <v>1165.9289080000001</v>
      </c>
      <c r="C54" s="106">
        <f t="shared" si="2"/>
        <v>5.4776626848200412</v>
      </c>
      <c r="D54" s="125"/>
      <c r="E54" s="104"/>
      <c r="F54" s="158"/>
      <c r="J54" s="44"/>
    </row>
    <row r="55" spans="1:10">
      <c r="A55" s="105" t="s">
        <v>70</v>
      </c>
      <c r="B55" s="165">
        <f t="shared" ref="B55:B61" si="4">VLOOKUP(A39,A$8:B$22,2,FALSE)/1000</f>
        <v>59.9403875</v>
      </c>
      <c r="C55" s="106">
        <f t="shared" si="2"/>
        <v>0.28160655565665382</v>
      </c>
      <c r="D55" s="125"/>
      <c r="E55" s="104"/>
      <c r="F55" s="104"/>
      <c r="J55" s="44"/>
    </row>
    <row r="56" spans="1:10">
      <c r="A56" s="105" t="s">
        <v>69</v>
      </c>
      <c r="B56" s="165">
        <f t="shared" si="4"/>
        <v>40.449704500000003</v>
      </c>
      <c r="C56" s="106">
        <f t="shared" si="2"/>
        <v>0.19003717587869198</v>
      </c>
      <c r="D56" s="125"/>
      <c r="E56" s="104"/>
      <c r="F56" s="104"/>
      <c r="J56" s="44"/>
    </row>
    <row r="57" spans="1:10">
      <c r="A57" s="105" t="s">
        <v>5</v>
      </c>
      <c r="B57" s="165">
        <f t="shared" si="4"/>
        <v>6037.2126539999999</v>
      </c>
      <c r="C57" s="106">
        <f t="shared" si="2"/>
        <v>28.363491331445022</v>
      </c>
      <c r="D57" s="125"/>
      <c r="E57" s="104"/>
      <c r="F57" s="104"/>
      <c r="J57" s="44"/>
    </row>
    <row r="58" spans="1:10">
      <c r="A58" s="105" t="s">
        <v>2</v>
      </c>
      <c r="B58" s="165">
        <f t="shared" si="4"/>
        <v>4622.0192777359998</v>
      </c>
      <c r="C58" s="106">
        <f t="shared" si="2"/>
        <v>21.714756665226592</v>
      </c>
      <c r="D58" s="125"/>
      <c r="E58" s="104"/>
      <c r="F58" s="104"/>
      <c r="J58" s="44"/>
    </row>
    <row r="59" spans="1:10">
      <c r="A59" s="105" t="s">
        <v>6</v>
      </c>
      <c r="B59" s="165">
        <f t="shared" si="4"/>
        <v>2983.5408169999996</v>
      </c>
      <c r="C59" s="106">
        <f t="shared" si="2"/>
        <v>14.017004029818938</v>
      </c>
      <c r="D59" s="125"/>
      <c r="E59" s="104"/>
      <c r="F59" s="104"/>
      <c r="J59" s="44"/>
    </row>
    <row r="60" spans="1:10">
      <c r="A60" s="105" t="s">
        <v>7</v>
      </c>
      <c r="B60" s="165">
        <f t="shared" si="4"/>
        <v>151.73508200000001</v>
      </c>
      <c r="C60" s="106">
        <f t="shared" si="2"/>
        <v>0.71286816112591744</v>
      </c>
      <c r="D60" s="125"/>
      <c r="E60" s="104"/>
      <c r="F60" s="104"/>
      <c r="J60" s="44"/>
    </row>
    <row r="61" spans="1:10">
      <c r="A61" s="105" t="s">
        <v>8</v>
      </c>
      <c r="B61" s="165">
        <f t="shared" si="4"/>
        <v>308.99560499999995</v>
      </c>
      <c r="C61" s="106">
        <f t="shared" si="2"/>
        <v>1.4516954538722977</v>
      </c>
      <c r="D61" s="125"/>
      <c r="E61" s="104"/>
      <c r="F61" s="104"/>
      <c r="J61" s="44"/>
    </row>
    <row r="62" spans="1:10">
      <c r="A62" s="107" t="s">
        <v>15</v>
      </c>
      <c r="B62" s="124">
        <f>SUM(B50:B61)</f>
        <v>21285.153451144</v>
      </c>
      <c r="C62" s="108">
        <f>SUM(C50:C61)</f>
        <v>99.999999999999986</v>
      </c>
      <c r="D62" s="104"/>
      <c r="E62" s="104"/>
      <c r="F62" s="104"/>
    </row>
    <row r="66" spans="1:8">
      <c r="A66" s="166" t="s">
        <v>31</v>
      </c>
      <c r="B66" s="300" t="s">
        <v>241</v>
      </c>
      <c r="G66" s="166" t="s">
        <v>31</v>
      </c>
      <c r="H66" s="300" t="s">
        <v>208</v>
      </c>
    </row>
    <row r="67" spans="1:8">
      <c r="A67" s="166" t="s">
        <v>106</v>
      </c>
      <c r="B67" s="167" t="s">
        <v>109</v>
      </c>
      <c r="G67" s="166" t="s">
        <v>106</v>
      </c>
      <c r="H67" s="167" t="s">
        <v>109</v>
      </c>
    </row>
    <row r="68" spans="1:8">
      <c r="A68" s="166" t="s">
        <v>110</v>
      </c>
      <c r="B68" s="168"/>
      <c r="G68" s="166" t="s">
        <v>211</v>
      </c>
      <c r="H68" s="168"/>
    </row>
    <row r="69" spans="1:8">
      <c r="A69" s="272" t="s">
        <v>2</v>
      </c>
      <c r="B69" s="288">
        <v>116.614964184</v>
      </c>
      <c r="G69" s="272" t="s">
        <v>2</v>
      </c>
      <c r="H69" s="288">
        <v>140.87183552400001</v>
      </c>
    </row>
    <row r="70" spans="1:8">
      <c r="A70" s="272" t="s">
        <v>81</v>
      </c>
      <c r="B70" s="288">
        <v>17.478925352000001</v>
      </c>
      <c r="G70" s="272" t="s">
        <v>81</v>
      </c>
      <c r="H70" s="288">
        <v>16.355018235999999</v>
      </c>
    </row>
    <row r="71" spans="1:8">
      <c r="A71" s="272" t="s">
        <v>3</v>
      </c>
      <c r="B71" s="288">
        <v>144.02001300000001</v>
      </c>
      <c r="G71" s="272" t="s">
        <v>3</v>
      </c>
      <c r="H71" s="288">
        <v>170.10828599999999</v>
      </c>
    </row>
    <row r="72" spans="1:8">
      <c r="A72" s="272" t="s">
        <v>4</v>
      </c>
      <c r="B72" s="288">
        <v>7.77942</v>
      </c>
      <c r="G72" s="272" t="s">
        <v>4</v>
      </c>
      <c r="H72" s="288">
        <v>9.0721670000000003</v>
      </c>
    </row>
    <row r="73" spans="1:8">
      <c r="A73" s="272" t="s">
        <v>95</v>
      </c>
      <c r="B73" s="288">
        <v>0</v>
      </c>
      <c r="G73" s="272" t="s">
        <v>95</v>
      </c>
      <c r="H73" s="288">
        <v>0</v>
      </c>
    </row>
    <row r="74" spans="1:8">
      <c r="A74" s="272" t="s">
        <v>11</v>
      </c>
      <c r="B74" s="288">
        <v>30.018127</v>
      </c>
      <c r="G74" s="272" t="s">
        <v>11</v>
      </c>
      <c r="H74" s="288">
        <v>57.894897</v>
      </c>
    </row>
    <row r="75" spans="1:8">
      <c r="A75" s="272" t="s">
        <v>5</v>
      </c>
      <c r="B75" s="288">
        <v>302.524857</v>
      </c>
      <c r="G75" s="272" t="s">
        <v>5</v>
      </c>
      <c r="H75" s="288">
        <v>338.58630399999998</v>
      </c>
    </row>
    <row r="76" spans="1:8">
      <c r="A76" s="272" t="s">
        <v>6</v>
      </c>
      <c r="B76" s="288">
        <v>121.600616</v>
      </c>
      <c r="G76" s="272" t="s">
        <v>6</v>
      </c>
      <c r="H76" s="288">
        <v>75.787553000000003</v>
      </c>
    </row>
    <row r="77" spans="1:8">
      <c r="A77" s="272" t="s">
        <v>7</v>
      </c>
      <c r="B77" s="288">
        <v>13.999261000000001</v>
      </c>
      <c r="G77" s="272" t="s">
        <v>7</v>
      </c>
      <c r="H77" s="288">
        <v>6.8643190000000001</v>
      </c>
    </row>
    <row r="78" spans="1:8">
      <c r="A78" s="272" t="s">
        <v>8</v>
      </c>
      <c r="B78" s="288">
        <v>8.0675740000000005</v>
      </c>
      <c r="G78" s="272" t="s">
        <v>8</v>
      </c>
      <c r="H78" s="288">
        <v>10.113007</v>
      </c>
    </row>
    <row r="79" spans="1:8">
      <c r="A79" s="272" t="s">
        <v>9</v>
      </c>
      <c r="B79" s="288">
        <v>32.75329</v>
      </c>
      <c r="G79" s="272" t="s">
        <v>9</v>
      </c>
      <c r="H79" s="288">
        <v>36.299419999999998</v>
      </c>
    </row>
    <row r="80" spans="1:8">
      <c r="A80" s="272" t="s">
        <v>69</v>
      </c>
      <c r="B80" s="288">
        <v>1.2076735000000001</v>
      </c>
      <c r="G80" s="272" t="s">
        <v>69</v>
      </c>
      <c r="H80" s="288">
        <v>1.165713</v>
      </c>
    </row>
    <row r="81" spans="1:11">
      <c r="A81" s="272" t="s">
        <v>70</v>
      </c>
      <c r="B81" s="288">
        <v>1.9068645</v>
      </c>
      <c r="G81" s="272" t="s">
        <v>70</v>
      </c>
      <c r="H81" s="288">
        <v>2.419403</v>
      </c>
    </row>
    <row r="82" spans="1:11">
      <c r="A82" s="273" t="s">
        <v>10</v>
      </c>
      <c r="B82" s="289">
        <v>797.97158553600002</v>
      </c>
      <c r="C82">
        <f>SUM(B69,B75:B78,B80)</f>
        <v>564.01494568400017</v>
      </c>
      <c r="G82" s="273" t="s">
        <v>10</v>
      </c>
      <c r="H82" s="289">
        <v>865.53792276000001</v>
      </c>
      <c r="I82">
        <f>SUM(H69,H75:H78,H80)</f>
        <v>573.38873152400004</v>
      </c>
    </row>
    <row r="83" spans="1:11">
      <c r="A83" s="272" t="s">
        <v>121</v>
      </c>
      <c r="B83" s="288">
        <v>-40.277268999999997</v>
      </c>
      <c r="G83" s="272" t="s">
        <v>121</v>
      </c>
      <c r="H83" s="288">
        <v>-33.93468</v>
      </c>
    </row>
    <row r="84" spans="1:11">
      <c r="A84" s="272" t="s">
        <v>97</v>
      </c>
      <c r="B84" s="288">
        <v>-4.1879369999999998</v>
      </c>
      <c r="G84" s="272" t="s">
        <v>97</v>
      </c>
      <c r="H84" s="288">
        <v>-4.8965899999999998</v>
      </c>
    </row>
    <row r="85" spans="1:11">
      <c r="A85" s="272" t="s">
        <v>122</v>
      </c>
      <c r="B85" s="288">
        <v>-70.166752000000002</v>
      </c>
      <c r="G85" s="272" t="s">
        <v>122</v>
      </c>
      <c r="H85" s="288">
        <v>-67.498549999999994</v>
      </c>
    </row>
    <row r="86" spans="1:11">
      <c r="A86" s="273" t="s">
        <v>123</v>
      </c>
      <c r="B86" s="289">
        <v>683.33962753599997</v>
      </c>
      <c r="G86" s="273" t="s">
        <v>123</v>
      </c>
      <c r="H86" s="289">
        <v>759.20810275999997</v>
      </c>
    </row>
    <row r="91" spans="1:11">
      <c r="B91" s="175" t="str">
        <f>"Mes " &amp;B66</f>
        <v>Mes 01/03/2024</v>
      </c>
      <c r="H91" s="175" t="str">
        <f>"Histórico " &amp;H66</f>
        <v>Histórico 27/01/2023</v>
      </c>
    </row>
    <row r="92" spans="1:11">
      <c r="A92" s="143" t="str">
        <f>"Estructura de generacion mensual de energía eléctrica peninsular " &amp; B66</f>
        <v>Estructura de generacion mensual de energía eléctrica peninsular 01/03/2024</v>
      </c>
      <c r="B92" s="157"/>
      <c r="C92" s="157"/>
      <c r="D92" s="157"/>
      <c r="E92" s="174" t="str">
        <f>CONCATENATE("Mes",CHAR(13),MID(A92,66,10))</f>
        <v>Mes_x000D_01/03/2024</v>
      </c>
      <c r="G92" s="143" t="str">
        <f>"Estructura de generacion mensual de energía eléctrica peninsular " &amp; H66</f>
        <v>Estructura de generacion mensual de energía eléctrica peninsular 27/01/2023</v>
      </c>
      <c r="H92" s="157"/>
      <c r="I92" s="157"/>
      <c r="J92" s="157"/>
      <c r="K92" s="157"/>
    </row>
    <row r="93" spans="1:11">
      <c r="A93" s="103"/>
      <c r="B93" s="86" t="s">
        <v>14</v>
      </c>
      <c r="C93" s="104"/>
      <c r="G93" s="103"/>
      <c r="H93" s="86" t="s">
        <v>14</v>
      </c>
      <c r="I93" s="104"/>
    </row>
    <row r="94" spans="1:11">
      <c r="A94" s="105" t="s">
        <v>81</v>
      </c>
      <c r="B94" s="173">
        <f>IF(B$72&lt;0,VLOOKUP(A94,A$69:B$84,2,FALSE)/SUM(B$69:B$71,B$73:B$81)*100,VLOOKUP(A94,A$69:B$84,2,FALSE)/VLOOKUP("Generación",A$69:B$84,2,FALSE)*100)</f>
        <v>2.1904195172888707</v>
      </c>
      <c r="C94" s="104"/>
      <c r="G94" s="105" t="s">
        <v>81</v>
      </c>
      <c r="H94" s="173">
        <f>VLOOKUP(G94,G$69:H$84,2,FALSE)/VLOOKUP("Generación",G$69:H$84,2,FALSE)*100</f>
        <v>1.8895784697506535</v>
      </c>
      <c r="I94" s="104"/>
    </row>
    <row r="95" spans="1:11">
      <c r="A95" s="105" t="s">
        <v>3</v>
      </c>
      <c r="B95" s="173">
        <f>IF(B$72&lt;0,VLOOKUP(A95,A$69:B$84,2,FALSE)/SUM(B$69:B$71,B$73:B$81)*100,VLOOKUP(A95,A$69:B$84,2,FALSE)/VLOOKUP("Generación",A$69:B$84,2,FALSE)*100)</f>
        <v>18.048263322967987</v>
      </c>
      <c r="C95" s="104"/>
      <c r="G95" s="105" t="s">
        <v>3</v>
      </c>
      <c r="H95" s="173">
        <f>VLOOKUP(G95,G$69:H$84,2,FALSE)/VLOOKUP("Generación",G$69:H$84,2,FALSE)*100</f>
        <v>19.653475778110803</v>
      </c>
      <c r="I95" s="104"/>
    </row>
    <row r="96" spans="1:11">
      <c r="A96" s="105" t="s">
        <v>4</v>
      </c>
      <c r="B96" s="173">
        <f>IF(B$72&lt;0,,VLOOKUP(A96,A$69:B$84,2,FALSE)/VLOOKUP("Generación",A$69:B$84,2,FALSE)*100)</f>
        <v>0.97489937499147161</v>
      </c>
      <c r="C96" s="104"/>
      <c r="D96" s="104"/>
      <c r="E96" s="104"/>
      <c r="G96" s="105" t="s">
        <v>4</v>
      </c>
      <c r="H96" s="173">
        <f>IF(H$72&lt;0,,VLOOKUP(G96,G$69:H$84,2,FALSE)/VLOOKUP("Generación",G$69:H$84,2,FALSE)*100)</f>
        <v>1.0481536119262065</v>
      </c>
      <c r="I96" s="104"/>
      <c r="J96" s="104"/>
      <c r="K96" s="104"/>
    </row>
    <row r="97" spans="1:11">
      <c r="A97" s="105" t="s">
        <v>11</v>
      </c>
      <c r="B97" s="173">
        <f t="shared" ref="B97:B105" si="5">IF(B$72&lt;0,VLOOKUP(A97,A$69:B$84,2,FALSE)/SUM(B$69:B$71,B$73:B$81)*100,VLOOKUP(A97,A$69:B$84,2,FALSE)/VLOOKUP("Generación",A$69:B$84,2,FALSE)*100)</f>
        <v>3.7618039970479313</v>
      </c>
      <c r="C97" s="104"/>
      <c r="D97" s="104"/>
      <c r="E97" s="104"/>
      <c r="G97" s="105" t="s">
        <v>11</v>
      </c>
      <c r="H97" s="173">
        <f t="shared" ref="H97:H105" si="6">VLOOKUP(G97,G$69:H$84,2,FALSE)/VLOOKUP("Generación",G$69:H$84,2,FALSE)*100</f>
        <v>6.6888920147353659</v>
      </c>
      <c r="I97" s="104"/>
      <c r="J97" s="104"/>
      <c r="K97" s="104"/>
    </row>
    <row r="98" spans="1:11">
      <c r="A98" s="105" t="s">
        <v>9</v>
      </c>
      <c r="B98" s="173">
        <f t="shared" si="5"/>
        <v>4.1045684575346773</v>
      </c>
      <c r="C98" s="104"/>
      <c r="D98" s="104"/>
      <c r="E98" s="104"/>
      <c r="G98" s="105" t="s">
        <v>9</v>
      </c>
      <c r="H98" s="173">
        <f t="shared" si="6"/>
        <v>4.1938566809700903</v>
      </c>
      <c r="I98" s="104"/>
      <c r="J98" s="104"/>
      <c r="K98" s="104"/>
    </row>
    <row r="99" spans="1:11">
      <c r="A99" s="105" t="s">
        <v>70</v>
      </c>
      <c r="B99" s="173">
        <f t="shared" si="5"/>
        <v>0.23896395994089853</v>
      </c>
      <c r="C99" s="104"/>
      <c r="D99" s="104"/>
      <c r="E99" s="104"/>
      <c r="G99" s="105" t="s">
        <v>70</v>
      </c>
      <c r="H99" s="173">
        <f t="shared" si="6"/>
        <v>0.27952593830725336</v>
      </c>
      <c r="I99" s="104"/>
      <c r="J99" s="104"/>
      <c r="K99" s="104"/>
    </row>
    <row r="100" spans="1:11">
      <c r="A100" s="105" t="s">
        <v>69</v>
      </c>
      <c r="B100" s="173">
        <f t="shared" si="5"/>
        <v>0.15134292021047366</v>
      </c>
      <c r="C100" s="104"/>
      <c r="D100" s="104"/>
      <c r="E100" s="104"/>
      <c r="G100" s="105" t="s">
        <v>69</v>
      </c>
      <c r="H100" s="173">
        <f t="shared" si="6"/>
        <v>0.13468075393886975</v>
      </c>
      <c r="I100" s="104"/>
      <c r="J100" s="104"/>
      <c r="K100" s="104"/>
    </row>
    <row r="101" spans="1:11">
      <c r="A101" s="105" t="s">
        <v>5</v>
      </c>
      <c r="B101" s="173">
        <f t="shared" si="5"/>
        <v>37.911733009489694</v>
      </c>
      <c r="C101" s="104"/>
      <c r="D101" s="104"/>
      <c r="E101" s="104"/>
      <c r="G101" s="105" t="s">
        <v>5</v>
      </c>
      <c r="H101" s="173">
        <f t="shared" si="6"/>
        <v>39.118598399516294</v>
      </c>
      <c r="I101" s="104"/>
      <c r="J101" s="104"/>
      <c r="K101" s="104"/>
    </row>
    <row r="102" spans="1:11">
      <c r="A102" s="105" t="s">
        <v>2</v>
      </c>
      <c r="B102" s="173">
        <f t="shared" si="5"/>
        <v>14.61392439251698</v>
      </c>
      <c r="C102" s="104"/>
      <c r="D102" s="104"/>
      <c r="E102" s="104"/>
      <c r="G102" s="105" t="s">
        <v>2</v>
      </c>
      <c r="H102" s="173">
        <f t="shared" si="6"/>
        <v>16.2756399020383</v>
      </c>
      <c r="I102" s="104"/>
      <c r="J102" s="104"/>
      <c r="K102" s="104"/>
    </row>
    <row r="103" spans="1:11">
      <c r="A103" s="105" t="s">
        <v>6</v>
      </c>
      <c r="B103" s="173">
        <f t="shared" si="5"/>
        <v>15.238715037493533</v>
      </c>
      <c r="C103" s="104"/>
      <c r="D103" s="104"/>
      <c r="E103" s="104"/>
      <c r="G103" s="105" t="s">
        <v>6</v>
      </c>
      <c r="H103" s="173">
        <f t="shared" si="6"/>
        <v>8.7561215987314611</v>
      </c>
      <c r="I103" s="104"/>
      <c r="J103" s="104"/>
      <c r="K103" s="104"/>
    </row>
    <row r="104" spans="1:11">
      <c r="A104" s="105" t="s">
        <v>7</v>
      </c>
      <c r="B104" s="173">
        <f t="shared" si="5"/>
        <v>1.7543558259153615</v>
      </c>
      <c r="C104" s="104"/>
      <c r="D104" s="104"/>
      <c r="E104" s="104"/>
      <c r="G104" s="105" t="s">
        <v>7</v>
      </c>
      <c r="H104" s="173">
        <f t="shared" si="6"/>
        <v>0.79306969914284942</v>
      </c>
      <c r="I104" s="104"/>
      <c r="J104" s="104"/>
      <c r="K104" s="104"/>
    </row>
    <row r="105" spans="1:11">
      <c r="A105" s="105" t="s">
        <v>8</v>
      </c>
      <c r="B105" s="173">
        <f t="shared" si="5"/>
        <v>1.0110101846021229</v>
      </c>
      <c r="C105" s="157"/>
      <c r="D105" s="157"/>
      <c r="E105" s="157"/>
      <c r="G105" s="105" t="s">
        <v>8</v>
      </c>
      <c r="H105" s="173">
        <f t="shared" si="6"/>
        <v>1.1684071528318438</v>
      </c>
      <c r="I105" s="104"/>
      <c r="J105" s="104"/>
      <c r="K105" s="104"/>
    </row>
    <row r="106" spans="1:11">
      <c r="A106" s="107" t="s">
        <v>15</v>
      </c>
      <c r="B106" s="108">
        <f>SUM(B94:B105)</f>
        <v>100.00000000000001</v>
      </c>
      <c r="C106" s="157"/>
      <c r="D106" s="157"/>
      <c r="E106" s="157"/>
      <c r="G106" s="107" t="s">
        <v>15</v>
      </c>
      <c r="H106" s="108">
        <f>SUM(H94:H105)</f>
        <v>99.999999999999986</v>
      </c>
      <c r="I106" s="104"/>
      <c r="J106" s="104"/>
      <c r="K106" s="104"/>
    </row>
    <row r="108" spans="1:11">
      <c r="A108" s="161"/>
      <c r="B108" s="162" t="s">
        <v>14</v>
      </c>
      <c r="G108" s="161"/>
      <c r="H108" s="162" t="s">
        <v>14</v>
      </c>
    </row>
    <row r="109" spans="1:11">
      <c r="A109" s="159" t="s">
        <v>16</v>
      </c>
      <c r="B109" s="160">
        <f>SUM(B94:B99)</f>
        <v>29.31891862977184</v>
      </c>
      <c r="G109" s="159" t="s">
        <v>16</v>
      </c>
      <c r="H109" s="160">
        <f>SUM(H94:H99)</f>
        <v>33.753482493800369</v>
      </c>
    </row>
    <row r="110" spans="1:11">
      <c r="A110" s="163" t="s">
        <v>17</v>
      </c>
      <c r="B110" s="164">
        <f>SUM(B100:B105)</f>
        <v>70.681081370228171</v>
      </c>
      <c r="G110" s="163" t="s">
        <v>17</v>
      </c>
      <c r="H110" s="164">
        <f>SUM(H100:H105)</f>
        <v>66.246517506199623</v>
      </c>
    </row>
    <row r="114" spans="1:26">
      <c r="C114">
        <v>1</v>
      </c>
      <c r="D114">
        <v>2</v>
      </c>
      <c r="E114">
        <v>3</v>
      </c>
      <c r="F114">
        <v>4</v>
      </c>
      <c r="G114">
        <v>5</v>
      </c>
      <c r="H114">
        <v>6</v>
      </c>
      <c r="I114">
        <v>7</v>
      </c>
      <c r="J114">
        <v>8</v>
      </c>
      <c r="K114">
        <v>9</v>
      </c>
      <c r="L114">
        <v>10</v>
      </c>
      <c r="M114">
        <v>11</v>
      </c>
      <c r="N114">
        <v>12</v>
      </c>
      <c r="O114">
        <v>1</v>
      </c>
      <c r="P114">
        <v>2</v>
      </c>
      <c r="Q114">
        <v>3</v>
      </c>
      <c r="R114">
        <v>4</v>
      </c>
      <c r="S114">
        <v>5</v>
      </c>
      <c r="T114">
        <v>6</v>
      </c>
      <c r="U114">
        <v>7</v>
      </c>
      <c r="V114">
        <v>8</v>
      </c>
      <c r="W114">
        <v>9</v>
      </c>
      <c r="X114">
        <v>10</v>
      </c>
      <c r="Y114">
        <v>11</v>
      </c>
      <c r="Z114">
        <v>12</v>
      </c>
    </row>
    <row r="115" spans="1:26">
      <c r="A115" s="166" t="s">
        <v>105</v>
      </c>
      <c r="B115" s="326" t="s">
        <v>98</v>
      </c>
      <c r="C115" s="327"/>
      <c r="D115" s="327"/>
      <c r="E115" s="327"/>
      <c r="F115" s="327"/>
      <c r="G115" s="327"/>
      <c r="H115" s="327"/>
      <c r="I115" s="327"/>
      <c r="J115" s="327"/>
      <c r="K115" s="327"/>
      <c r="L115" s="327"/>
      <c r="M115" s="327"/>
      <c r="N115" s="327"/>
      <c r="O115" s="327"/>
      <c r="P115" s="327"/>
      <c r="Q115" s="327"/>
      <c r="R115" s="327"/>
      <c r="S115" s="327"/>
      <c r="T115" s="327"/>
      <c r="U115" s="327"/>
      <c r="V115" s="327"/>
      <c r="W115" s="327"/>
      <c r="X115" s="327"/>
      <c r="Y115" s="327"/>
      <c r="Z115" s="327"/>
    </row>
    <row r="116" spans="1:26">
      <c r="A116" s="166" t="s">
        <v>106</v>
      </c>
      <c r="B116" s="322" t="s">
        <v>109</v>
      </c>
      <c r="C116" s="323"/>
      <c r="D116" s="323"/>
      <c r="E116" s="323"/>
      <c r="F116" s="323"/>
      <c r="G116" s="323"/>
      <c r="H116" s="323"/>
      <c r="I116" s="323"/>
      <c r="J116" s="323"/>
      <c r="K116" s="323"/>
      <c r="L116" s="323"/>
      <c r="M116" s="323"/>
      <c r="N116" s="323"/>
      <c r="O116" s="323"/>
      <c r="P116" s="323"/>
      <c r="Q116" s="323"/>
      <c r="R116" s="323"/>
      <c r="S116" s="323"/>
      <c r="T116" s="323"/>
      <c r="U116" s="323"/>
      <c r="V116" s="323"/>
      <c r="W116" s="323"/>
      <c r="X116" s="323"/>
      <c r="Y116" s="323"/>
      <c r="Z116" s="323"/>
    </row>
    <row r="117" spans="1:26">
      <c r="A117" s="170" t="s">
        <v>30</v>
      </c>
      <c r="B117" s="300" t="s">
        <v>192</v>
      </c>
      <c r="C117" s="300" t="s">
        <v>193</v>
      </c>
      <c r="D117" s="300" t="s">
        <v>196</v>
      </c>
      <c r="E117" s="300" t="s">
        <v>200</v>
      </c>
      <c r="F117" s="300" t="s">
        <v>201</v>
      </c>
      <c r="G117" s="300" t="s">
        <v>202</v>
      </c>
      <c r="H117" s="300" t="s">
        <v>203</v>
      </c>
      <c r="I117" s="300" t="s">
        <v>204</v>
      </c>
      <c r="J117" s="300" t="s">
        <v>205</v>
      </c>
      <c r="K117" s="300" t="s">
        <v>206</v>
      </c>
      <c r="L117" s="300" t="s">
        <v>207</v>
      </c>
      <c r="M117" s="300" t="s">
        <v>209</v>
      </c>
      <c r="N117" s="300" t="s">
        <v>210</v>
      </c>
      <c r="O117" s="300" t="s">
        <v>213</v>
      </c>
      <c r="P117" s="300" t="s">
        <v>221</v>
      </c>
      <c r="Q117" s="300" t="s">
        <v>223</v>
      </c>
      <c r="R117" s="300" t="s">
        <v>224</v>
      </c>
      <c r="S117" s="300" t="s">
        <v>225</v>
      </c>
      <c r="T117" s="300" t="s">
        <v>227</v>
      </c>
      <c r="U117" s="300" t="s">
        <v>228</v>
      </c>
      <c r="V117" s="300" t="s">
        <v>229</v>
      </c>
      <c r="W117" s="300" t="s">
        <v>231</v>
      </c>
      <c r="X117" s="300" t="s">
        <v>233</v>
      </c>
      <c r="Y117" s="300" t="s">
        <v>234</v>
      </c>
      <c r="Z117" s="300" t="s">
        <v>235</v>
      </c>
    </row>
    <row r="118" spans="1:26">
      <c r="A118" s="166" t="s">
        <v>107</v>
      </c>
      <c r="B118" s="274"/>
      <c r="C118" s="274"/>
      <c r="D118" s="274"/>
      <c r="E118" s="274"/>
      <c r="F118" s="274"/>
      <c r="G118" s="274"/>
      <c r="H118" s="274"/>
      <c r="I118" s="274"/>
      <c r="J118" s="274"/>
      <c r="K118" s="274"/>
      <c r="L118" s="274"/>
      <c r="M118" s="274"/>
      <c r="N118" s="274"/>
      <c r="O118" s="274"/>
      <c r="P118" s="274"/>
      <c r="Q118" s="274"/>
      <c r="R118" s="274"/>
      <c r="S118" s="274"/>
      <c r="T118" s="274"/>
      <c r="U118" s="274"/>
      <c r="V118" s="274"/>
      <c r="W118" s="274"/>
      <c r="X118" s="274"/>
      <c r="Y118" s="274"/>
      <c r="Z118" s="274"/>
    </row>
    <row r="119" spans="1:26">
      <c r="A119" s="272" t="s">
        <v>2</v>
      </c>
      <c r="B119" s="288">
        <v>1775.1816971759999</v>
      </c>
      <c r="C119" s="288">
        <v>1802.4775146960001</v>
      </c>
      <c r="D119" s="288">
        <v>1923.4158353339999</v>
      </c>
      <c r="E119" s="288">
        <v>1192.633610676</v>
      </c>
      <c r="F119" s="288">
        <v>1044.7215398359999</v>
      </c>
      <c r="G119" s="288">
        <v>973.27249521399995</v>
      </c>
      <c r="H119" s="288">
        <v>1154.544200052</v>
      </c>
      <c r="I119" s="288">
        <v>719.29101276899996</v>
      </c>
      <c r="J119" s="288">
        <v>1311.5542539319999</v>
      </c>
      <c r="K119" s="288">
        <v>2750.3073308039998</v>
      </c>
      <c r="L119" s="288">
        <v>3859.088021046</v>
      </c>
      <c r="M119" s="288">
        <v>2462.4795174880001</v>
      </c>
      <c r="N119" s="288">
        <v>2043.195288889</v>
      </c>
      <c r="O119" s="288">
        <v>1532.7970382829999</v>
      </c>
      <c r="P119" s="288">
        <v>1391.317400074</v>
      </c>
      <c r="Q119" s="288">
        <v>1912.966164422</v>
      </c>
      <c r="R119" s="288">
        <v>1303.0717722879999</v>
      </c>
      <c r="S119" s="288">
        <v>966.63222098799997</v>
      </c>
      <c r="T119" s="288">
        <v>929.63253717600003</v>
      </c>
      <c r="U119" s="288">
        <v>1445.246566886</v>
      </c>
      <c r="V119" s="288">
        <v>3449.3918406510002</v>
      </c>
      <c r="W119" s="288">
        <v>3973.5715913580002</v>
      </c>
      <c r="X119" s="288">
        <v>3896.2215926650001</v>
      </c>
      <c r="Y119" s="288">
        <v>2981.3167145880002</v>
      </c>
      <c r="Z119" s="288">
        <v>4622.0192777359998</v>
      </c>
    </row>
    <row r="120" spans="1:26">
      <c r="A120" s="272" t="s">
        <v>81</v>
      </c>
      <c r="B120" s="288">
        <v>273.84815268400001</v>
      </c>
      <c r="C120" s="288">
        <v>336.71262419200002</v>
      </c>
      <c r="D120" s="288">
        <v>300.01770330400001</v>
      </c>
      <c r="E120" s="288">
        <v>271.315038238</v>
      </c>
      <c r="F120" s="288">
        <v>216.66329902000001</v>
      </c>
      <c r="G120" s="288">
        <v>339.43728641600001</v>
      </c>
      <c r="H120" s="288">
        <v>304.78576529399999</v>
      </c>
      <c r="I120" s="288">
        <v>385.62967349299998</v>
      </c>
      <c r="J120" s="288">
        <v>361.663865692</v>
      </c>
      <c r="K120" s="288">
        <v>485.35906038799999</v>
      </c>
      <c r="L120" s="288">
        <v>542.79743612200002</v>
      </c>
      <c r="M120" s="288">
        <v>260.87120307999999</v>
      </c>
      <c r="N120" s="288">
        <v>540.07979424799998</v>
      </c>
      <c r="O120" s="288">
        <v>611.59025412400001</v>
      </c>
      <c r="P120" s="288">
        <v>482.56337790999999</v>
      </c>
      <c r="Q120" s="288">
        <v>288.68313398599997</v>
      </c>
      <c r="R120" s="288">
        <v>317.62358116000001</v>
      </c>
      <c r="S120" s="288">
        <v>417.21605209199998</v>
      </c>
      <c r="T120" s="288">
        <v>351.92025856800001</v>
      </c>
      <c r="U120" s="288">
        <v>486.13972009100002</v>
      </c>
      <c r="V120" s="288">
        <v>450.50809918800002</v>
      </c>
      <c r="W120" s="288">
        <v>445.30388932199997</v>
      </c>
      <c r="X120" s="288">
        <v>451.57611214299999</v>
      </c>
      <c r="Y120" s="288">
        <v>539.383918204</v>
      </c>
      <c r="Z120" s="288">
        <v>576.58255640799996</v>
      </c>
    </row>
    <row r="121" spans="1:26">
      <c r="A121" s="272" t="s">
        <v>3</v>
      </c>
      <c r="B121" s="288">
        <v>4766.6900519999999</v>
      </c>
      <c r="C121" s="288">
        <v>4414.7154469999996</v>
      </c>
      <c r="D121" s="288">
        <v>4066.3553609999999</v>
      </c>
      <c r="E121" s="288">
        <v>4459.4583080000002</v>
      </c>
      <c r="F121" s="288">
        <v>5073.3675970000004</v>
      </c>
      <c r="G121" s="288">
        <v>5122.0469300000004</v>
      </c>
      <c r="H121" s="288">
        <v>4847.367123</v>
      </c>
      <c r="I121" s="288">
        <v>4021.3383749999998</v>
      </c>
      <c r="J121" s="288">
        <v>4182.0928880000001</v>
      </c>
      <c r="K121" s="288">
        <v>5161.1899439999997</v>
      </c>
      <c r="L121" s="288">
        <v>5086.7635890000001</v>
      </c>
      <c r="M121" s="288">
        <v>4597.9597160000003</v>
      </c>
      <c r="N121" s="288">
        <v>5102.2896650000002</v>
      </c>
      <c r="O121" s="288">
        <v>4567.2530120000001</v>
      </c>
      <c r="P121" s="288">
        <v>3741.7683910000001</v>
      </c>
      <c r="Q121" s="288">
        <v>4008.7212100000002</v>
      </c>
      <c r="R121" s="288">
        <v>5123.1471769999998</v>
      </c>
      <c r="S121" s="288">
        <v>5008.274547</v>
      </c>
      <c r="T121" s="288">
        <v>4546.8185190000004</v>
      </c>
      <c r="U121" s="288">
        <v>3741.7340180000001</v>
      </c>
      <c r="V121" s="288">
        <v>3761.317407</v>
      </c>
      <c r="W121" s="288">
        <v>4990.0784999999996</v>
      </c>
      <c r="X121" s="288">
        <v>5160.8013369999999</v>
      </c>
      <c r="Y121" s="288">
        <v>4509.5937249999997</v>
      </c>
      <c r="Z121" s="288">
        <v>3470.760636</v>
      </c>
    </row>
    <row r="122" spans="1:26">
      <c r="A122" s="272" t="s">
        <v>4</v>
      </c>
      <c r="B122" s="288">
        <v>705.89499799999999</v>
      </c>
      <c r="C122" s="288">
        <v>691.61008400000003</v>
      </c>
      <c r="D122" s="288">
        <v>528.18479500000001</v>
      </c>
      <c r="E122" s="288">
        <v>803.89451299999996</v>
      </c>
      <c r="F122" s="288">
        <v>832.04332899999997</v>
      </c>
      <c r="G122" s="288">
        <v>814.32721900000001</v>
      </c>
      <c r="H122" s="288">
        <v>632.670525</v>
      </c>
      <c r="I122" s="288">
        <v>380.94435900000002</v>
      </c>
      <c r="J122" s="288">
        <v>320.27393899999998</v>
      </c>
      <c r="K122" s="288">
        <v>693.88968399999999</v>
      </c>
      <c r="L122" s="288">
        <v>296.21176400000002</v>
      </c>
      <c r="M122" s="288">
        <v>408.10895900000003</v>
      </c>
      <c r="N122" s="288">
        <v>424.61757399999999</v>
      </c>
      <c r="O122" s="288">
        <v>250.49709999999999</v>
      </c>
      <c r="P122" s="288">
        <v>240.394893</v>
      </c>
      <c r="Q122" s="288">
        <v>297.64954599999999</v>
      </c>
      <c r="R122" s="288">
        <v>278.085915</v>
      </c>
      <c r="S122" s="288">
        <v>405.98407800000001</v>
      </c>
      <c r="T122" s="288">
        <v>401.51815299999998</v>
      </c>
      <c r="U122" s="288">
        <v>373.47347600000001</v>
      </c>
      <c r="V122" s="288">
        <v>221.507746</v>
      </c>
      <c r="W122" s="288">
        <v>212.48337599999999</v>
      </c>
      <c r="X122" s="288">
        <v>268.85188900000003</v>
      </c>
      <c r="Y122" s="288">
        <v>206.83761699999999</v>
      </c>
      <c r="Z122" s="288">
        <v>209.65913499999999</v>
      </c>
    </row>
    <row r="123" spans="1:26">
      <c r="A123" s="272" t="s">
        <v>95</v>
      </c>
      <c r="B123" s="288">
        <v>0</v>
      </c>
      <c r="C123" s="288">
        <v>0</v>
      </c>
      <c r="D123" s="288">
        <v>0</v>
      </c>
      <c r="E123" s="288">
        <v>0</v>
      </c>
      <c r="F123" s="288">
        <v>0</v>
      </c>
      <c r="G123" s="288">
        <v>0</v>
      </c>
      <c r="H123" s="288">
        <v>0</v>
      </c>
      <c r="I123" s="288">
        <v>0</v>
      </c>
      <c r="J123" s="288">
        <v>0</v>
      </c>
      <c r="K123" s="288">
        <v>0</v>
      </c>
      <c r="L123" s="288">
        <v>0</v>
      </c>
      <c r="M123" s="288">
        <v>0</v>
      </c>
      <c r="N123" s="288">
        <v>-9.9999999999999995E-7</v>
      </c>
      <c r="O123" s="288">
        <v>0</v>
      </c>
      <c r="P123" s="288">
        <v>0</v>
      </c>
      <c r="Q123" s="288">
        <v>0</v>
      </c>
      <c r="R123" s="288">
        <v>9.9999999999999995E-7</v>
      </c>
      <c r="S123" s="288">
        <v>-9.9999999999999995E-7</v>
      </c>
      <c r="T123" s="288">
        <v>0</v>
      </c>
      <c r="U123" s="288">
        <v>-9.9999999999999995E-7</v>
      </c>
      <c r="V123" s="288">
        <v>0</v>
      </c>
      <c r="W123" s="288">
        <v>0</v>
      </c>
      <c r="X123" s="288">
        <v>0</v>
      </c>
      <c r="Y123" s="288">
        <v>0</v>
      </c>
      <c r="Z123" s="288">
        <v>9.9999999999999995E-7</v>
      </c>
    </row>
    <row r="124" spans="1:26">
      <c r="A124" s="272" t="s">
        <v>11</v>
      </c>
      <c r="B124" s="288">
        <v>3253.8125449999998</v>
      </c>
      <c r="C124" s="288">
        <v>2574.0641529999998</v>
      </c>
      <c r="D124" s="288">
        <v>3092.6266949999999</v>
      </c>
      <c r="E124" s="288">
        <v>5827.7719909999996</v>
      </c>
      <c r="F124" s="288">
        <v>7767.9649179999997</v>
      </c>
      <c r="G124" s="288">
        <v>7355.8567110000004</v>
      </c>
      <c r="H124" s="288">
        <v>7042.5267629999998</v>
      </c>
      <c r="I124" s="288">
        <v>6463.9831450000001</v>
      </c>
      <c r="J124" s="288">
        <v>4128.1797839999999</v>
      </c>
      <c r="K124" s="288">
        <v>3769.7414309999999</v>
      </c>
      <c r="L124" s="288">
        <v>2192.7549170000002</v>
      </c>
      <c r="M124" s="288">
        <v>3827.6728309999999</v>
      </c>
      <c r="N124" s="288">
        <v>2596.2711089999998</v>
      </c>
      <c r="O124" s="288">
        <v>2387.6938829999999</v>
      </c>
      <c r="P124" s="288">
        <v>2826.458556</v>
      </c>
      <c r="Q124" s="288">
        <v>4052.7489780000001</v>
      </c>
      <c r="R124" s="288">
        <v>4383.6223309999996</v>
      </c>
      <c r="S124" s="288">
        <v>4368.1142330000002</v>
      </c>
      <c r="T124" s="288">
        <v>4240.7922829999998</v>
      </c>
      <c r="U124" s="288">
        <v>3454.1032340000002</v>
      </c>
      <c r="V124" s="288">
        <v>2337.3704469999998</v>
      </c>
      <c r="W124" s="288">
        <v>2614.9533230000002</v>
      </c>
      <c r="X124" s="288">
        <v>2758.3653610000001</v>
      </c>
      <c r="Y124" s="288">
        <v>1582.038761</v>
      </c>
      <c r="Z124" s="288">
        <v>1658.3286880000001</v>
      </c>
    </row>
    <row r="125" spans="1:26">
      <c r="A125" s="272" t="s">
        <v>5</v>
      </c>
      <c r="B125" s="288">
        <v>6418.6850489999997</v>
      </c>
      <c r="C125" s="288">
        <v>5534.827182</v>
      </c>
      <c r="D125" s="288">
        <v>4570.7138519999999</v>
      </c>
      <c r="E125" s="288">
        <v>3650.6280529999999</v>
      </c>
      <c r="F125" s="288">
        <v>4385.3453140000001</v>
      </c>
      <c r="G125" s="288">
        <v>4075.9092099999998</v>
      </c>
      <c r="H125" s="288">
        <v>4069.2943150000001</v>
      </c>
      <c r="I125" s="288">
        <v>5015.3612540000004</v>
      </c>
      <c r="J125" s="288">
        <v>6579.6363689999998</v>
      </c>
      <c r="K125" s="288">
        <v>5541.3145119999999</v>
      </c>
      <c r="L125" s="288">
        <v>7324.35844</v>
      </c>
      <c r="M125" s="288">
        <v>4633.8397660000001</v>
      </c>
      <c r="N125" s="288">
        <v>6562.9494439999999</v>
      </c>
      <c r="O125" s="288">
        <v>4798.0341330000001</v>
      </c>
      <c r="P125" s="288">
        <v>5330.5438809999996</v>
      </c>
      <c r="Q125" s="288">
        <v>3017.4135729999998</v>
      </c>
      <c r="R125" s="288">
        <v>3650.5355380000001</v>
      </c>
      <c r="S125" s="288">
        <v>4088.245336</v>
      </c>
      <c r="T125" s="288">
        <v>3493.5598100000002</v>
      </c>
      <c r="U125" s="288">
        <v>5706.4825490000003</v>
      </c>
      <c r="V125" s="288">
        <v>6895.4752040000003</v>
      </c>
      <c r="W125" s="288">
        <v>5741.1681920000001</v>
      </c>
      <c r="X125" s="288">
        <v>5637.6258340000004</v>
      </c>
      <c r="Y125" s="288">
        <v>6836.4947759999995</v>
      </c>
      <c r="Z125" s="288">
        <v>6037.2126539999999</v>
      </c>
    </row>
    <row r="126" spans="1:26">
      <c r="A126" s="272" t="s">
        <v>6</v>
      </c>
      <c r="B126" s="288">
        <v>1417.013942</v>
      </c>
      <c r="C126" s="288">
        <v>2533.1844110000002</v>
      </c>
      <c r="D126" s="288">
        <v>3292.6434880000002</v>
      </c>
      <c r="E126" s="288">
        <v>3163.689421</v>
      </c>
      <c r="F126" s="288">
        <v>3323.9309790000002</v>
      </c>
      <c r="G126" s="288">
        <v>3178.4350300000001</v>
      </c>
      <c r="H126" s="288">
        <v>2646.8288579999999</v>
      </c>
      <c r="I126" s="288">
        <v>1975.2256689999999</v>
      </c>
      <c r="J126" s="288">
        <v>1500.5349329999999</v>
      </c>
      <c r="K126" s="288">
        <v>1097.410736</v>
      </c>
      <c r="L126" s="288">
        <v>1703.743702</v>
      </c>
      <c r="M126" s="288">
        <v>2108.6501520000002</v>
      </c>
      <c r="N126" s="288">
        <v>3026.359449</v>
      </c>
      <c r="O126" s="288">
        <v>3706.5430190000002</v>
      </c>
      <c r="P126" s="288">
        <v>3795.9065730000002</v>
      </c>
      <c r="Q126" s="288">
        <v>3780.393454</v>
      </c>
      <c r="R126" s="288">
        <v>4475.9036299999998</v>
      </c>
      <c r="S126" s="288">
        <v>4376.8469839999998</v>
      </c>
      <c r="T126" s="288">
        <v>3295.670611</v>
      </c>
      <c r="U126" s="288">
        <v>2566.3154300000001</v>
      </c>
      <c r="V126" s="288">
        <v>1946.5475630000001</v>
      </c>
      <c r="W126" s="288">
        <v>1820.6462019999999</v>
      </c>
      <c r="X126" s="288">
        <v>1859.956492</v>
      </c>
      <c r="Y126" s="288">
        <v>2544.8560080000002</v>
      </c>
      <c r="Z126" s="288">
        <v>2983.5408170000001</v>
      </c>
    </row>
    <row r="127" spans="1:26">
      <c r="A127" s="272" t="s">
        <v>7</v>
      </c>
      <c r="B127" s="288">
        <v>120.56837400000001</v>
      </c>
      <c r="C127" s="288">
        <v>412.77760999999998</v>
      </c>
      <c r="D127" s="288">
        <v>621.24749499999996</v>
      </c>
      <c r="E127" s="288">
        <v>534.21786699999996</v>
      </c>
      <c r="F127" s="288">
        <v>667.23559599999999</v>
      </c>
      <c r="G127" s="288">
        <v>619.95898999999997</v>
      </c>
      <c r="H127" s="288">
        <v>437.343279</v>
      </c>
      <c r="I127" s="288">
        <v>166.12881300000001</v>
      </c>
      <c r="J127" s="288">
        <v>104.765418</v>
      </c>
      <c r="K127" s="288">
        <v>59.778182999999999</v>
      </c>
      <c r="L127" s="288">
        <v>119.50775899999999</v>
      </c>
      <c r="M127" s="288">
        <v>178.785415</v>
      </c>
      <c r="N127" s="288">
        <v>409.93961899999999</v>
      </c>
      <c r="O127" s="288">
        <v>625.72451000000001</v>
      </c>
      <c r="P127" s="288">
        <v>500.29015700000002</v>
      </c>
      <c r="Q127" s="288">
        <v>541.44321600000001</v>
      </c>
      <c r="R127" s="288">
        <v>768.13673300000005</v>
      </c>
      <c r="S127" s="288">
        <v>719.76334299999996</v>
      </c>
      <c r="T127" s="288">
        <v>400.78732400000001</v>
      </c>
      <c r="U127" s="288">
        <v>226.73819900000001</v>
      </c>
      <c r="V127" s="288">
        <v>111.28416799999999</v>
      </c>
      <c r="W127" s="288">
        <v>92.059718000000004</v>
      </c>
      <c r="X127" s="288">
        <v>94.242966999999993</v>
      </c>
      <c r="Y127" s="288">
        <v>176.41685799999999</v>
      </c>
      <c r="Z127" s="288">
        <v>151.73508200000001</v>
      </c>
    </row>
    <row r="128" spans="1:26">
      <c r="A128" s="272" t="s">
        <v>8</v>
      </c>
      <c r="B128" s="288">
        <v>422.68071300000003</v>
      </c>
      <c r="C128" s="288">
        <v>429.59813000000003</v>
      </c>
      <c r="D128" s="288">
        <v>396.44900200000001</v>
      </c>
      <c r="E128" s="288">
        <v>415.07297199999999</v>
      </c>
      <c r="F128" s="288">
        <v>408.56224500000002</v>
      </c>
      <c r="G128" s="288">
        <v>382.68428</v>
      </c>
      <c r="H128" s="288">
        <v>340.65432700000002</v>
      </c>
      <c r="I128" s="288">
        <v>366.58353699999998</v>
      </c>
      <c r="J128" s="288">
        <v>365.01865600000002</v>
      </c>
      <c r="K128" s="288">
        <v>320.261664</v>
      </c>
      <c r="L128" s="288">
        <v>290.72821299999998</v>
      </c>
      <c r="M128" s="288">
        <v>356.48546800000003</v>
      </c>
      <c r="N128" s="288">
        <v>307.07592899999997</v>
      </c>
      <c r="O128" s="288">
        <v>272.39934599999998</v>
      </c>
      <c r="P128" s="288">
        <v>336.75007499999998</v>
      </c>
      <c r="Q128" s="288">
        <v>321.04170599999998</v>
      </c>
      <c r="R128" s="288">
        <v>319.13790999999998</v>
      </c>
      <c r="S128" s="288">
        <v>339.53788500000002</v>
      </c>
      <c r="T128" s="288">
        <v>284.53883400000001</v>
      </c>
      <c r="U128" s="288">
        <v>262.341748</v>
      </c>
      <c r="V128" s="288">
        <v>237.95199600000001</v>
      </c>
      <c r="W128" s="288">
        <v>254.011473</v>
      </c>
      <c r="X128" s="288">
        <v>281.89705400000003</v>
      </c>
      <c r="Y128" s="288">
        <v>257.40937400000001</v>
      </c>
      <c r="Z128" s="288">
        <v>308.99560500000001</v>
      </c>
    </row>
    <row r="129" spans="1:26">
      <c r="A129" s="272" t="s">
        <v>9</v>
      </c>
      <c r="B129" s="288">
        <v>2213.4287890000001</v>
      </c>
      <c r="C129" s="288">
        <v>1707.8025250000001</v>
      </c>
      <c r="D129" s="288">
        <v>1868.794116</v>
      </c>
      <c r="E129" s="288">
        <v>1466.342539</v>
      </c>
      <c r="F129" s="288">
        <v>1055.238141</v>
      </c>
      <c r="G129" s="288">
        <v>776.19524000000001</v>
      </c>
      <c r="H129" s="288">
        <v>737.16433600000005</v>
      </c>
      <c r="I129" s="288">
        <v>1092.281929</v>
      </c>
      <c r="J129" s="288">
        <v>1449.082572</v>
      </c>
      <c r="K129" s="288">
        <v>1096.4914060000001</v>
      </c>
      <c r="L129" s="288">
        <v>1207.221137</v>
      </c>
      <c r="M129" s="288">
        <v>1717.0495000000001</v>
      </c>
      <c r="N129" s="288">
        <v>1726.7644049999999</v>
      </c>
      <c r="O129" s="288">
        <v>1572.4450019999999</v>
      </c>
      <c r="P129" s="288">
        <v>1702.635225</v>
      </c>
      <c r="Q129" s="288">
        <v>1724.8432869999999</v>
      </c>
      <c r="R129" s="288">
        <v>1477.1990989999999</v>
      </c>
      <c r="S129" s="288">
        <v>1302.218576</v>
      </c>
      <c r="T129" s="288">
        <v>1430.8498970000001</v>
      </c>
      <c r="U129" s="288">
        <v>1244.633681</v>
      </c>
      <c r="V129" s="288">
        <v>964.46819100000005</v>
      </c>
      <c r="W129" s="288">
        <v>1180.951693</v>
      </c>
      <c r="X129" s="288">
        <v>1694.552316</v>
      </c>
      <c r="Y129" s="288">
        <v>1363.1187210000001</v>
      </c>
      <c r="Z129" s="288">
        <v>1165.9289080000001</v>
      </c>
    </row>
    <row r="130" spans="1:26">
      <c r="A130" s="272" t="s">
        <v>69</v>
      </c>
      <c r="B130" s="288">
        <v>71.978253499999994</v>
      </c>
      <c r="C130" s="288">
        <v>64.772149999999996</v>
      </c>
      <c r="D130" s="288">
        <v>67.480593499999998</v>
      </c>
      <c r="E130" s="288">
        <v>63.217403500000003</v>
      </c>
      <c r="F130" s="288">
        <v>59.032142</v>
      </c>
      <c r="G130" s="288">
        <v>51.306201000000001</v>
      </c>
      <c r="H130" s="288">
        <v>45.615575</v>
      </c>
      <c r="I130" s="288">
        <v>60.185411000000002</v>
      </c>
      <c r="J130" s="288">
        <v>56.9594545</v>
      </c>
      <c r="K130" s="288">
        <v>62.369816499999999</v>
      </c>
      <c r="L130" s="288">
        <v>60.303250499999997</v>
      </c>
      <c r="M130" s="288">
        <v>61.687733999999999</v>
      </c>
      <c r="N130" s="288">
        <v>62.173029999999997</v>
      </c>
      <c r="O130" s="288">
        <v>46.745470500000003</v>
      </c>
      <c r="P130" s="288">
        <v>32.738592500000003</v>
      </c>
      <c r="Q130" s="288">
        <v>65.021735000000007</v>
      </c>
      <c r="R130" s="288">
        <v>70.556624999999997</v>
      </c>
      <c r="S130" s="288">
        <v>62.106560000000002</v>
      </c>
      <c r="T130" s="288">
        <v>63.283716499999997</v>
      </c>
      <c r="U130" s="288">
        <v>65.383654000000007</v>
      </c>
      <c r="V130" s="288">
        <v>52.408155000000001</v>
      </c>
      <c r="W130" s="288">
        <v>65.083246000000003</v>
      </c>
      <c r="X130" s="288">
        <v>58.133075499999997</v>
      </c>
      <c r="Y130" s="288">
        <v>53.101937</v>
      </c>
      <c r="Z130" s="288">
        <v>40.449704500000003</v>
      </c>
    </row>
    <row r="131" spans="1:26">
      <c r="A131" s="272" t="s">
        <v>70</v>
      </c>
      <c r="B131" s="288">
        <v>173.90460849999999</v>
      </c>
      <c r="C131" s="288">
        <v>163.84968900000001</v>
      </c>
      <c r="D131" s="288">
        <v>158.10162349999999</v>
      </c>
      <c r="E131" s="288">
        <v>142.1799135</v>
      </c>
      <c r="F131" s="288">
        <v>164.320076</v>
      </c>
      <c r="G131" s="288">
        <v>150.61526699999999</v>
      </c>
      <c r="H131" s="288">
        <v>125.964905</v>
      </c>
      <c r="I131" s="288">
        <v>143.37030100000001</v>
      </c>
      <c r="J131" s="288">
        <v>117.0142835</v>
      </c>
      <c r="K131" s="288">
        <v>123.76469350000001</v>
      </c>
      <c r="L131" s="288">
        <v>95.578440499999999</v>
      </c>
      <c r="M131" s="288">
        <v>104.984111</v>
      </c>
      <c r="N131" s="288">
        <v>110.360659</v>
      </c>
      <c r="O131" s="288">
        <v>80.064349500000006</v>
      </c>
      <c r="P131" s="288">
        <v>58.672222499999997</v>
      </c>
      <c r="Q131" s="288">
        <v>106.86346</v>
      </c>
      <c r="R131" s="288">
        <v>113.404867</v>
      </c>
      <c r="S131" s="288">
        <v>104.296549</v>
      </c>
      <c r="T131" s="288">
        <v>106.0009465</v>
      </c>
      <c r="U131" s="288">
        <v>108.36413899999999</v>
      </c>
      <c r="V131" s="288">
        <v>89.150436999999997</v>
      </c>
      <c r="W131" s="288">
        <v>102.220887</v>
      </c>
      <c r="X131" s="288">
        <v>95.291753499999999</v>
      </c>
      <c r="Y131" s="288">
        <v>79.311832999999993</v>
      </c>
      <c r="Z131" s="288">
        <v>59.9403875</v>
      </c>
    </row>
    <row r="132" spans="1:26">
      <c r="A132" s="273" t="s">
        <v>10</v>
      </c>
      <c r="B132" s="289">
        <v>21613.687173859998</v>
      </c>
      <c r="C132" s="289">
        <v>20666.391519887999</v>
      </c>
      <c r="D132" s="289">
        <v>20886.030559637999</v>
      </c>
      <c r="E132" s="289">
        <v>21990.421629913999</v>
      </c>
      <c r="F132" s="289">
        <v>24998.425175855999</v>
      </c>
      <c r="G132" s="289">
        <v>23840.044859630001</v>
      </c>
      <c r="H132" s="289">
        <v>22384.759971346</v>
      </c>
      <c r="I132" s="289">
        <v>20790.323479261999</v>
      </c>
      <c r="J132" s="289">
        <v>20476.776416624001</v>
      </c>
      <c r="K132" s="289">
        <v>21161.878461191998</v>
      </c>
      <c r="L132" s="289">
        <v>22779.056669168</v>
      </c>
      <c r="M132" s="289">
        <v>20718.574372568</v>
      </c>
      <c r="N132" s="289">
        <v>22912.075965136999</v>
      </c>
      <c r="O132" s="289">
        <v>20451.787117406999</v>
      </c>
      <c r="P132" s="289">
        <v>20440.039343984001</v>
      </c>
      <c r="Q132" s="289">
        <v>20117.789463408</v>
      </c>
      <c r="R132" s="289">
        <v>22280.425179448001</v>
      </c>
      <c r="S132" s="289">
        <v>22159.236363079999</v>
      </c>
      <c r="T132" s="289">
        <v>19545.372889744001</v>
      </c>
      <c r="U132" s="289">
        <v>19680.956413977001</v>
      </c>
      <c r="V132" s="289">
        <v>20517.381253839001</v>
      </c>
      <c r="W132" s="289">
        <v>21492.532090680001</v>
      </c>
      <c r="X132" s="289">
        <v>22257.515783808001</v>
      </c>
      <c r="Y132" s="289">
        <v>21129.880242792002</v>
      </c>
      <c r="Z132" s="289">
        <v>21285.153452144001</v>
      </c>
    </row>
    <row r="133" spans="1:26">
      <c r="A133" s="272" t="s">
        <v>121</v>
      </c>
      <c r="B133" s="288">
        <v>-413.67369271000001</v>
      </c>
      <c r="C133" s="288">
        <v>-596.643821</v>
      </c>
      <c r="D133" s="288">
        <v>-443.41771708800002</v>
      </c>
      <c r="E133" s="288">
        <v>-467.84587496699999</v>
      </c>
      <c r="F133" s="288">
        <v>-366.43131077700002</v>
      </c>
      <c r="G133" s="288">
        <v>-478.12104373599999</v>
      </c>
      <c r="H133" s="288">
        <v>-477.58872789600002</v>
      </c>
      <c r="I133" s="288">
        <v>-561.04328870400002</v>
      </c>
      <c r="J133" s="288">
        <v>-586.96255799999994</v>
      </c>
      <c r="K133" s="288">
        <v>-825.88653889700004</v>
      </c>
      <c r="L133" s="288">
        <v>-948.64611309600002</v>
      </c>
      <c r="M133" s="288">
        <v>-399.19064197199998</v>
      </c>
      <c r="N133" s="288">
        <v>-896.46883619799996</v>
      </c>
      <c r="O133" s="288">
        <v>-928.43957917600005</v>
      </c>
      <c r="P133" s="288">
        <v>-727.87499312099999</v>
      </c>
      <c r="Q133" s="288">
        <v>-398.39513445599999</v>
      </c>
      <c r="R133" s="288">
        <v>-478.52159231399997</v>
      </c>
      <c r="S133" s="288">
        <v>-629.17239274400004</v>
      </c>
      <c r="T133" s="288">
        <v>-536.13081876800004</v>
      </c>
      <c r="U133" s="288">
        <v>-743.00192600000003</v>
      </c>
      <c r="V133" s="288">
        <v>-805.67009097599998</v>
      </c>
      <c r="W133" s="288">
        <v>-692.06646499999999</v>
      </c>
      <c r="X133" s="288">
        <v>-735.93414696499997</v>
      </c>
      <c r="Y133" s="288">
        <v>-864.29420391999997</v>
      </c>
      <c r="Z133" s="288">
        <v>-1089.125235</v>
      </c>
    </row>
    <row r="134" spans="1:26">
      <c r="A134" s="272" t="s">
        <v>97</v>
      </c>
      <c r="B134" s="288">
        <v>-30.689281000000001</v>
      </c>
      <c r="C134" s="288">
        <v>-33.641058999999998</v>
      </c>
      <c r="D134" s="288">
        <v>-32.047055999999998</v>
      </c>
      <c r="E134" s="288">
        <v>-35.225064000000003</v>
      </c>
      <c r="F134" s="288">
        <v>-67.033137999999994</v>
      </c>
      <c r="G134" s="288">
        <v>-77.653036</v>
      </c>
      <c r="H134" s="288">
        <v>-70.647335999999996</v>
      </c>
      <c r="I134" s="288">
        <v>-61.365385000000003</v>
      </c>
      <c r="J134" s="288">
        <v>-55.991686000000001</v>
      </c>
      <c r="K134" s="288">
        <v>-79.778822000000005</v>
      </c>
      <c r="L134" s="288">
        <v>-123.950131</v>
      </c>
      <c r="M134" s="288">
        <v>-89.734262000000001</v>
      </c>
      <c r="N134" s="288">
        <v>-82.194308000000007</v>
      </c>
      <c r="O134" s="288">
        <v>-98.033413999999993</v>
      </c>
      <c r="P134" s="288">
        <v>-118.762416</v>
      </c>
      <c r="Q134" s="288">
        <v>-124.350134</v>
      </c>
      <c r="R134" s="288">
        <v>-168.54782399999999</v>
      </c>
      <c r="S134" s="288">
        <v>-175.00929099999999</v>
      </c>
      <c r="T134" s="288">
        <v>-130.854702</v>
      </c>
      <c r="U134" s="288">
        <v>-131.44748999999999</v>
      </c>
      <c r="V134" s="288">
        <v>-70.735690000000005</v>
      </c>
      <c r="W134" s="288">
        <v>-112.440268</v>
      </c>
      <c r="X134" s="288">
        <v>-122.760274</v>
      </c>
      <c r="Y134" s="288">
        <v>-114.74408200000001</v>
      </c>
      <c r="Z134" s="288">
        <v>-110.667727</v>
      </c>
    </row>
    <row r="135" spans="1:26">
      <c r="A135" s="272" t="s">
        <v>122</v>
      </c>
      <c r="B135" s="288">
        <v>-880.29803000000004</v>
      </c>
      <c r="C135" s="288">
        <v>-1586.8692699999999</v>
      </c>
      <c r="D135" s="288">
        <v>-1313.838207</v>
      </c>
      <c r="E135" s="288">
        <v>-1458.729505</v>
      </c>
      <c r="F135" s="288">
        <v>-2422.6880030000002</v>
      </c>
      <c r="G135" s="288">
        <v>-2798.10347</v>
      </c>
      <c r="H135" s="288">
        <v>-2876.6627090000002</v>
      </c>
      <c r="I135" s="288">
        <v>-2065.4861510000001</v>
      </c>
      <c r="J135" s="288">
        <v>-1633.8960930000001</v>
      </c>
      <c r="K135" s="288">
        <v>-1117.2289450000001</v>
      </c>
      <c r="L135" s="288">
        <v>-922.71322199999997</v>
      </c>
      <c r="M135" s="288">
        <v>-922.84288700000002</v>
      </c>
      <c r="N135" s="288">
        <v>-2606.845859</v>
      </c>
      <c r="O135" s="288">
        <v>-2361.0407519999999</v>
      </c>
      <c r="P135" s="288">
        <v>-1674.8909679999999</v>
      </c>
      <c r="Q135" s="288">
        <v>-1071.1094189999999</v>
      </c>
      <c r="R135" s="288">
        <v>-511.60106500000001</v>
      </c>
      <c r="S135" s="288">
        <v>-1244.3830700000001</v>
      </c>
      <c r="T135" s="288">
        <v>-644.64615200000003</v>
      </c>
      <c r="U135" s="288">
        <v>-374.74090200000001</v>
      </c>
      <c r="V135" s="288">
        <v>-852.97635600000001</v>
      </c>
      <c r="W135" s="288">
        <v>-770.30372599999998</v>
      </c>
      <c r="X135" s="288">
        <v>-489.04781300000002</v>
      </c>
      <c r="Y135" s="288">
        <v>-1120.620263</v>
      </c>
      <c r="Z135" s="288">
        <v>-833.06556799999998</v>
      </c>
    </row>
    <row r="136" spans="1:26">
      <c r="A136" s="273" t="s">
        <v>123</v>
      </c>
      <c r="B136" s="289">
        <v>20289.026170149999</v>
      </c>
      <c r="C136" s="289">
        <v>18449.237369888</v>
      </c>
      <c r="D136" s="289">
        <v>19096.727579549999</v>
      </c>
      <c r="E136" s="289">
        <v>20028.621185946999</v>
      </c>
      <c r="F136" s="289">
        <v>22142.272724079001</v>
      </c>
      <c r="G136" s="289">
        <v>20486.167309894001</v>
      </c>
      <c r="H136" s="289">
        <v>18959.861198449998</v>
      </c>
      <c r="I136" s="289">
        <v>18102.428654558</v>
      </c>
      <c r="J136" s="289">
        <v>18199.926079624001</v>
      </c>
      <c r="K136" s="289">
        <v>19138.984155294998</v>
      </c>
      <c r="L136" s="289">
        <v>20783.747203071998</v>
      </c>
      <c r="M136" s="289">
        <v>19306.806581596</v>
      </c>
      <c r="N136" s="289">
        <v>19326.566961938999</v>
      </c>
      <c r="O136" s="289">
        <v>17064.273372231</v>
      </c>
      <c r="P136" s="289">
        <v>17918.510966862999</v>
      </c>
      <c r="Q136" s="289">
        <v>18523.934775951999</v>
      </c>
      <c r="R136" s="289">
        <v>21121.754698133998</v>
      </c>
      <c r="S136" s="289">
        <v>20110.671609336001</v>
      </c>
      <c r="T136" s="289">
        <v>18233.741216975999</v>
      </c>
      <c r="U136" s="289">
        <v>18431.766095977</v>
      </c>
      <c r="V136" s="289">
        <v>18787.999116863</v>
      </c>
      <c r="W136" s="289">
        <v>19917.72163168</v>
      </c>
      <c r="X136" s="289">
        <v>20909.773549843001</v>
      </c>
      <c r="Y136" s="289">
        <v>19030.221693872001</v>
      </c>
      <c r="Z136" s="289">
        <v>19252.294922143999</v>
      </c>
    </row>
    <row r="140" spans="1:26" s="176" customFormat="1" ht="12">
      <c r="A140" s="182" t="s">
        <v>30</v>
      </c>
      <c r="B140" s="182" t="str">
        <f t="shared" ref="B140:N140" si="7">MID(UPPER(TEXT(B141,"mmm")),1,1)</f>
        <v>M</v>
      </c>
      <c r="C140" s="182" t="str">
        <f t="shared" si="7"/>
        <v>A</v>
      </c>
      <c r="D140" s="182" t="str">
        <f t="shared" si="7"/>
        <v>M</v>
      </c>
      <c r="E140" s="182" t="str">
        <f t="shared" si="7"/>
        <v>J</v>
      </c>
      <c r="F140" s="182" t="str">
        <f t="shared" si="7"/>
        <v>J</v>
      </c>
      <c r="G140" s="182" t="str">
        <f t="shared" si="7"/>
        <v>A</v>
      </c>
      <c r="H140" s="182" t="str">
        <f t="shared" si="7"/>
        <v>S</v>
      </c>
      <c r="I140" s="182" t="str">
        <f t="shared" si="7"/>
        <v>O</v>
      </c>
      <c r="J140" s="182" t="str">
        <f t="shared" si="7"/>
        <v>N</v>
      </c>
      <c r="K140" s="182" t="str">
        <f t="shared" si="7"/>
        <v>D</v>
      </c>
      <c r="L140" s="182" t="str">
        <f t="shared" si="7"/>
        <v>E</v>
      </c>
      <c r="M140" s="182" t="str">
        <f t="shared" si="7"/>
        <v>F</v>
      </c>
      <c r="N140" s="182" t="str">
        <f t="shared" si="7"/>
        <v>M</v>
      </c>
    </row>
    <row r="141" spans="1:26" s="176" customFormat="1" ht="12">
      <c r="A141" s="182" t="s">
        <v>111</v>
      </c>
      <c r="B141" s="182" t="str">
        <f>TEXT(EDATE(C141,-1),"mmmm aaaa")</f>
        <v>marzo 2023</v>
      </c>
      <c r="C141" s="182" t="str">
        <f t="shared" ref="C141:M141" si="8">TEXT(EDATE(D141,-1),"mmmm aaaa")</f>
        <v>abril 2023</v>
      </c>
      <c r="D141" s="182" t="str">
        <f t="shared" si="8"/>
        <v>mayo 2023</v>
      </c>
      <c r="E141" s="182" t="str">
        <f t="shared" si="8"/>
        <v>junio 2023</v>
      </c>
      <c r="F141" s="182" t="str">
        <f t="shared" si="8"/>
        <v>julio 2023</v>
      </c>
      <c r="G141" s="182" t="str">
        <f t="shared" si="8"/>
        <v>agosto 2023</v>
      </c>
      <c r="H141" s="182" t="str">
        <f t="shared" si="8"/>
        <v>septiembre 2023</v>
      </c>
      <c r="I141" s="182" t="str">
        <f t="shared" si="8"/>
        <v>octubre 2023</v>
      </c>
      <c r="J141" s="182" t="str">
        <f t="shared" si="8"/>
        <v>noviembre 2023</v>
      </c>
      <c r="K141" s="182" t="str">
        <f t="shared" si="8"/>
        <v>diciembre 2023</v>
      </c>
      <c r="L141" s="182" t="str">
        <f t="shared" si="8"/>
        <v>enero 2024</v>
      </c>
      <c r="M141" s="182" t="str">
        <f t="shared" si="8"/>
        <v>febrero 2024</v>
      </c>
      <c r="N141" s="182" t="str">
        <f>A2</f>
        <v>Marzo 2024</v>
      </c>
    </row>
    <row r="142" spans="1:26" s="179" customFormat="1" ht="12">
      <c r="A142" s="177" t="s">
        <v>2</v>
      </c>
      <c r="B142" s="178">
        <f t="shared" ref="B142:N142" si="9">HLOOKUP(B$141,$117:$133,3,FALSE)</f>
        <v>2043.195288889</v>
      </c>
      <c r="C142" s="178">
        <f t="shared" si="9"/>
        <v>1532.7970382829999</v>
      </c>
      <c r="D142" s="178">
        <f t="shared" si="9"/>
        <v>1391.317400074</v>
      </c>
      <c r="E142" s="178">
        <f t="shared" si="9"/>
        <v>1912.966164422</v>
      </c>
      <c r="F142" s="178">
        <f t="shared" si="9"/>
        <v>1303.0717722879999</v>
      </c>
      <c r="G142" s="178">
        <f t="shared" si="9"/>
        <v>966.63222098799997</v>
      </c>
      <c r="H142" s="178">
        <f t="shared" si="9"/>
        <v>929.63253717600003</v>
      </c>
      <c r="I142" s="178">
        <f t="shared" si="9"/>
        <v>1445.246566886</v>
      </c>
      <c r="J142" s="178">
        <f t="shared" si="9"/>
        <v>3449.3918406510002</v>
      </c>
      <c r="K142" s="178">
        <f t="shared" si="9"/>
        <v>3973.5715913580002</v>
      </c>
      <c r="L142" s="178">
        <f t="shared" si="9"/>
        <v>3896.2215926650001</v>
      </c>
      <c r="M142" s="178">
        <f t="shared" si="9"/>
        <v>2981.3167145880002</v>
      </c>
      <c r="N142" s="178">
        <f t="shared" si="9"/>
        <v>4622.0192777359998</v>
      </c>
    </row>
    <row r="143" spans="1:26" s="179" customFormat="1" ht="12">
      <c r="A143" s="177" t="s">
        <v>81</v>
      </c>
      <c r="B143" s="178">
        <f t="shared" ref="B143:N143" si="10">HLOOKUP(B$141,$117:$133,4,FALSE)</f>
        <v>540.07979424799998</v>
      </c>
      <c r="C143" s="178">
        <f t="shared" si="10"/>
        <v>611.59025412400001</v>
      </c>
      <c r="D143" s="178">
        <f t="shared" si="10"/>
        <v>482.56337790999999</v>
      </c>
      <c r="E143" s="178">
        <f t="shared" si="10"/>
        <v>288.68313398599997</v>
      </c>
      <c r="F143" s="178">
        <f t="shared" si="10"/>
        <v>317.62358116000001</v>
      </c>
      <c r="G143" s="178">
        <f t="shared" si="10"/>
        <v>417.21605209199998</v>
      </c>
      <c r="H143" s="178">
        <f t="shared" si="10"/>
        <v>351.92025856800001</v>
      </c>
      <c r="I143" s="178">
        <f t="shared" si="10"/>
        <v>486.13972009100002</v>
      </c>
      <c r="J143" s="178">
        <f t="shared" si="10"/>
        <v>450.50809918800002</v>
      </c>
      <c r="K143" s="178">
        <f t="shared" si="10"/>
        <v>445.30388932199997</v>
      </c>
      <c r="L143" s="178">
        <f t="shared" si="10"/>
        <v>451.57611214299999</v>
      </c>
      <c r="M143" s="178">
        <f t="shared" si="10"/>
        <v>539.383918204</v>
      </c>
      <c r="N143" s="178">
        <f t="shared" si="10"/>
        <v>576.58255640799996</v>
      </c>
    </row>
    <row r="144" spans="1:26" s="179" customFormat="1" ht="12">
      <c r="A144" s="177" t="s">
        <v>3</v>
      </c>
      <c r="B144" s="178">
        <f t="shared" ref="B144:N144" si="11">HLOOKUP(B$141,$117:$133,5,FALSE)</f>
        <v>5102.2896650000002</v>
      </c>
      <c r="C144" s="178">
        <f t="shared" si="11"/>
        <v>4567.2530120000001</v>
      </c>
      <c r="D144" s="178">
        <f t="shared" si="11"/>
        <v>3741.7683910000001</v>
      </c>
      <c r="E144" s="178">
        <f t="shared" si="11"/>
        <v>4008.7212100000002</v>
      </c>
      <c r="F144" s="178">
        <f t="shared" si="11"/>
        <v>5123.1471769999998</v>
      </c>
      <c r="G144" s="178">
        <f t="shared" si="11"/>
        <v>5008.274547</v>
      </c>
      <c r="H144" s="178">
        <f t="shared" si="11"/>
        <v>4546.8185190000004</v>
      </c>
      <c r="I144" s="178">
        <f t="shared" si="11"/>
        <v>3741.7340180000001</v>
      </c>
      <c r="J144" s="178">
        <f t="shared" si="11"/>
        <v>3761.317407</v>
      </c>
      <c r="K144" s="178">
        <f t="shared" si="11"/>
        <v>4990.0784999999996</v>
      </c>
      <c r="L144" s="178">
        <f t="shared" si="11"/>
        <v>5160.8013369999999</v>
      </c>
      <c r="M144" s="178">
        <f t="shared" si="11"/>
        <v>4509.5937249999997</v>
      </c>
      <c r="N144" s="178">
        <f t="shared" si="11"/>
        <v>3470.760636</v>
      </c>
    </row>
    <row r="145" spans="1:15" s="179" customFormat="1" ht="12">
      <c r="A145" s="177" t="s">
        <v>4</v>
      </c>
      <c r="B145" s="178">
        <f t="shared" ref="B145:N145" si="12">HLOOKUP(B$141,$117:$133,6,FALSE)</f>
        <v>424.61757399999999</v>
      </c>
      <c r="C145" s="178">
        <f t="shared" si="12"/>
        <v>250.49709999999999</v>
      </c>
      <c r="D145" s="178">
        <f t="shared" si="12"/>
        <v>240.394893</v>
      </c>
      <c r="E145" s="178">
        <f t="shared" si="12"/>
        <v>297.64954599999999</v>
      </c>
      <c r="F145" s="178">
        <f t="shared" si="12"/>
        <v>278.085915</v>
      </c>
      <c r="G145" s="178">
        <f t="shared" si="12"/>
        <v>405.98407800000001</v>
      </c>
      <c r="H145" s="178">
        <f t="shared" si="12"/>
        <v>401.51815299999998</v>
      </c>
      <c r="I145" s="178">
        <f t="shared" si="12"/>
        <v>373.47347600000001</v>
      </c>
      <c r="J145" s="178">
        <f t="shared" si="12"/>
        <v>221.507746</v>
      </c>
      <c r="K145" s="178">
        <f t="shared" si="12"/>
        <v>212.48337599999999</v>
      </c>
      <c r="L145" s="178">
        <f t="shared" si="12"/>
        <v>268.85188900000003</v>
      </c>
      <c r="M145" s="178">
        <f t="shared" si="12"/>
        <v>206.83761699999999</v>
      </c>
      <c r="N145" s="178">
        <f t="shared" si="12"/>
        <v>209.65913499999999</v>
      </c>
    </row>
    <row r="146" spans="1:15" s="179" customFormat="1" ht="12">
      <c r="A146" s="177" t="s">
        <v>11</v>
      </c>
      <c r="B146" s="178">
        <f t="shared" ref="B146:N146" si="13">HLOOKUP(B$141,$117:$133,8,FALSE)</f>
        <v>2596.2711089999998</v>
      </c>
      <c r="C146" s="178">
        <f t="shared" si="13"/>
        <v>2387.6938829999999</v>
      </c>
      <c r="D146" s="178">
        <f t="shared" si="13"/>
        <v>2826.458556</v>
      </c>
      <c r="E146" s="178">
        <f t="shared" si="13"/>
        <v>4052.7489780000001</v>
      </c>
      <c r="F146" s="178">
        <f t="shared" si="13"/>
        <v>4383.6223309999996</v>
      </c>
      <c r="G146" s="178">
        <f t="shared" si="13"/>
        <v>4368.1142330000002</v>
      </c>
      <c r="H146" s="178">
        <f t="shared" si="13"/>
        <v>4240.7922829999998</v>
      </c>
      <c r="I146" s="178">
        <f t="shared" si="13"/>
        <v>3454.1032340000002</v>
      </c>
      <c r="J146" s="178">
        <f t="shared" si="13"/>
        <v>2337.3704469999998</v>
      </c>
      <c r="K146" s="178">
        <f t="shared" si="13"/>
        <v>2614.9533230000002</v>
      </c>
      <c r="L146" s="178">
        <f t="shared" si="13"/>
        <v>2758.3653610000001</v>
      </c>
      <c r="M146" s="178">
        <f t="shared" si="13"/>
        <v>1582.038761</v>
      </c>
      <c r="N146" s="178">
        <f t="shared" si="13"/>
        <v>1658.3286880000001</v>
      </c>
    </row>
    <row r="147" spans="1:15" s="179" customFormat="1" ht="12">
      <c r="A147" s="177" t="s">
        <v>5</v>
      </c>
      <c r="B147" s="178">
        <f t="shared" ref="B147:N147" si="14">HLOOKUP(B$141,$117:$133,9,FALSE)</f>
        <v>6562.9494439999999</v>
      </c>
      <c r="C147" s="178">
        <f t="shared" si="14"/>
        <v>4798.0341330000001</v>
      </c>
      <c r="D147" s="178">
        <f t="shared" si="14"/>
        <v>5330.5438809999996</v>
      </c>
      <c r="E147" s="178">
        <f t="shared" si="14"/>
        <v>3017.4135729999998</v>
      </c>
      <c r="F147" s="178">
        <f t="shared" si="14"/>
        <v>3650.5355380000001</v>
      </c>
      <c r="G147" s="178">
        <f t="shared" si="14"/>
        <v>4088.245336</v>
      </c>
      <c r="H147" s="178">
        <f t="shared" si="14"/>
        <v>3493.5598100000002</v>
      </c>
      <c r="I147" s="178">
        <f t="shared" si="14"/>
        <v>5706.4825490000003</v>
      </c>
      <c r="J147" s="178">
        <f t="shared" si="14"/>
        <v>6895.4752040000003</v>
      </c>
      <c r="K147" s="178">
        <f t="shared" si="14"/>
        <v>5741.1681920000001</v>
      </c>
      <c r="L147" s="178">
        <f t="shared" si="14"/>
        <v>5637.6258340000004</v>
      </c>
      <c r="M147" s="178">
        <f t="shared" si="14"/>
        <v>6836.4947759999995</v>
      </c>
      <c r="N147" s="178">
        <f t="shared" si="14"/>
        <v>6037.2126539999999</v>
      </c>
    </row>
    <row r="148" spans="1:15" s="179" customFormat="1" ht="12">
      <c r="A148" s="177" t="s">
        <v>6</v>
      </c>
      <c r="B148" s="178">
        <f t="shared" ref="B148:N148" si="15">HLOOKUP(B$141,$117:$133,10,FALSE)</f>
        <v>3026.359449</v>
      </c>
      <c r="C148" s="178">
        <f t="shared" si="15"/>
        <v>3706.5430190000002</v>
      </c>
      <c r="D148" s="178">
        <f t="shared" si="15"/>
        <v>3795.9065730000002</v>
      </c>
      <c r="E148" s="178">
        <f t="shared" si="15"/>
        <v>3780.393454</v>
      </c>
      <c r="F148" s="178">
        <f t="shared" si="15"/>
        <v>4475.9036299999998</v>
      </c>
      <c r="G148" s="178">
        <f t="shared" si="15"/>
        <v>4376.8469839999998</v>
      </c>
      <c r="H148" s="178">
        <f t="shared" si="15"/>
        <v>3295.670611</v>
      </c>
      <c r="I148" s="178">
        <f t="shared" si="15"/>
        <v>2566.3154300000001</v>
      </c>
      <c r="J148" s="178">
        <f t="shared" si="15"/>
        <v>1946.5475630000001</v>
      </c>
      <c r="K148" s="178">
        <f t="shared" si="15"/>
        <v>1820.6462019999999</v>
      </c>
      <c r="L148" s="178">
        <f t="shared" si="15"/>
        <v>1859.956492</v>
      </c>
      <c r="M148" s="178">
        <f t="shared" si="15"/>
        <v>2544.8560080000002</v>
      </c>
      <c r="N148" s="178">
        <f t="shared" si="15"/>
        <v>2983.5408170000001</v>
      </c>
    </row>
    <row r="149" spans="1:15" s="179" customFormat="1" ht="12">
      <c r="A149" s="177" t="s">
        <v>7</v>
      </c>
      <c r="B149" s="178">
        <f t="shared" ref="B149:N149" si="16">HLOOKUP(B$141,$117:$133,11,FALSE)</f>
        <v>409.93961899999999</v>
      </c>
      <c r="C149" s="178">
        <f t="shared" si="16"/>
        <v>625.72451000000001</v>
      </c>
      <c r="D149" s="178">
        <f t="shared" si="16"/>
        <v>500.29015700000002</v>
      </c>
      <c r="E149" s="178">
        <f t="shared" si="16"/>
        <v>541.44321600000001</v>
      </c>
      <c r="F149" s="178">
        <f t="shared" si="16"/>
        <v>768.13673300000005</v>
      </c>
      <c r="G149" s="178">
        <f t="shared" si="16"/>
        <v>719.76334299999996</v>
      </c>
      <c r="H149" s="178">
        <f t="shared" si="16"/>
        <v>400.78732400000001</v>
      </c>
      <c r="I149" s="178">
        <f t="shared" si="16"/>
        <v>226.73819900000001</v>
      </c>
      <c r="J149" s="178">
        <f t="shared" si="16"/>
        <v>111.28416799999999</v>
      </c>
      <c r="K149" s="178">
        <f t="shared" si="16"/>
        <v>92.059718000000004</v>
      </c>
      <c r="L149" s="178">
        <f t="shared" si="16"/>
        <v>94.242966999999993</v>
      </c>
      <c r="M149" s="178">
        <f t="shared" si="16"/>
        <v>176.41685799999999</v>
      </c>
      <c r="N149" s="178">
        <f t="shared" si="16"/>
        <v>151.73508200000001</v>
      </c>
    </row>
    <row r="150" spans="1:15" s="179" customFormat="1" ht="12">
      <c r="A150" s="177" t="s">
        <v>8</v>
      </c>
      <c r="B150" s="178">
        <f t="shared" ref="B150:N150" si="17">HLOOKUP(B$141,$117:$133,12,FALSE)</f>
        <v>307.07592899999997</v>
      </c>
      <c r="C150" s="178">
        <f t="shared" si="17"/>
        <v>272.39934599999998</v>
      </c>
      <c r="D150" s="178">
        <f t="shared" si="17"/>
        <v>336.75007499999998</v>
      </c>
      <c r="E150" s="178">
        <f t="shared" si="17"/>
        <v>321.04170599999998</v>
      </c>
      <c r="F150" s="178">
        <f t="shared" si="17"/>
        <v>319.13790999999998</v>
      </c>
      <c r="G150" s="178">
        <f t="shared" si="17"/>
        <v>339.53788500000002</v>
      </c>
      <c r="H150" s="178">
        <f t="shared" si="17"/>
        <v>284.53883400000001</v>
      </c>
      <c r="I150" s="178">
        <f t="shared" si="17"/>
        <v>262.341748</v>
      </c>
      <c r="J150" s="178">
        <f t="shared" si="17"/>
        <v>237.95199600000001</v>
      </c>
      <c r="K150" s="178">
        <f t="shared" si="17"/>
        <v>254.011473</v>
      </c>
      <c r="L150" s="178">
        <f t="shared" si="17"/>
        <v>281.89705400000003</v>
      </c>
      <c r="M150" s="178">
        <f t="shared" si="17"/>
        <v>257.40937400000001</v>
      </c>
      <c r="N150" s="178">
        <f t="shared" si="17"/>
        <v>308.99560500000001</v>
      </c>
    </row>
    <row r="151" spans="1:15" s="179" customFormat="1" ht="12">
      <c r="A151" s="177" t="s">
        <v>9</v>
      </c>
      <c r="B151" s="178">
        <f t="shared" ref="B151:N151" si="18">HLOOKUP(B$141,$117:$133,13,FALSE)</f>
        <v>1726.7644049999999</v>
      </c>
      <c r="C151" s="178">
        <f t="shared" si="18"/>
        <v>1572.4450019999999</v>
      </c>
      <c r="D151" s="178">
        <f t="shared" si="18"/>
        <v>1702.635225</v>
      </c>
      <c r="E151" s="178">
        <f t="shared" si="18"/>
        <v>1724.8432869999999</v>
      </c>
      <c r="F151" s="178">
        <f t="shared" si="18"/>
        <v>1477.1990989999999</v>
      </c>
      <c r="G151" s="178">
        <f t="shared" si="18"/>
        <v>1302.218576</v>
      </c>
      <c r="H151" s="178">
        <f t="shared" si="18"/>
        <v>1430.8498970000001</v>
      </c>
      <c r="I151" s="178">
        <f t="shared" si="18"/>
        <v>1244.633681</v>
      </c>
      <c r="J151" s="178">
        <f t="shared" si="18"/>
        <v>964.46819100000005</v>
      </c>
      <c r="K151" s="178">
        <f t="shared" si="18"/>
        <v>1180.951693</v>
      </c>
      <c r="L151" s="178">
        <f t="shared" si="18"/>
        <v>1694.552316</v>
      </c>
      <c r="M151" s="178">
        <f t="shared" si="18"/>
        <v>1363.1187210000001</v>
      </c>
      <c r="N151" s="178">
        <f t="shared" si="18"/>
        <v>1165.9289080000001</v>
      </c>
    </row>
    <row r="152" spans="1:15" s="179" customFormat="1" ht="12">
      <c r="A152" s="177" t="s">
        <v>70</v>
      </c>
      <c r="B152" s="178">
        <f t="shared" ref="B152:N152" si="19">HLOOKUP(B$141,$117:$133,15,FALSE)</f>
        <v>110.360659</v>
      </c>
      <c r="C152" s="178">
        <f t="shared" si="19"/>
        <v>80.064349500000006</v>
      </c>
      <c r="D152" s="178">
        <f t="shared" si="19"/>
        <v>58.672222499999997</v>
      </c>
      <c r="E152" s="178">
        <f t="shared" si="19"/>
        <v>106.86346</v>
      </c>
      <c r="F152" s="178">
        <f t="shared" si="19"/>
        <v>113.404867</v>
      </c>
      <c r="G152" s="178">
        <f t="shared" si="19"/>
        <v>104.296549</v>
      </c>
      <c r="H152" s="178">
        <f t="shared" si="19"/>
        <v>106.0009465</v>
      </c>
      <c r="I152" s="178">
        <f t="shared" si="19"/>
        <v>108.36413899999999</v>
      </c>
      <c r="J152" s="178">
        <f t="shared" si="19"/>
        <v>89.150436999999997</v>
      </c>
      <c r="K152" s="178">
        <f t="shared" si="19"/>
        <v>102.220887</v>
      </c>
      <c r="L152" s="178">
        <f t="shared" si="19"/>
        <v>95.291753499999999</v>
      </c>
      <c r="M152" s="178">
        <f t="shared" si="19"/>
        <v>79.311832999999993</v>
      </c>
      <c r="N152" s="178">
        <f t="shared" si="19"/>
        <v>59.9403875</v>
      </c>
    </row>
    <row r="153" spans="1:15" s="179" customFormat="1" ht="12">
      <c r="A153" s="177" t="s">
        <v>69</v>
      </c>
      <c r="B153" s="178">
        <f t="shared" ref="B153:N153" si="20">HLOOKUP(B$141,$117:$133,14,FALSE)</f>
        <v>62.173029999999997</v>
      </c>
      <c r="C153" s="178">
        <f t="shared" si="20"/>
        <v>46.745470500000003</v>
      </c>
      <c r="D153" s="178">
        <f t="shared" si="20"/>
        <v>32.738592500000003</v>
      </c>
      <c r="E153" s="178">
        <f t="shared" si="20"/>
        <v>65.021735000000007</v>
      </c>
      <c r="F153" s="178">
        <f t="shared" si="20"/>
        <v>70.556624999999997</v>
      </c>
      <c r="G153" s="178">
        <f t="shared" si="20"/>
        <v>62.106560000000002</v>
      </c>
      <c r="H153" s="178">
        <f t="shared" si="20"/>
        <v>63.283716499999997</v>
      </c>
      <c r="I153" s="178">
        <f t="shared" si="20"/>
        <v>65.383654000000007</v>
      </c>
      <c r="J153" s="178">
        <f t="shared" si="20"/>
        <v>52.408155000000001</v>
      </c>
      <c r="K153" s="178">
        <f t="shared" si="20"/>
        <v>65.083246000000003</v>
      </c>
      <c r="L153" s="178">
        <f t="shared" si="20"/>
        <v>58.133075499999997</v>
      </c>
      <c r="M153" s="178">
        <f t="shared" si="20"/>
        <v>53.101937</v>
      </c>
      <c r="N153" s="178">
        <f t="shared" si="20"/>
        <v>40.449704500000003</v>
      </c>
    </row>
    <row r="154" spans="1:15" s="179" customFormat="1" ht="12">
      <c r="A154" s="180" t="s">
        <v>96</v>
      </c>
      <c r="B154" s="181">
        <f>SUM(B142:B153)</f>
        <v>22912.075966137003</v>
      </c>
      <c r="C154" s="181">
        <f t="shared" ref="C154:N154" si="21">SUM(C142:C153)</f>
        <v>20451.787117406999</v>
      </c>
      <c r="D154" s="181">
        <f t="shared" si="21"/>
        <v>20440.039343984005</v>
      </c>
      <c r="E154" s="181">
        <f t="shared" si="21"/>
        <v>20117.789463407997</v>
      </c>
      <c r="F154" s="181">
        <f t="shared" si="21"/>
        <v>22280.425178448004</v>
      </c>
      <c r="G154" s="181">
        <f t="shared" si="21"/>
        <v>22159.236364079999</v>
      </c>
      <c r="H154" s="181">
        <f t="shared" si="21"/>
        <v>19545.372889743998</v>
      </c>
      <c r="I154" s="181">
        <f t="shared" si="21"/>
        <v>19680.956414977001</v>
      </c>
      <c r="J154" s="181">
        <f t="shared" si="21"/>
        <v>20517.381253839001</v>
      </c>
      <c r="K154" s="181">
        <f t="shared" si="21"/>
        <v>21492.532090679993</v>
      </c>
      <c r="L154" s="181">
        <f t="shared" si="21"/>
        <v>22257.515783808005</v>
      </c>
      <c r="M154" s="181">
        <f t="shared" si="21"/>
        <v>21129.880242791995</v>
      </c>
      <c r="N154" s="181">
        <f t="shared" si="21"/>
        <v>21285.153451143997</v>
      </c>
    </row>
    <row r="156" spans="1:15" s="179" customFormat="1" ht="12">
      <c r="A156" s="183" t="s">
        <v>114</v>
      </c>
      <c r="B156" s="193">
        <f>B142+B147+B148+B149+B150+B153</f>
        <v>12411.692759889</v>
      </c>
      <c r="C156" s="193">
        <f t="shared" ref="C156:M156" si="22">C142+C147+C148+C149+C150+C153</f>
        <v>10982.243516783001</v>
      </c>
      <c r="D156" s="193">
        <f t="shared" si="22"/>
        <v>11387.546678573999</v>
      </c>
      <c r="E156" s="193">
        <f t="shared" si="22"/>
        <v>9638.2798484219984</v>
      </c>
      <c r="F156" s="193">
        <f t="shared" si="22"/>
        <v>10587.342208287999</v>
      </c>
      <c r="G156" s="193">
        <f t="shared" si="22"/>
        <v>10553.132328988</v>
      </c>
      <c r="H156" s="193">
        <f t="shared" si="22"/>
        <v>8467.4728326759996</v>
      </c>
      <c r="I156" s="193">
        <f t="shared" si="22"/>
        <v>10272.508146886001</v>
      </c>
      <c r="J156" s="193">
        <f t="shared" si="22"/>
        <v>12693.058926651</v>
      </c>
      <c r="K156" s="193">
        <f t="shared" si="22"/>
        <v>11946.540422358001</v>
      </c>
      <c r="L156" s="193">
        <f t="shared" si="22"/>
        <v>11828.077015165001</v>
      </c>
      <c r="M156" s="193">
        <f t="shared" si="22"/>
        <v>12849.595667588001</v>
      </c>
      <c r="N156" s="193">
        <f>N142+N147+N148+N149+N150+N153</f>
        <v>14143.953140235999</v>
      </c>
    </row>
    <row r="157" spans="1:15" s="179" customFormat="1" ht="12">
      <c r="A157" s="183" t="s">
        <v>115</v>
      </c>
      <c r="B157" s="193">
        <f>B143+B144+B145+B146+B151+B152</f>
        <v>10500.383206248</v>
      </c>
      <c r="C157" s="193">
        <f t="shared" ref="C157:N157" si="23">C143+C144+C145+C146+C151+C152</f>
        <v>9469.5436006239997</v>
      </c>
      <c r="D157" s="193">
        <f t="shared" si="23"/>
        <v>9052.49266541</v>
      </c>
      <c r="E157" s="193">
        <f t="shared" si="23"/>
        <v>10479.509614986</v>
      </c>
      <c r="F157" s="193">
        <f t="shared" si="23"/>
        <v>11693.082970159998</v>
      </c>
      <c r="G157" s="193">
        <f t="shared" si="23"/>
        <v>11606.104035091999</v>
      </c>
      <c r="H157" s="193">
        <f t="shared" si="23"/>
        <v>11077.900057068</v>
      </c>
      <c r="I157" s="193">
        <f t="shared" si="23"/>
        <v>9408.4482680909987</v>
      </c>
      <c r="J157" s="193">
        <f t="shared" si="23"/>
        <v>7824.3223271879997</v>
      </c>
      <c r="K157" s="193">
        <f t="shared" si="23"/>
        <v>9545.9916683219999</v>
      </c>
      <c r="L157" s="193">
        <f t="shared" si="23"/>
        <v>10429.438768642998</v>
      </c>
      <c r="M157" s="193">
        <f t="shared" si="23"/>
        <v>8280.2845752039993</v>
      </c>
      <c r="N157" s="193">
        <f t="shared" si="23"/>
        <v>7141.2003109080006</v>
      </c>
    </row>
    <row r="158" spans="1:15" s="179" customFormat="1" ht="12">
      <c r="A158" s="183" t="s">
        <v>116</v>
      </c>
      <c r="B158" s="184">
        <f>B142/B$154*100+B147/B$154*100+B148/B$154*100+B149/B$154*100+B150/B$154*100+B153/B$154*100</f>
        <v>54.170965469182775</v>
      </c>
      <c r="C158" s="184">
        <f t="shared" ref="C158:N158" si="24">C142/C$154*100+C147/C$154*100+C148/C$154*100+C149/C$154*100+C150/C$154*100+C153/C$154*100</f>
        <v>53.698209617269846</v>
      </c>
      <c r="D158" s="184">
        <f t="shared" si="24"/>
        <v>55.711960661786243</v>
      </c>
      <c r="E158" s="184">
        <f t="shared" si="24"/>
        <v>47.909239064028135</v>
      </c>
      <c r="F158" s="184">
        <f t="shared" si="24"/>
        <v>47.518582448458851</v>
      </c>
      <c r="G158" s="184">
        <f t="shared" si="24"/>
        <v>47.624079438470943</v>
      </c>
      <c r="H158" s="184">
        <f t="shared" si="24"/>
        <v>43.322135016002271</v>
      </c>
      <c r="I158" s="184">
        <f t="shared" si="24"/>
        <v>52.195167400852178</v>
      </c>
      <c r="J158" s="184">
        <f t="shared" si="24"/>
        <v>61.86490746364624</v>
      </c>
      <c r="K158" s="184">
        <f t="shared" si="24"/>
        <v>55.584611305703199</v>
      </c>
      <c r="L158" s="184">
        <f t="shared" si="24"/>
        <v>53.141945983790961</v>
      </c>
      <c r="M158" s="184">
        <f t="shared" si="24"/>
        <v>60.812439634963688</v>
      </c>
      <c r="N158" s="184">
        <f t="shared" si="24"/>
        <v>66.449852817367471</v>
      </c>
      <c r="O158" s="235">
        <f>N158-B158</f>
        <v>12.278887348184696</v>
      </c>
    </row>
    <row r="159" spans="1:15" s="179" customFormat="1" ht="12">
      <c r="A159" s="183" t="s">
        <v>117</v>
      </c>
      <c r="B159" s="184">
        <f>B143/B$154*100+B144/B$154*100+B145/B$154*100+B151/B$154*100+B152/B$154*100+B146/B$154*100</f>
        <v>45.829034530817218</v>
      </c>
      <c r="C159" s="184">
        <f>C143/C$154*100+C144/C$154*100+C145/C$154*100+C151/C$154*100+C152/C$154*100+C146/C$154*100</f>
        <v>46.301790382730168</v>
      </c>
      <c r="D159" s="184">
        <f>D143/D$154*100+D144/D$154*100+D145/D$154*100+D151/D$154*100+D152/D$154*100+D146/D$154*100</f>
        <v>44.288039338213736</v>
      </c>
      <c r="E159" s="184">
        <f>E143/E$154*100+E144/E$154*100+E145/E$154*100+E151/E$154*100+E152/E$154*100+E146/E$154*100</f>
        <v>52.090760935971879</v>
      </c>
      <c r="F159" s="184">
        <f t="shared" ref="F159:M159" si="25">100-F158</f>
        <v>52.481417551541149</v>
      </c>
      <c r="G159" s="184">
        <f t="shared" si="25"/>
        <v>52.375920561529057</v>
      </c>
      <c r="H159" s="184">
        <f t="shared" si="25"/>
        <v>56.677864983997729</v>
      </c>
      <c r="I159" s="184">
        <f t="shared" si="25"/>
        <v>47.804832599147822</v>
      </c>
      <c r="J159" s="184">
        <f t="shared" si="25"/>
        <v>38.13509253635376</v>
      </c>
      <c r="K159" s="184">
        <f t="shared" si="25"/>
        <v>44.415388694296801</v>
      </c>
      <c r="L159" s="184">
        <f t="shared" si="25"/>
        <v>46.858054016209039</v>
      </c>
      <c r="M159" s="184">
        <f t="shared" si="25"/>
        <v>39.187560365036312</v>
      </c>
      <c r="N159" s="184">
        <f t="shared" ref="N159" si="26">100-N158</f>
        <v>33.550147182632529</v>
      </c>
    </row>
    <row r="160" spans="1:15" s="179" customFormat="1" ht="12">
      <c r="A160" s="183"/>
      <c r="B160" s="183"/>
    </row>
    <row r="161" spans="1:19" s="179" customFormat="1" ht="12">
      <c r="A161" s="183" t="s">
        <v>84</v>
      </c>
      <c r="B161" s="183"/>
      <c r="N161" s="235"/>
    </row>
    <row r="162" spans="1:19" s="179" customFormat="1" ht="12">
      <c r="A162" s="183" t="s">
        <v>85</v>
      </c>
      <c r="B162" s="183"/>
    </row>
    <row r="164" spans="1:19" s="179" customFormat="1" ht="12">
      <c r="A164" s="183" t="s">
        <v>19</v>
      </c>
      <c r="B164" s="178">
        <f>B142+B144+B147+B148+B149+B150+B153</f>
        <v>17513.982424889</v>
      </c>
      <c r="C164" s="178">
        <f t="shared" ref="C164:N164" si="27">C142+C144+C147+C148+C149+C150+C153</f>
        <v>15549.496528783002</v>
      </c>
      <c r="D164" s="178">
        <f t="shared" si="27"/>
        <v>15129.315069573999</v>
      </c>
      <c r="E164" s="178">
        <f t="shared" si="27"/>
        <v>13647.001058422002</v>
      </c>
      <c r="F164" s="178">
        <f t="shared" si="27"/>
        <v>15710.489385287998</v>
      </c>
      <c r="G164" s="178">
        <f t="shared" si="27"/>
        <v>15561.406875987999</v>
      </c>
      <c r="H164" s="178">
        <f t="shared" si="27"/>
        <v>13014.291351676002</v>
      </c>
      <c r="I164" s="178">
        <f t="shared" si="27"/>
        <v>14014.242164886</v>
      </c>
      <c r="J164" s="178">
        <f t="shared" si="27"/>
        <v>16454.376333651002</v>
      </c>
      <c r="K164" s="178">
        <f t="shared" si="27"/>
        <v>16936.618922357997</v>
      </c>
      <c r="L164" s="178">
        <f t="shared" si="27"/>
        <v>16988.878352165</v>
      </c>
      <c r="M164" s="178">
        <f t="shared" si="27"/>
        <v>17359.189392587999</v>
      </c>
      <c r="N164" s="178">
        <f t="shared" si="27"/>
        <v>17614.713776236</v>
      </c>
    </row>
    <row r="165" spans="1:19" s="179" customFormat="1" ht="12">
      <c r="A165" s="183" t="s">
        <v>20</v>
      </c>
      <c r="B165" s="178">
        <f>B145+B146+B151+B152</f>
        <v>4858.0137469999991</v>
      </c>
      <c r="C165" s="178">
        <f t="shared" ref="C165:N165" si="28">C145+C146+C151+C152</f>
        <v>4290.7003345000003</v>
      </c>
      <c r="D165" s="178">
        <f t="shared" si="28"/>
        <v>4828.1608965000005</v>
      </c>
      <c r="E165" s="178">
        <f t="shared" si="28"/>
        <v>6182.1052709999994</v>
      </c>
      <c r="F165" s="178">
        <f t="shared" si="28"/>
        <v>6252.3122119999998</v>
      </c>
      <c r="G165" s="178">
        <f t="shared" si="28"/>
        <v>6180.6134360000005</v>
      </c>
      <c r="H165" s="178">
        <f t="shared" si="28"/>
        <v>6179.1612795000001</v>
      </c>
      <c r="I165" s="178">
        <f t="shared" si="28"/>
        <v>5180.5745300000008</v>
      </c>
      <c r="J165" s="178">
        <f t="shared" si="28"/>
        <v>3612.4968209999993</v>
      </c>
      <c r="K165" s="178">
        <f t="shared" si="28"/>
        <v>4110.6092790000002</v>
      </c>
      <c r="L165" s="178">
        <f t="shared" si="28"/>
        <v>4817.0613194999996</v>
      </c>
      <c r="M165" s="178">
        <f t="shared" si="28"/>
        <v>3231.306932</v>
      </c>
      <c r="N165" s="178">
        <f t="shared" si="28"/>
        <v>3093.8571185000001</v>
      </c>
    </row>
    <row r="166" spans="1:19" s="179" customFormat="1" ht="12">
      <c r="A166" s="183" t="s">
        <v>112</v>
      </c>
      <c r="B166" s="184">
        <f>B142/(B$154-B$143)*100+B147/(B$154-B$143)*100+B148/(B$154-B$143)*100+B149/(B$154-B$143)*100+B150/(B$154-B$143)*100+B144/(B$154-B$143)*100+B153/(B$154-B$143)*100</f>
        <v>78.285291532884202</v>
      </c>
      <c r="C166" s="184">
        <f t="shared" ref="C166:N166" si="29">C142/(C$154-C$143)*100+C147/(C$154-C$143)*100+C148/(C$154-C$143)*100+C149/(C$154-C$143)*100+C150/(C$154-C$143)*100+C144/(C$154-C$143)*100+C153/(C$154-C$143)*100</f>
        <v>78.373700805154158</v>
      </c>
      <c r="D166" s="184">
        <f t="shared" si="29"/>
        <v>75.807757931376372</v>
      </c>
      <c r="E166" s="184">
        <f t="shared" si="29"/>
        <v>68.823076702013935</v>
      </c>
      <c r="F166" s="184">
        <f t="shared" si="29"/>
        <v>71.532264750904773</v>
      </c>
      <c r="G166" s="184">
        <f t="shared" si="29"/>
        <v>71.572957124908186</v>
      </c>
      <c r="H166" s="184">
        <f t="shared" si="29"/>
        <v>67.805889861300088</v>
      </c>
      <c r="I166" s="184">
        <f t="shared" si="29"/>
        <v>73.010554816185135</v>
      </c>
      <c r="J166" s="184">
        <f t="shared" si="29"/>
        <v>81.997709393191045</v>
      </c>
      <c r="K166" s="184">
        <f t="shared" si="29"/>
        <v>80.46959324204613</v>
      </c>
      <c r="L166" s="184">
        <f t="shared" si="29"/>
        <v>77.909407289797414</v>
      </c>
      <c r="M166" s="184">
        <f t="shared" si="29"/>
        <v>84.306804066003238</v>
      </c>
      <c r="N166" s="184">
        <f t="shared" si="29"/>
        <v>85.060016288780034</v>
      </c>
      <c r="O166" s="235">
        <f>N166-B166</f>
        <v>6.7747247558958321</v>
      </c>
    </row>
    <row r="167" spans="1:19" s="179" customFormat="1" ht="12">
      <c r="A167" s="183" t="s">
        <v>113</v>
      </c>
      <c r="B167" s="184">
        <f>B151/(B$154-B$143)*100+B152/(B$154-B$143)*100+B145/(B$154-B$143)*100+B146/(B$154-B$143)*100</f>
        <v>21.714708467115777</v>
      </c>
      <c r="C167" s="184">
        <f t="shared" ref="C167:N167" si="30">C151/(C$154-C$143)*100+C152/(C$154-C$143)*100+C145/(C$154-C$143)*100+C146/(C$154-C$143)*100</f>
        <v>21.626299194845835</v>
      </c>
      <c r="D167" s="184">
        <f t="shared" si="30"/>
        <v>24.192242068623599</v>
      </c>
      <c r="E167" s="184">
        <f t="shared" si="30"/>
        <v>31.176923297986086</v>
      </c>
      <c r="F167" s="184">
        <f t="shared" si="30"/>
        <v>28.467735249095199</v>
      </c>
      <c r="G167" s="184">
        <f t="shared" si="30"/>
        <v>28.427042875091821</v>
      </c>
      <c r="H167" s="184">
        <f t="shared" si="30"/>
        <v>32.194110138699926</v>
      </c>
      <c r="I167" s="184">
        <f t="shared" si="30"/>
        <v>26.989445183814858</v>
      </c>
      <c r="J167" s="184">
        <f t="shared" si="30"/>
        <v>18.002290606808927</v>
      </c>
      <c r="K167" s="184">
        <f t="shared" si="30"/>
        <v>19.530406757953898</v>
      </c>
      <c r="L167" s="184">
        <f t="shared" si="30"/>
        <v>22.090592710202571</v>
      </c>
      <c r="M167" s="184">
        <f t="shared" si="30"/>
        <v>15.693195933996783</v>
      </c>
      <c r="N167" s="184">
        <f t="shared" si="30"/>
        <v>14.939983711219984</v>
      </c>
    </row>
    <row r="168" spans="1:19" s="179" customFormat="1" ht="12">
      <c r="A168" s="183"/>
      <c r="B168" s="183"/>
    </row>
    <row r="169" spans="1:19" s="179" customFormat="1" ht="12">
      <c r="A169" s="183" t="s">
        <v>195</v>
      </c>
      <c r="B169" s="183"/>
      <c r="N169" s="235"/>
    </row>
    <row r="170" spans="1:19" s="179" customFormat="1" ht="12">
      <c r="A170" s="183" t="s">
        <v>126</v>
      </c>
      <c r="B170" s="183"/>
    </row>
    <row r="175" spans="1:19">
      <c r="A175" s="166" t="s">
        <v>105</v>
      </c>
      <c r="B175" s="326" t="s">
        <v>98</v>
      </c>
      <c r="C175" s="327"/>
      <c r="D175" s="327"/>
      <c r="E175" s="327"/>
      <c r="F175" s="327"/>
      <c r="G175" s="327"/>
      <c r="H175" s="327"/>
      <c r="I175" s="327"/>
      <c r="J175" s="327"/>
      <c r="K175" s="327"/>
      <c r="L175" s="327"/>
      <c r="M175" s="327"/>
      <c r="N175" s="327"/>
      <c r="O175" s="327"/>
      <c r="P175" s="327"/>
      <c r="Q175" s="327"/>
      <c r="R175" s="327"/>
      <c r="S175" s="327"/>
    </row>
    <row r="176" spans="1:19">
      <c r="A176" s="166" t="s">
        <v>106</v>
      </c>
      <c r="B176" s="322" t="s">
        <v>118</v>
      </c>
      <c r="C176" s="323"/>
      <c r="D176" s="323"/>
      <c r="E176" s="323"/>
      <c r="F176" s="323"/>
      <c r="G176" s="323"/>
      <c r="H176" s="323"/>
      <c r="I176" s="323"/>
      <c r="J176" s="323"/>
      <c r="K176" s="323"/>
      <c r="L176" s="323"/>
      <c r="M176" s="323"/>
      <c r="N176" s="323"/>
      <c r="O176" s="323"/>
      <c r="P176" s="323"/>
      <c r="Q176" s="323"/>
      <c r="R176" s="323"/>
      <c r="S176" s="323"/>
    </row>
    <row r="177" spans="1:25">
      <c r="A177" s="170" t="s">
        <v>30</v>
      </c>
      <c r="B177" s="324" t="s">
        <v>235</v>
      </c>
      <c r="C177" s="325"/>
      <c r="D177" s="325"/>
      <c r="E177" s="325"/>
      <c r="F177" s="325"/>
      <c r="G177" s="325"/>
      <c r="H177" s="325"/>
      <c r="I177" s="325"/>
      <c r="J177" s="325"/>
      <c r="K177" s="325"/>
      <c r="L177" s="325"/>
      <c r="M177" s="325"/>
      <c r="N177" s="325"/>
      <c r="O177" s="325"/>
      <c r="P177" s="325"/>
      <c r="Q177" s="325"/>
      <c r="R177" s="325"/>
      <c r="S177" s="325"/>
    </row>
    <row r="178" spans="1:25">
      <c r="A178" s="170" t="s">
        <v>107</v>
      </c>
      <c r="B178" s="300" t="s">
        <v>2</v>
      </c>
      <c r="C178" s="300" t="s">
        <v>81</v>
      </c>
      <c r="D178" s="300" t="s">
        <v>3</v>
      </c>
      <c r="E178" s="300" t="s">
        <v>4</v>
      </c>
      <c r="F178" s="300" t="s">
        <v>95</v>
      </c>
      <c r="G178" s="300" t="s">
        <v>11</v>
      </c>
      <c r="H178" s="300" t="s">
        <v>5</v>
      </c>
      <c r="I178" s="300" t="s">
        <v>6</v>
      </c>
      <c r="J178" s="300" t="s">
        <v>7</v>
      </c>
      <c r="K178" s="300" t="s">
        <v>8</v>
      </c>
      <c r="L178" s="300" t="s">
        <v>9</v>
      </c>
      <c r="M178" s="300" t="s">
        <v>69</v>
      </c>
      <c r="N178" s="300" t="s">
        <v>70</v>
      </c>
      <c r="O178" s="185" t="s">
        <v>10</v>
      </c>
      <c r="P178" s="300" t="s">
        <v>121</v>
      </c>
      <c r="Q178" s="300" t="s">
        <v>97</v>
      </c>
      <c r="R178" s="300" t="s">
        <v>122</v>
      </c>
      <c r="S178" s="185" t="s">
        <v>123</v>
      </c>
      <c r="V178" s="187" t="s">
        <v>23</v>
      </c>
      <c r="W178" s="187" t="s">
        <v>22</v>
      </c>
      <c r="X178" s="187" t="s">
        <v>217</v>
      </c>
      <c r="Y178" s="187" t="s">
        <v>216</v>
      </c>
    </row>
    <row r="179" spans="1:25" ht="14.25">
      <c r="A179" s="166" t="s">
        <v>31</v>
      </c>
      <c r="B179" s="274"/>
      <c r="C179" s="274"/>
      <c r="D179" s="274"/>
      <c r="E179" s="274"/>
      <c r="F179" s="274"/>
      <c r="G179" s="274"/>
      <c r="H179" s="274"/>
      <c r="I179" s="274"/>
      <c r="J179" s="274"/>
      <c r="K179" s="274"/>
      <c r="L179" s="274"/>
      <c r="M179" s="274"/>
      <c r="N179" s="274"/>
      <c r="O179" s="186"/>
      <c r="P179" s="274"/>
      <c r="Q179" s="274"/>
      <c r="R179" s="274"/>
      <c r="S179" s="186"/>
      <c r="V179" s="188"/>
      <c r="W179" s="188"/>
      <c r="X179" s="188"/>
      <c r="Y179" s="188"/>
    </row>
    <row r="180" spans="1:25" ht="14.25">
      <c r="A180" s="275">
        <v>1</v>
      </c>
      <c r="B180" s="288">
        <v>116614.964184</v>
      </c>
      <c r="C180" s="288">
        <v>17478.925351999998</v>
      </c>
      <c r="D180" s="288">
        <v>144020.01300000001</v>
      </c>
      <c r="E180" s="288">
        <v>7779.42</v>
      </c>
      <c r="F180" s="288">
        <v>0</v>
      </c>
      <c r="G180" s="288">
        <v>30018.127</v>
      </c>
      <c r="H180" s="288">
        <v>302524.85700000002</v>
      </c>
      <c r="I180" s="288">
        <v>121600.61599999999</v>
      </c>
      <c r="J180" s="288">
        <v>13999.261</v>
      </c>
      <c r="K180" s="288">
        <v>8067.5739999999996</v>
      </c>
      <c r="L180" s="288">
        <v>32753.29</v>
      </c>
      <c r="M180" s="288">
        <v>1207.6735000000001</v>
      </c>
      <c r="N180" s="288">
        <v>1906.8644999999999</v>
      </c>
      <c r="O180" s="289">
        <v>797971.58553599997</v>
      </c>
      <c r="P180" s="288">
        <v>-40277.269</v>
      </c>
      <c r="Q180" s="288">
        <v>-4187.9369999999999</v>
      </c>
      <c r="R180" s="288">
        <v>-70166.751999999993</v>
      </c>
      <c r="S180" s="289">
        <v>683339.62753599999</v>
      </c>
      <c r="V180" s="189">
        <f>IFERROR($H180/$O180*100,"")</f>
        <v>37.911733009489694</v>
      </c>
      <c r="W180" s="188">
        <f>IF($H180=0,"",$H180/1000)</f>
        <v>302.524857</v>
      </c>
      <c r="X180" s="189">
        <f>IFERROR($I180/$O180*100,"")</f>
        <v>15.238715037493533</v>
      </c>
      <c r="Y180" s="299">
        <f>IF($I180=0,"",$I180/1000)</f>
        <v>121.60061599999999</v>
      </c>
    </row>
    <row r="181" spans="1:25" ht="14.25">
      <c r="A181" s="275">
        <v>2</v>
      </c>
      <c r="B181" s="288">
        <v>116609.058236</v>
      </c>
      <c r="C181" s="288">
        <v>17257.208763999999</v>
      </c>
      <c r="D181" s="288">
        <v>124062.73</v>
      </c>
      <c r="E181" s="288">
        <v>6374.3019999999997</v>
      </c>
      <c r="F181" s="288">
        <v>0</v>
      </c>
      <c r="G181" s="288">
        <v>28033.699000000001</v>
      </c>
      <c r="H181" s="288">
        <v>308226.80099999998</v>
      </c>
      <c r="I181" s="288">
        <v>55331.459000000003</v>
      </c>
      <c r="J181" s="288">
        <v>2107.7689999999998</v>
      </c>
      <c r="K181" s="288">
        <v>7969.7950000000001</v>
      </c>
      <c r="L181" s="288">
        <v>30844.125</v>
      </c>
      <c r="M181" s="288">
        <v>1156.374</v>
      </c>
      <c r="N181" s="288">
        <v>1859.229</v>
      </c>
      <c r="O181" s="289">
        <v>699832.55</v>
      </c>
      <c r="P181" s="288">
        <v>-39644.29</v>
      </c>
      <c r="Q181" s="288">
        <v>-3900.6149999999998</v>
      </c>
      <c r="R181" s="288">
        <v>-34313.211000000003</v>
      </c>
      <c r="S181" s="289">
        <v>621974.43400000001</v>
      </c>
      <c r="V181" s="189">
        <f t="shared" ref="V181:V210" si="31">IFERROR($H181/$O181*100,"")</f>
        <v>44.042935842295414</v>
      </c>
      <c r="W181" s="188">
        <f t="shared" ref="W181:W210" si="32">IF($H181=0,"",$H181/1000)</f>
        <v>308.22680099999997</v>
      </c>
      <c r="X181" s="189">
        <f t="shared" ref="X181:X210" si="33">IFERROR($I181/$O181*100,"")</f>
        <v>7.9063854632083057</v>
      </c>
      <c r="Y181" s="299">
        <f t="shared" ref="Y181:Y210" si="34">IF($I181=0,"",$I181/1000)</f>
        <v>55.331459000000002</v>
      </c>
    </row>
    <row r="182" spans="1:25" ht="14.25">
      <c r="A182" s="275">
        <v>3</v>
      </c>
      <c r="B182" s="288">
        <v>102995.88666400001</v>
      </c>
      <c r="C182" s="288">
        <v>28350.781943999998</v>
      </c>
      <c r="D182" s="288">
        <v>119439.768</v>
      </c>
      <c r="E182" s="288">
        <v>5765.9690000000001</v>
      </c>
      <c r="F182" s="288">
        <v>0</v>
      </c>
      <c r="G182" s="288">
        <v>31139.582999999999</v>
      </c>
      <c r="H182" s="288">
        <v>270088.99099999998</v>
      </c>
      <c r="I182" s="288">
        <v>96291.118000000002</v>
      </c>
      <c r="J182" s="288">
        <v>5826.6989999999996</v>
      </c>
      <c r="K182" s="288">
        <v>7947.415</v>
      </c>
      <c r="L182" s="288">
        <v>30367.867999999999</v>
      </c>
      <c r="M182" s="288">
        <v>1132.6759999999999</v>
      </c>
      <c r="N182" s="288">
        <v>1902.626</v>
      </c>
      <c r="O182" s="289">
        <v>701249.38160800003</v>
      </c>
      <c r="P182" s="288">
        <v>-46878.381000000001</v>
      </c>
      <c r="Q182" s="288">
        <v>-3765.5709999999999</v>
      </c>
      <c r="R182" s="288">
        <v>-71372.680999999997</v>
      </c>
      <c r="S182" s="289">
        <v>579232.74860799999</v>
      </c>
      <c r="V182" s="189">
        <f t="shared" si="31"/>
        <v>38.515398099984402</v>
      </c>
      <c r="W182" s="188">
        <f t="shared" si="32"/>
        <v>270.08899099999996</v>
      </c>
      <c r="X182" s="189">
        <f t="shared" si="33"/>
        <v>13.731365834391132</v>
      </c>
      <c r="Y182" s="299">
        <f t="shared" si="34"/>
        <v>96.291117999999997</v>
      </c>
    </row>
    <row r="183" spans="1:25" ht="14.25">
      <c r="A183" s="275">
        <v>4</v>
      </c>
      <c r="B183" s="288">
        <v>118288.33281599999</v>
      </c>
      <c r="C183" s="288">
        <v>25691.787263999999</v>
      </c>
      <c r="D183" s="288">
        <v>120230.716</v>
      </c>
      <c r="E183" s="288">
        <v>6571.3059999999996</v>
      </c>
      <c r="F183" s="288">
        <v>0</v>
      </c>
      <c r="G183" s="288">
        <v>37566.18</v>
      </c>
      <c r="H183" s="288">
        <v>301846.51699999999</v>
      </c>
      <c r="I183" s="288">
        <v>72200.81</v>
      </c>
      <c r="J183" s="288">
        <v>1343.691</v>
      </c>
      <c r="K183" s="288">
        <v>8221.1229999999996</v>
      </c>
      <c r="L183" s="288">
        <v>32815.413999999997</v>
      </c>
      <c r="M183" s="288">
        <v>1441.9659999999999</v>
      </c>
      <c r="N183" s="288">
        <v>2103.6709999999998</v>
      </c>
      <c r="O183" s="289">
        <v>728321.51407999999</v>
      </c>
      <c r="P183" s="288">
        <v>-34449.902999999998</v>
      </c>
      <c r="Q183" s="288">
        <v>-4328.51</v>
      </c>
      <c r="R183" s="288">
        <v>-465.21300000000002</v>
      </c>
      <c r="S183" s="289">
        <v>689077.88807999995</v>
      </c>
      <c r="V183" s="189">
        <f t="shared" si="31"/>
        <v>41.444130259049942</v>
      </c>
      <c r="W183" s="188">
        <f t="shared" si="32"/>
        <v>301.84651700000001</v>
      </c>
      <c r="X183" s="189">
        <f t="shared" si="33"/>
        <v>9.9133155624549278</v>
      </c>
      <c r="Y183" s="299">
        <f t="shared" si="34"/>
        <v>72.200810000000004</v>
      </c>
    </row>
    <row r="184" spans="1:25" ht="14.25">
      <c r="A184" s="275">
        <v>5</v>
      </c>
      <c r="B184" s="288">
        <v>142820.70217199999</v>
      </c>
      <c r="C184" s="288">
        <v>26120.621931999998</v>
      </c>
      <c r="D184" s="288">
        <v>129538.01</v>
      </c>
      <c r="E184" s="288">
        <v>7582.6989999999996</v>
      </c>
      <c r="F184" s="288">
        <v>0</v>
      </c>
      <c r="G184" s="288">
        <v>67447.087</v>
      </c>
      <c r="H184" s="288">
        <v>139309.166</v>
      </c>
      <c r="I184" s="288">
        <v>141178.94699999999</v>
      </c>
      <c r="J184" s="288">
        <v>14389.397000000001</v>
      </c>
      <c r="K184" s="288">
        <v>9440.3709999999992</v>
      </c>
      <c r="L184" s="288">
        <v>39697.338000000003</v>
      </c>
      <c r="M184" s="288">
        <v>1789.0505000000001</v>
      </c>
      <c r="N184" s="288">
        <v>2598.3795</v>
      </c>
      <c r="O184" s="289">
        <v>721911.76910399995</v>
      </c>
      <c r="P184" s="288">
        <v>-40518.22</v>
      </c>
      <c r="Q184" s="288">
        <v>-4045.9389999999999</v>
      </c>
      <c r="R184" s="288">
        <v>-1410.383</v>
      </c>
      <c r="S184" s="289">
        <v>675937.22710400005</v>
      </c>
      <c r="V184" s="189">
        <f t="shared" si="31"/>
        <v>19.297256529409879</v>
      </c>
      <c r="W184" s="188">
        <f t="shared" si="32"/>
        <v>139.309166</v>
      </c>
      <c r="X184" s="189">
        <f t="shared" si="33"/>
        <v>19.55626061827806</v>
      </c>
      <c r="Y184" s="299">
        <f t="shared" si="34"/>
        <v>141.17894699999999</v>
      </c>
    </row>
    <row r="185" spans="1:25" ht="14.25">
      <c r="A185" s="275">
        <v>6</v>
      </c>
      <c r="B185" s="288">
        <v>162887.32499200001</v>
      </c>
      <c r="C185" s="288">
        <v>27147.799152</v>
      </c>
      <c r="D185" s="288">
        <v>142113.09400000001</v>
      </c>
      <c r="E185" s="288">
        <v>7660.8360000000002</v>
      </c>
      <c r="F185" s="288">
        <v>0</v>
      </c>
      <c r="G185" s="288">
        <v>65846.959000000003</v>
      </c>
      <c r="H185" s="288">
        <v>73999.161999999997</v>
      </c>
      <c r="I185" s="288">
        <v>139452.10699999999</v>
      </c>
      <c r="J185" s="288">
        <v>13961.581</v>
      </c>
      <c r="K185" s="288">
        <v>9605.4220000000005</v>
      </c>
      <c r="L185" s="288">
        <v>46617.23</v>
      </c>
      <c r="M185" s="288">
        <v>1894.3965000000001</v>
      </c>
      <c r="N185" s="288">
        <v>2707.1244999999999</v>
      </c>
      <c r="O185" s="289">
        <v>693893.03614400001</v>
      </c>
      <c r="P185" s="288">
        <v>-27805.431</v>
      </c>
      <c r="Q185" s="288">
        <v>-3658.306</v>
      </c>
      <c r="R185" s="288">
        <v>20278.521000000001</v>
      </c>
      <c r="S185" s="289">
        <v>682707.820144</v>
      </c>
      <c r="V185" s="189">
        <f t="shared" si="31"/>
        <v>10.664347117708116</v>
      </c>
      <c r="W185" s="188">
        <f t="shared" si="32"/>
        <v>73.999161999999998</v>
      </c>
      <c r="X185" s="189">
        <f t="shared" si="33"/>
        <v>20.097061036228673</v>
      </c>
      <c r="Y185" s="299">
        <f t="shared" si="34"/>
        <v>139.45210699999998</v>
      </c>
    </row>
    <row r="186" spans="1:25" ht="14.25">
      <c r="A186" s="275">
        <v>7</v>
      </c>
      <c r="B186" s="288">
        <v>144010.63117199999</v>
      </c>
      <c r="C186" s="288">
        <v>19402.015572</v>
      </c>
      <c r="D186" s="288">
        <v>144346.50399999999</v>
      </c>
      <c r="E186" s="288">
        <v>5822.51</v>
      </c>
      <c r="F186" s="288">
        <v>0</v>
      </c>
      <c r="G186" s="288">
        <v>32912.173999999999</v>
      </c>
      <c r="H186" s="288">
        <v>286181.37800000003</v>
      </c>
      <c r="I186" s="288">
        <v>71912.964999999997</v>
      </c>
      <c r="J186" s="288">
        <v>1307.819</v>
      </c>
      <c r="K186" s="288">
        <v>9292.3799999999992</v>
      </c>
      <c r="L186" s="288">
        <v>37866.404000000002</v>
      </c>
      <c r="M186" s="288">
        <v>1676.1085</v>
      </c>
      <c r="N186" s="288">
        <v>2243.4544999999998</v>
      </c>
      <c r="O186" s="289">
        <v>756974.34374399995</v>
      </c>
      <c r="P186" s="288">
        <v>-40818.733</v>
      </c>
      <c r="Q186" s="288">
        <v>-3808.9009999999998</v>
      </c>
      <c r="R186" s="288">
        <v>-14109.986000000001</v>
      </c>
      <c r="S186" s="289">
        <v>698236.72374399996</v>
      </c>
      <c r="V186" s="189">
        <f t="shared" si="31"/>
        <v>37.805954767838642</v>
      </c>
      <c r="W186" s="188">
        <f t="shared" si="32"/>
        <v>286.18137800000005</v>
      </c>
      <c r="X186" s="189">
        <f t="shared" si="33"/>
        <v>9.5000531516455382</v>
      </c>
      <c r="Y186" s="299">
        <f t="shared" si="34"/>
        <v>71.912965</v>
      </c>
    </row>
    <row r="187" spans="1:25" ht="14.25">
      <c r="A187" s="275">
        <v>8</v>
      </c>
      <c r="B187" s="288">
        <v>149885.31177999999</v>
      </c>
      <c r="C187" s="288">
        <v>12033.269268</v>
      </c>
      <c r="D187" s="288">
        <v>138439.64600000001</v>
      </c>
      <c r="E187" s="288">
        <v>6702.473</v>
      </c>
      <c r="F187" s="288">
        <v>0</v>
      </c>
      <c r="G187" s="288">
        <v>25187.53</v>
      </c>
      <c r="H187" s="288">
        <v>299563.21100000001</v>
      </c>
      <c r="I187" s="288">
        <v>82087.441999999995</v>
      </c>
      <c r="J187" s="288">
        <v>1753.57</v>
      </c>
      <c r="K187" s="288">
        <v>8573.1790000000001</v>
      </c>
      <c r="L187" s="288">
        <v>32560.758999999998</v>
      </c>
      <c r="M187" s="288">
        <v>1516.0685000000001</v>
      </c>
      <c r="N187" s="288">
        <v>2144.4445000000001</v>
      </c>
      <c r="O187" s="289">
        <v>760446.904048</v>
      </c>
      <c r="P187" s="288">
        <v>-47519.495999999999</v>
      </c>
      <c r="Q187" s="288">
        <v>-4044.5569999999998</v>
      </c>
      <c r="R187" s="288">
        <v>-7821.9889999999996</v>
      </c>
      <c r="S187" s="289">
        <v>701060.86204799998</v>
      </c>
      <c r="V187" s="189">
        <f t="shared" si="31"/>
        <v>39.393047615207507</v>
      </c>
      <c r="W187" s="188">
        <f t="shared" si="32"/>
        <v>299.56321100000002</v>
      </c>
      <c r="X187" s="189">
        <f t="shared" si="33"/>
        <v>10.794631625565613</v>
      </c>
      <c r="Y187" s="299">
        <f t="shared" si="34"/>
        <v>82.087441999999996</v>
      </c>
    </row>
    <row r="188" spans="1:25" ht="14.25">
      <c r="A188" s="275">
        <v>9</v>
      </c>
      <c r="B188" s="288">
        <v>146695.717584</v>
      </c>
      <c r="C188" s="288">
        <v>25226.686440000001</v>
      </c>
      <c r="D188" s="288">
        <v>103631.848</v>
      </c>
      <c r="E188" s="288">
        <v>5741.6350000000002</v>
      </c>
      <c r="F188" s="288">
        <v>0</v>
      </c>
      <c r="G188" s="288">
        <v>30655.518</v>
      </c>
      <c r="H188" s="288">
        <v>290766.31699999998</v>
      </c>
      <c r="I188" s="288">
        <v>47678.432000000001</v>
      </c>
      <c r="J188" s="288">
        <v>337.03300000000002</v>
      </c>
      <c r="K188" s="288">
        <v>8490.5310000000009</v>
      </c>
      <c r="L188" s="288">
        <v>29370.103999999999</v>
      </c>
      <c r="M188" s="288">
        <v>1548.8115</v>
      </c>
      <c r="N188" s="288">
        <v>2110.4575</v>
      </c>
      <c r="O188" s="289">
        <v>692253.09102399996</v>
      </c>
      <c r="P188" s="288">
        <v>-37778.048999999999</v>
      </c>
      <c r="Q188" s="288">
        <v>-4680.1580000000004</v>
      </c>
      <c r="R188" s="288">
        <v>-5685.3850000000002</v>
      </c>
      <c r="S188" s="289">
        <v>644109.49902400002</v>
      </c>
      <c r="V188" s="189">
        <f t="shared" si="31"/>
        <v>42.002891828173766</v>
      </c>
      <c r="W188" s="188">
        <f t="shared" si="32"/>
        <v>290.76631699999996</v>
      </c>
      <c r="X188" s="189">
        <f t="shared" si="33"/>
        <v>6.8874278234673891</v>
      </c>
      <c r="Y188" s="299">
        <f t="shared" si="34"/>
        <v>47.678432000000001</v>
      </c>
    </row>
    <row r="189" spans="1:25" ht="14.25">
      <c r="A189" s="275">
        <v>10</v>
      </c>
      <c r="B189" s="288">
        <v>130171.246036</v>
      </c>
      <c r="C189" s="288">
        <v>20957.981628000001</v>
      </c>
      <c r="D189" s="288">
        <v>85767.828999999998</v>
      </c>
      <c r="E189" s="288">
        <v>5821.0659999999998</v>
      </c>
      <c r="F189" s="288">
        <v>0</v>
      </c>
      <c r="G189" s="288">
        <v>38314.610999999997</v>
      </c>
      <c r="H189" s="288">
        <v>246963.31599999999</v>
      </c>
      <c r="I189" s="288">
        <v>72397.2</v>
      </c>
      <c r="J189" s="288">
        <v>1454.271</v>
      </c>
      <c r="K189" s="288">
        <v>8310.0349999999999</v>
      </c>
      <c r="L189" s="288">
        <v>29034.525000000001</v>
      </c>
      <c r="M189" s="288">
        <v>1376.6434999999999</v>
      </c>
      <c r="N189" s="288">
        <v>1999.9034999999999</v>
      </c>
      <c r="O189" s="289">
        <v>642568.62766400003</v>
      </c>
      <c r="P189" s="288">
        <v>-48983.584000000003</v>
      </c>
      <c r="Q189" s="288">
        <v>-3262.6370000000002</v>
      </c>
      <c r="R189" s="288">
        <v>-8260.6440000000002</v>
      </c>
      <c r="S189" s="289">
        <v>582061.76266400004</v>
      </c>
      <c r="V189" s="189">
        <f t="shared" si="31"/>
        <v>38.43376495018326</v>
      </c>
      <c r="W189" s="188">
        <f t="shared" si="32"/>
        <v>246.96331599999999</v>
      </c>
      <c r="X189" s="189">
        <f t="shared" si="33"/>
        <v>11.266843241817369</v>
      </c>
      <c r="Y189" s="299">
        <f t="shared" si="34"/>
        <v>72.397199999999998</v>
      </c>
    </row>
    <row r="190" spans="1:25" ht="14.25">
      <c r="A190" s="275">
        <v>11</v>
      </c>
      <c r="B190" s="288">
        <v>149337.98197600001</v>
      </c>
      <c r="C190" s="288">
        <v>21654.885456</v>
      </c>
      <c r="D190" s="288">
        <v>85860.342999999993</v>
      </c>
      <c r="E190" s="288">
        <v>5746.0609999999997</v>
      </c>
      <c r="F190" s="288">
        <v>0</v>
      </c>
      <c r="G190" s="288">
        <v>61281.131000000001</v>
      </c>
      <c r="H190" s="288">
        <v>230550.06400000001</v>
      </c>
      <c r="I190" s="288">
        <v>119780.965</v>
      </c>
      <c r="J190" s="288">
        <v>11085.447</v>
      </c>
      <c r="K190" s="288">
        <v>8190.0969999999998</v>
      </c>
      <c r="L190" s="288">
        <v>34338.483999999997</v>
      </c>
      <c r="M190" s="288">
        <v>1147.5825</v>
      </c>
      <c r="N190" s="288">
        <v>1718.0015000000001</v>
      </c>
      <c r="O190" s="289">
        <v>730691.04343199998</v>
      </c>
      <c r="P190" s="288">
        <v>-36895.311000000002</v>
      </c>
      <c r="Q190" s="288">
        <v>-3644.308</v>
      </c>
      <c r="R190" s="288">
        <v>-20921.005000000001</v>
      </c>
      <c r="S190" s="289">
        <v>669230.41943200002</v>
      </c>
      <c r="V190" s="189">
        <f t="shared" si="31"/>
        <v>31.552332011231996</v>
      </c>
      <c r="W190" s="188">
        <f t="shared" si="32"/>
        <v>230.55006400000002</v>
      </c>
      <c r="X190" s="189">
        <f t="shared" si="33"/>
        <v>16.392833342721428</v>
      </c>
      <c r="Y190" s="299">
        <f t="shared" si="34"/>
        <v>119.78096499999999</v>
      </c>
    </row>
    <row r="191" spans="1:25" ht="14.25">
      <c r="A191" s="275">
        <v>12</v>
      </c>
      <c r="B191" s="288">
        <v>162802.54261199999</v>
      </c>
      <c r="C191" s="288">
        <v>30986.502219999998</v>
      </c>
      <c r="D191" s="288">
        <v>85878.573000000004</v>
      </c>
      <c r="E191" s="288">
        <v>9423.1309999999994</v>
      </c>
      <c r="F191" s="288">
        <v>0</v>
      </c>
      <c r="G191" s="288">
        <v>88099.498000000007</v>
      </c>
      <c r="H191" s="288">
        <v>92597.411999999997</v>
      </c>
      <c r="I191" s="288">
        <v>147561.53099999999</v>
      </c>
      <c r="J191" s="288">
        <v>17210.844000000001</v>
      </c>
      <c r="K191" s="288">
        <v>8916.7900000000009</v>
      </c>
      <c r="L191" s="288">
        <v>44929.017999999996</v>
      </c>
      <c r="M191" s="288">
        <v>1077.3009999999999</v>
      </c>
      <c r="N191" s="288">
        <v>1761.886</v>
      </c>
      <c r="O191" s="289">
        <v>691245.02883199998</v>
      </c>
      <c r="P191" s="288">
        <v>-29991.752</v>
      </c>
      <c r="Q191" s="288">
        <v>-3581.28</v>
      </c>
      <c r="R191" s="288">
        <v>9649.6020000000008</v>
      </c>
      <c r="S191" s="289">
        <v>667321.59883200005</v>
      </c>
      <c r="V191" s="189">
        <f t="shared" si="31"/>
        <v>13.395743641941596</v>
      </c>
      <c r="W191" s="188">
        <f t="shared" si="32"/>
        <v>92.597411999999991</v>
      </c>
      <c r="X191" s="189">
        <f t="shared" si="33"/>
        <v>21.347210445670097</v>
      </c>
      <c r="Y191" s="299">
        <f t="shared" si="34"/>
        <v>147.561531</v>
      </c>
    </row>
    <row r="192" spans="1:25" ht="14.25">
      <c r="A192" s="275">
        <v>13</v>
      </c>
      <c r="B192" s="288">
        <v>170066.349716</v>
      </c>
      <c r="C192" s="288">
        <v>28988.960179999998</v>
      </c>
      <c r="D192" s="288">
        <v>85804.577000000005</v>
      </c>
      <c r="E192" s="288">
        <v>9293.1650000000009</v>
      </c>
      <c r="F192" s="288">
        <v>0</v>
      </c>
      <c r="G192" s="288">
        <v>95064.663</v>
      </c>
      <c r="H192" s="288">
        <v>76561.441999999995</v>
      </c>
      <c r="I192" s="288">
        <v>141632.53099999999</v>
      </c>
      <c r="J192" s="288">
        <v>12788.538</v>
      </c>
      <c r="K192" s="288">
        <v>10187.317999999999</v>
      </c>
      <c r="L192" s="288">
        <v>47635.811999999998</v>
      </c>
      <c r="M192" s="288">
        <v>1046.3734999999999</v>
      </c>
      <c r="N192" s="288">
        <v>1729.4114999999999</v>
      </c>
      <c r="O192" s="289">
        <v>680799.14089599997</v>
      </c>
      <c r="P192" s="288">
        <v>-32438.488000000001</v>
      </c>
      <c r="Q192" s="288">
        <v>-3575.4050000000002</v>
      </c>
      <c r="R192" s="288">
        <v>22904.478999999999</v>
      </c>
      <c r="S192" s="289">
        <v>667689.72689599998</v>
      </c>
      <c r="V192" s="189">
        <f t="shared" si="31"/>
        <v>11.245819420282679</v>
      </c>
      <c r="W192" s="188">
        <f t="shared" si="32"/>
        <v>76.561442</v>
      </c>
      <c r="X192" s="189">
        <f t="shared" si="33"/>
        <v>20.803864530968323</v>
      </c>
      <c r="Y192" s="299">
        <f t="shared" si="34"/>
        <v>141.632531</v>
      </c>
    </row>
    <row r="193" spans="1:25" ht="14.25">
      <c r="A193" s="275">
        <v>14</v>
      </c>
      <c r="B193" s="288">
        <v>174137.58362399999</v>
      </c>
      <c r="C193" s="288">
        <v>18332.854383999998</v>
      </c>
      <c r="D193" s="288">
        <v>85583.717999999993</v>
      </c>
      <c r="E193" s="288">
        <v>9307.2690000000002</v>
      </c>
      <c r="F193" s="288">
        <v>0</v>
      </c>
      <c r="G193" s="288">
        <v>72194.762000000002</v>
      </c>
      <c r="H193" s="288">
        <v>155158.842</v>
      </c>
      <c r="I193" s="288">
        <v>115565.852</v>
      </c>
      <c r="J193" s="288">
        <v>7070.2259999999997</v>
      </c>
      <c r="K193" s="288">
        <v>10835.028</v>
      </c>
      <c r="L193" s="288">
        <v>48323.696000000004</v>
      </c>
      <c r="M193" s="288">
        <v>1034.1985</v>
      </c>
      <c r="N193" s="288">
        <v>1586.2325000000001</v>
      </c>
      <c r="O193" s="289">
        <v>699130.26200800005</v>
      </c>
      <c r="P193" s="288">
        <v>-31443.293000000001</v>
      </c>
      <c r="Q193" s="288">
        <v>-3508.0990000000002</v>
      </c>
      <c r="R193" s="288">
        <v>3341.0050000000001</v>
      </c>
      <c r="S193" s="289">
        <v>667519.87500799994</v>
      </c>
      <c r="V193" s="189">
        <f t="shared" si="31"/>
        <v>22.193123432300311</v>
      </c>
      <c r="W193" s="188">
        <f t="shared" si="32"/>
        <v>155.15884199999999</v>
      </c>
      <c r="X193" s="189">
        <f t="shared" si="33"/>
        <v>16.529945602423027</v>
      </c>
      <c r="Y193" s="299">
        <f t="shared" si="34"/>
        <v>115.56585199999999</v>
      </c>
    </row>
    <row r="194" spans="1:25" ht="14.25">
      <c r="A194" s="275">
        <v>15</v>
      </c>
      <c r="B194" s="288">
        <v>181000.19785200001</v>
      </c>
      <c r="C194" s="288">
        <v>18540.209572</v>
      </c>
      <c r="D194" s="288">
        <v>85312.906000000003</v>
      </c>
      <c r="E194" s="288">
        <v>6278.9340000000002</v>
      </c>
      <c r="F194" s="288">
        <v>0</v>
      </c>
      <c r="G194" s="288">
        <v>69186.179000000004</v>
      </c>
      <c r="H194" s="288">
        <v>123780.681</v>
      </c>
      <c r="I194" s="288">
        <v>121071.401</v>
      </c>
      <c r="J194" s="288">
        <v>8907.0889999999999</v>
      </c>
      <c r="K194" s="288">
        <v>11014.736000000001</v>
      </c>
      <c r="L194" s="288">
        <v>47162.538</v>
      </c>
      <c r="M194" s="288">
        <v>1063.4585</v>
      </c>
      <c r="N194" s="288">
        <v>1698.7625</v>
      </c>
      <c r="O194" s="289">
        <v>675017.09242400003</v>
      </c>
      <c r="P194" s="288">
        <v>-23373.867999999999</v>
      </c>
      <c r="Q194" s="288">
        <v>-3382.777</v>
      </c>
      <c r="R194" s="288">
        <v>1184.2660000000001</v>
      </c>
      <c r="S194" s="289">
        <v>649444.71342399996</v>
      </c>
      <c r="V194" s="189">
        <f t="shared" si="31"/>
        <v>18.337414324650815</v>
      </c>
      <c r="W194" s="188">
        <f t="shared" si="32"/>
        <v>123.780681</v>
      </c>
      <c r="X194" s="189">
        <f t="shared" si="33"/>
        <v>17.936049673235701</v>
      </c>
      <c r="Y194" s="299">
        <f t="shared" si="34"/>
        <v>121.07140099999999</v>
      </c>
    </row>
    <row r="195" spans="1:25" ht="14.25">
      <c r="A195" s="275">
        <v>16</v>
      </c>
      <c r="B195" s="288">
        <v>164658.36487200001</v>
      </c>
      <c r="C195" s="288">
        <v>21373.92236</v>
      </c>
      <c r="D195" s="288">
        <v>85139.877999999997</v>
      </c>
      <c r="E195" s="288">
        <v>5815.8320000000003</v>
      </c>
      <c r="F195" s="288">
        <v>0</v>
      </c>
      <c r="G195" s="288">
        <v>65667.395999999993</v>
      </c>
      <c r="H195" s="288">
        <v>93912.282999999996</v>
      </c>
      <c r="I195" s="288">
        <v>130383.02899999999</v>
      </c>
      <c r="J195" s="288">
        <v>11258.369000000001</v>
      </c>
      <c r="K195" s="288">
        <v>11675.573</v>
      </c>
      <c r="L195" s="288">
        <v>43766.78</v>
      </c>
      <c r="M195" s="288">
        <v>1144.0295000000001</v>
      </c>
      <c r="N195" s="288">
        <v>1811.2294999999999</v>
      </c>
      <c r="O195" s="289">
        <v>636606.68623200001</v>
      </c>
      <c r="P195" s="288">
        <v>-30313.524000000001</v>
      </c>
      <c r="Q195" s="288">
        <v>-3076.6610000000001</v>
      </c>
      <c r="R195" s="288">
        <v>-30927.941999999999</v>
      </c>
      <c r="S195" s="289">
        <v>572288.55923200003</v>
      </c>
      <c r="V195" s="189">
        <f t="shared" si="31"/>
        <v>14.75201015494445</v>
      </c>
      <c r="W195" s="188">
        <f t="shared" si="32"/>
        <v>93.912283000000002</v>
      </c>
      <c r="X195" s="189">
        <f t="shared" si="33"/>
        <v>20.480939302055052</v>
      </c>
      <c r="Y195" s="299">
        <f t="shared" si="34"/>
        <v>130.38302899999999</v>
      </c>
    </row>
    <row r="196" spans="1:25" ht="14.25">
      <c r="A196" s="275">
        <v>17</v>
      </c>
      <c r="B196" s="288">
        <v>165781.758692</v>
      </c>
      <c r="C196" s="288">
        <v>15628.466340000001</v>
      </c>
      <c r="D196" s="288">
        <v>100908.008</v>
      </c>
      <c r="E196" s="288">
        <v>5716.4489999999996</v>
      </c>
      <c r="F196" s="288">
        <v>0</v>
      </c>
      <c r="G196" s="288">
        <v>70987.164999999994</v>
      </c>
      <c r="H196" s="288">
        <v>83048.638000000006</v>
      </c>
      <c r="I196" s="288">
        <v>123592.359</v>
      </c>
      <c r="J196" s="288">
        <v>8744.9650000000001</v>
      </c>
      <c r="K196" s="288">
        <v>11205.534</v>
      </c>
      <c r="L196" s="288">
        <v>41793.917000000001</v>
      </c>
      <c r="M196" s="288">
        <v>1051.2265</v>
      </c>
      <c r="N196" s="288">
        <v>1655.6855</v>
      </c>
      <c r="O196" s="289">
        <v>630114.17203200003</v>
      </c>
      <c r="P196" s="288">
        <v>-39797.51</v>
      </c>
      <c r="Q196" s="288">
        <v>-2965.3339999999998</v>
      </c>
      <c r="R196" s="288">
        <v>-60767.726999999999</v>
      </c>
      <c r="S196" s="289">
        <v>526583.60103200004</v>
      </c>
      <c r="V196" s="189">
        <f t="shared" si="31"/>
        <v>13.179934952452143</v>
      </c>
      <c r="W196" s="188">
        <f t="shared" si="32"/>
        <v>83.048638000000011</v>
      </c>
      <c r="X196" s="189">
        <f t="shared" si="33"/>
        <v>19.614280155203907</v>
      </c>
      <c r="Y196" s="299">
        <f t="shared" si="34"/>
        <v>123.592359</v>
      </c>
    </row>
    <row r="197" spans="1:25" ht="14.25">
      <c r="A197" s="275">
        <v>18</v>
      </c>
      <c r="B197" s="288">
        <v>185316.18447199999</v>
      </c>
      <c r="C197" s="288">
        <v>19643.6662</v>
      </c>
      <c r="D197" s="288">
        <v>109571.82399999999</v>
      </c>
      <c r="E197" s="288">
        <v>6499.7879999999996</v>
      </c>
      <c r="F197" s="288">
        <v>1E-3</v>
      </c>
      <c r="G197" s="288">
        <v>101805.07</v>
      </c>
      <c r="H197" s="288">
        <v>35144.296999999999</v>
      </c>
      <c r="I197" s="288">
        <v>104670.186</v>
      </c>
      <c r="J197" s="288">
        <v>957.87400000000002</v>
      </c>
      <c r="K197" s="288">
        <v>11135.6</v>
      </c>
      <c r="L197" s="288">
        <v>49939.908000000003</v>
      </c>
      <c r="M197" s="288">
        <v>812.48749999999995</v>
      </c>
      <c r="N197" s="288">
        <v>1419.6424999999999</v>
      </c>
      <c r="O197" s="289">
        <v>626916.52867200004</v>
      </c>
      <c r="P197" s="288">
        <v>-19591.983</v>
      </c>
      <c r="Q197" s="288">
        <v>-3416.3420000000001</v>
      </c>
      <c r="R197" s="288">
        <v>5397.77</v>
      </c>
      <c r="S197" s="289">
        <v>609305.97367199999</v>
      </c>
      <c r="V197" s="189">
        <f t="shared" si="31"/>
        <v>5.6058973392273312</v>
      </c>
      <c r="W197" s="188">
        <f t="shared" si="32"/>
        <v>35.144297000000002</v>
      </c>
      <c r="X197" s="189">
        <f t="shared" si="33"/>
        <v>16.696032280680701</v>
      </c>
      <c r="Y197" s="299">
        <f t="shared" si="34"/>
        <v>104.670186</v>
      </c>
    </row>
    <row r="198" spans="1:25" ht="14.25">
      <c r="A198" s="275">
        <v>19</v>
      </c>
      <c r="B198" s="288">
        <v>191954.33895199999</v>
      </c>
      <c r="C198" s="288">
        <v>22229.959576000001</v>
      </c>
      <c r="D198" s="288">
        <v>109425.928</v>
      </c>
      <c r="E198" s="288">
        <v>6576.8450000000003</v>
      </c>
      <c r="F198" s="288">
        <v>0</v>
      </c>
      <c r="G198" s="288">
        <v>100752.61</v>
      </c>
      <c r="H198" s="288">
        <v>41812.383000000002</v>
      </c>
      <c r="I198" s="288">
        <v>122445.205</v>
      </c>
      <c r="J198" s="288">
        <v>3398.7809999999999</v>
      </c>
      <c r="K198" s="288">
        <v>11284.409</v>
      </c>
      <c r="L198" s="288">
        <v>51368.248</v>
      </c>
      <c r="M198" s="288">
        <v>898.82399999999996</v>
      </c>
      <c r="N198" s="288">
        <v>1554.1949999999999</v>
      </c>
      <c r="O198" s="289">
        <v>663701.72652799997</v>
      </c>
      <c r="P198" s="288">
        <v>-23299.752</v>
      </c>
      <c r="Q198" s="288">
        <v>-3267.13</v>
      </c>
      <c r="R198" s="288">
        <v>-34060.408000000003</v>
      </c>
      <c r="S198" s="289">
        <v>603074.43652800005</v>
      </c>
      <c r="V198" s="189">
        <f t="shared" si="31"/>
        <v>6.2998755809679272</v>
      </c>
      <c r="W198" s="188">
        <f t="shared" si="32"/>
        <v>41.812383000000004</v>
      </c>
      <c r="X198" s="189">
        <f t="shared" si="33"/>
        <v>18.448830266050894</v>
      </c>
      <c r="Y198" s="299">
        <f t="shared" si="34"/>
        <v>122.445205</v>
      </c>
    </row>
    <row r="199" spans="1:25" ht="14.25">
      <c r="A199" s="275">
        <v>20</v>
      </c>
      <c r="B199" s="288">
        <v>181789.87993600001</v>
      </c>
      <c r="C199" s="288">
        <v>14878.799072</v>
      </c>
      <c r="D199" s="288">
        <v>109218.954</v>
      </c>
      <c r="E199" s="288">
        <v>7482.6459999999997</v>
      </c>
      <c r="F199" s="288">
        <v>0</v>
      </c>
      <c r="G199" s="288">
        <v>71309.099000000002</v>
      </c>
      <c r="H199" s="288">
        <v>127507.63400000001</v>
      </c>
      <c r="I199" s="288">
        <v>106079.413</v>
      </c>
      <c r="J199" s="288">
        <v>2732.422</v>
      </c>
      <c r="K199" s="288">
        <v>10332.424000000001</v>
      </c>
      <c r="L199" s="288">
        <v>52729.781000000003</v>
      </c>
      <c r="M199" s="288">
        <v>1159.9390000000001</v>
      </c>
      <c r="N199" s="288">
        <v>1892.2840000000001</v>
      </c>
      <c r="O199" s="289">
        <v>687113.27500799997</v>
      </c>
      <c r="P199" s="288">
        <v>-19880.587</v>
      </c>
      <c r="Q199" s="288">
        <v>-3293.6109999999999</v>
      </c>
      <c r="R199" s="288">
        <v>-32524.447</v>
      </c>
      <c r="S199" s="289">
        <v>631414.63000799995</v>
      </c>
      <c r="V199" s="189">
        <f t="shared" si="31"/>
        <v>18.5570034283671</v>
      </c>
      <c r="W199" s="188">
        <f t="shared" si="32"/>
        <v>127.50763400000001</v>
      </c>
      <c r="X199" s="189">
        <f t="shared" si="33"/>
        <v>15.438417049760089</v>
      </c>
      <c r="Y199" s="299">
        <f t="shared" si="34"/>
        <v>106.079413</v>
      </c>
    </row>
    <row r="200" spans="1:25" ht="14.25">
      <c r="A200" s="275">
        <v>21</v>
      </c>
      <c r="B200" s="288">
        <v>159786.84372400001</v>
      </c>
      <c r="C200" s="288">
        <v>15614.353419999999</v>
      </c>
      <c r="D200" s="288">
        <v>109026.948</v>
      </c>
      <c r="E200" s="288">
        <v>7440.1379999999999</v>
      </c>
      <c r="F200" s="288">
        <v>0</v>
      </c>
      <c r="G200" s="288">
        <v>54017.591</v>
      </c>
      <c r="H200" s="288">
        <v>187284.397</v>
      </c>
      <c r="I200" s="288">
        <v>97996.581999999995</v>
      </c>
      <c r="J200" s="288">
        <v>2364.2449999999999</v>
      </c>
      <c r="K200" s="288">
        <v>9725.5470000000005</v>
      </c>
      <c r="L200" s="288">
        <v>51076.989000000001</v>
      </c>
      <c r="M200" s="288">
        <v>1122.5065</v>
      </c>
      <c r="N200" s="288">
        <v>1903.9085</v>
      </c>
      <c r="O200" s="289">
        <v>697360.04914400005</v>
      </c>
      <c r="P200" s="288">
        <v>-27343.722000000002</v>
      </c>
      <c r="Q200" s="288">
        <v>-3309.163</v>
      </c>
      <c r="R200" s="288">
        <v>-31999.672999999999</v>
      </c>
      <c r="S200" s="289">
        <v>634707.49114399997</v>
      </c>
      <c r="V200" s="189">
        <f t="shared" si="31"/>
        <v>26.856198204914239</v>
      </c>
      <c r="W200" s="188">
        <f t="shared" si="32"/>
        <v>187.28439699999998</v>
      </c>
      <c r="X200" s="189">
        <f t="shared" si="33"/>
        <v>14.052508760759878</v>
      </c>
      <c r="Y200" s="299">
        <f t="shared" si="34"/>
        <v>97.996581999999989</v>
      </c>
    </row>
    <row r="201" spans="1:25" ht="14.25">
      <c r="A201" s="275">
        <v>22</v>
      </c>
      <c r="B201" s="288">
        <v>168028.2279</v>
      </c>
      <c r="C201" s="288">
        <v>16968.571427999999</v>
      </c>
      <c r="D201" s="288">
        <v>108892.364</v>
      </c>
      <c r="E201" s="288">
        <v>7334.94</v>
      </c>
      <c r="F201" s="288">
        <v>0</v>
      </c>
      <c r="G201" s="288">
        <v>56903.343999999997</v>
      </c>
      <c r="H201" s="288">
        <v>133137.47200000001</v>
      </c>
      <c r="I201" s="288">
        <v>109812.31600000001</v>
      </c>
      <c r="J201" s="288">
        <v>1775.893</v>
      </c>
      <c r="K201" s="288">
        <v>10908.36</v>
      </c>
      <c r="L201" s="288">
        <v>43334.351000000002</v>
      </c>
      <c r="M201" s="288">
        <v>1111.7114999999999</v>
      </c>
      <c r="N201" s="288">
        <v>1497.3505</v>
      </c>
      <c r="O201" s="289">
        <v>659704.90132800001</v>
      </c>
      <c r="P201" s="288">
        <v>-20109.748</v>
      </c>
      <c r="Q201" s="288">
        <v>-3465.893</v>
      </c>
      <c r="R201" s="288">
        <v>-8180.9989999999998</v>
      </c>
      <c r="S201" s="289">
        <v>627948.26132799999</v>
      </c>
      <c r="V201" s="189">
        <f t="shared" si="31"/>
        <v>20.181367719413853</v>
      </c>
      <c r="W201" s="188">
        <f t="shared" si="32"/>
        <v>133.137472</v>
      </c>
      <c r="X201" s="189">
        <f t="shared" si="33"/>
        <v>16.645672296650439</v>
      </c>
      <c r="Y201" s="299">
        <f t="shared" si="34"/>
        <v>109.81231600000001</v>
      </c>
    </row>
    <row r="202" spans="1:25" ht="14.25">
      <c r="A202" s="275">
        <v>23</v>
      </c>
      <c r="B202" s="288">
        <v>128798.362692</v>
      </c>
      <c r="C202" s="288">
        <v>8222.5946039999999</v>
      </c>
      <c r="D202" s="288">
        <v>108738.79</v>
      </c>
      <c r="E202" s="288">
        <v>6036.3239999999996</v>
      </c>
      <c r="F202" s="288">
        <v>0</v>
      </c>
      <c r="G202" s="288">
        <v>35648.998</v>
      </c>
      <c r="H202" s="288">
        <v>252147.81299999999</v>
      </c>
      <c r="I202" s="288">
        <v>85931.160999999993</v>
      </c>
      <c r="J202" s="288">
        <v>173.262</v>
      </c>
      <c r="K202" s="288">
        <v>10574.019</v>
      </c>
      <c r="L202" s="288">
        <v>30707.743999999999</v>
      </c>
      <c r="M202" s="288">
        <v>1157.952</v>
      </c>
      <c r="N202" s="288">
        <v>1666.943</v>
      </c>
      <c r="O202" s="289">
        <v>669803.96329600003</v>
      </c>
      <c r="P202" s="288">
        <v>-46393.38</v>
      </c>
      <c r="Q202" s="288">
        <v>-3025.25</v>
      </c>
      <c r="R202" s="288">
        <v>-62870.377</v>
      </c>
      <c r="S202" s="289">
        <v>557514.95629600005</v>
      </c>
      <c r="V202" s="189">
        <f t="shared" si="31"/>
        <v>37.645016574584041</v>
      </c>
      <c r="W202" s="188">
        <f t="shared" si="32"/>
        <v>252.14781299999999</v>
      </c>
      <c r="X202" s="189">
        <f t="shared" si="33"/>
        <v>12.829300169731194</v>
      </c>
      <c r="Y202" s="299">
        <f t="shared" si="34"/>
        <v>85.931160999999989</v>
      </c>
    </row>
    <row r="203" spans="1:25" ht="14.25">
      <c r="A203" s="275">
        <v>24</v>
      </c>
      <c r="B203" s="288">
        <v>119816.220124</v>
      </c>
      <c r="C203" s="288">
        <v>12359.89934</v>
      </c>
      <c r="D203" s="288">
        <v>109573.35</v>
      </c>
      <c r="E203" s="288">
        <v>5819.28</v>
      </c>
      <c r="F203" s="288">
        <v>0</v>
      </c>
      <c r="G203" s="288">
        <v>42811.256000000001</v>
      </c>
      <c r="H203" s="288">
        <v>191591.772</v>
      </c>
      <c r="I203" s="288">
        <v>69925.91</v>
      </c>
      <c r="J203" s="288">
        <v>126.42</v>
      </c>
      <c r="K203" s="288">
        <v>11162.659</v>
      </c>
      <c r="L203" s="288">
        <v>30630.098000000002</v>
      </c>
      <c r="M203" s="288">
        <v>1237.52</v>
      </c>
      <c r="N203" s="288">
        <v>1831.4760000000001</v>
      </c>
      <c r="O203" s="289">
        <v>596885.86046400003</v>
      </c>
      <c r="P203" s="288">
        <v>-35066.339999999997</v>
      </c>
      <c r="Q203" s="288">
        <v>-2937.0810000000001</v>
      </c>
      <c r="R203" s="288">
        <v>-39607.074000000001</v>
      </c>
      <c r="S203" s="289">
        <v>519275.36546399997</v>
      </c>
      <c r="V203" s="189">
        <f t="shared" si="31"/>
        <v>32.098560996412722</v>
      </c>
      <c r="W203" s="188">
        <f t="shared" si="32"/>
        <v>191.59177199999999</v>
      </c>
      <c r="X203" s="189">
        <f t="shared" si="33"/>
        <v>11.715122543804577</v>
      </c>
      <c r="Y203" s="299">
        <f t="shared" si="34"/>
        <v>69.925910000000002</v>
      </c>
    </row>
    <row r="204" spans="1:25" ht="14.25">
      <c r="A204" s="275">
        <v>25</v>
      </c>
      <c r="B204" s="288">
        <v>172549.45835999999</v>
      </c>
      <c r="C204" s="288">
        <v>19289.604687999999</v>
      </c>
      <c r="D204" s="288">
        <v>115488.357</v>
      </c>
      <c r="E204" s="288">
        <v>7058.0720000000001</v>
      </c>
      <c r="F204" s="288">
        <v>0</v>
      </c>
      <c r="G204" s="288">
        <v>58878.161999999997</v>
      </c>
      <c r="H204" s="288">
        <v>194727.67999999999</v>
      </c>
      <c r="I204" s="288">
        <v>51232.773999999998</v>
      </c>
      <c r="J204" s="288">
        <v>121.468</v>
      </c>
      <c r="K204" s="288">
        <v>11448.583000000001</v>
      </c>
      <c r="L204" s="288">
        <v>38868.042000000001</v>
      </c>
      <c r="M204" s="288">
        <v>1325.1175000000001</v>
      </c>
      <c r="N204" s="288">
        <v>1839.3634999999999</v>
      </c>
      <c r="O204" s="289">
        <v>672826.68204800005</v>
      </c>
      <c r="P204" s="288">
        <v>-19953.545999999998</v>
      </c>
      <c r="Q204" s="288">
        <v>-3930.509</v>
      </c>
      <c r="R204" s="288">
        <v>-10746.298000000001</v>
      </c>
      <c r="S204" s="289">
        <v>638196.32904800004</v>
      </c>
      <c r="V204" s="189">
        <f t="shared" si="31"/>
        <v>28.941729749372207</v>
      </c>
      <c r="W204" s="188">
        <f t="shared" si="32"/>
        <v>194.72767999999999</v>
      </c>
      <c r="X204" s="189">
        <f t="shared" si="33"/>
        <v>7.6145574138132961</v>
      </c>
      <c r="Y204" s="299">
        <f t="shared" si="34"/>
        <v>51.232773999999999</v>
      </c>
    </row>
    <row r="205" spans="1:25" ht="14.25">
      <c r="A205" s="275">
        <v>26</v>
      </c>
      <c r="B205" s="288">
        <v>161772.823084</v>
      </c>
      <c r="C205" s="288">
        <v>13380.388419999999</v>
      </c>
      <c r="D205" s="288">
        <v>118131.035</v>
      </c>
      <c r="E205" s="288">
        <v>7071.3819999999996</v>
      </c>
      <c r="F205" s="288">
        <v>0</v>
      </c>
      <c r="G205" s="288">
        <v>44438.303999999996</v>
      </c>
      <c r="H205" s="288">
        <v>258829.85</v>
      </c>
      <c r="I205" s="288">
        <v>94592.786999999997</v>
      </c>
      <c r="J205" s="288">
        <v>2647.0479999999998</v>
      </c>
      <c r="K205" s="288">
        <v>10478.285</v>
      </c>
      <c r="L205" s="288">
        <v>32578.162</v>
      </c>
      <c r="M205" s="288">
        <v>1511.2974999999999</v>
      </c>
      <c r="N205" s="288">
        <v>2047.5225</v>
      </c>
      <c r="O205" s="289">
        <v>747478.88450399996</v>
      </c>
      <c r="P205" s="288">
        <v>-27774.896000000001</v>
      </c>
      <c r="Q205" s="288">
        <v>-4511.03</v>
      </c>
      <c r="R205" s="288">
        <v>-64801.186000000002</v>
      </c>
      <c r="S205" s="289">
        <v>650391.77250399999</v>
      </c>
      <c r="V205" s="189">
        <f t="shared" si="31"/>
        <v>34.627045039773954</v>
      </c>
      <c r="W205" s="188">
        <f t="shared" si="32"/>
        <v>258.82985000000002</v>
      </c>
      <c r="X205" s="189">
        <f t="shared" si="33"/>
        <v>12.654910922703639</v>
      </c>
      <c r="Y205" s="299">
        <f t="shared" si="34"/>
        <v>94.592787000000001</v>
      </c>
    </row>
    <row r="206" spans="1:25" ht="14.25">
      <c r="A206" s="275">
        <v>27</v>
      </c>
      <c r="B206" s="288">
        <v>116065.255708</v>
      </c>
      <c r="C206" s="288">
        <v>12116.704804000001</v>
      </c>
      <c r="D206" s="288">
        <v>123614.852</v>
      </c>
      <c r="E206" s="288">
        <v>7060.8909999999996</v>
      </c>
      <c r="F206" s="288">
        <v>0</v>
      </c>
      <c r="G206" s="288">
        <v>28679.216</v>
      </c>
      <c r="H206" s="288">
        <v>330574.908</v>
      </c>
      <c r="I206" s="288">
        <v>70600.798999999999</v>
      </c>
      <c r="J206" s="288">
        <v>642.65499999999997</v>
      </c>
      <c r="K206" s="288">
        <v>10669.147999999999</v>
      </c>
      <c r="L206" s="288">
        <v>29575.075000000001</v>
      </c>
      <c r="M206" s="288">
        <v>1564.6185</v>
      </c>
      <c r="N206" s="288">
        <v>1945.0105000000001</v>
      </c>
      <c r="O206" s="289">
        <v>733109.13351199997</v>
      </c>
      <c r="P206" s="288">
        <v>-35057.313999999998</v>
      </c>
      <c r="Q206" s="288">
        <v>-3425.415</v>
      </c>
      <c r="R206" s="288">
        <v>-49257.165999999997</v>
      </c>
      <c r="S206" s="289">
        <v>645369.23851199995</v>
      </c>
      <c r="V206" s="189">
        <f t="shared" si="31"/>
        <v>45.092182444428509</v>
      </c>
      <c r="W206" s="188">
        <f t="shared" si="32"/>
        <v>330.57490799999999</v>
      </c>
      <c r="X206" s="189">
        <f t="shared" si="33"/>
        <v>9.6303259327547792</v>
      </c>
      <c r="Y206" s="299">
        <f t="shared" si="34"/>
        <v>70.600798999999995</v>
      </c>
    </row>
    <row r="207" spans="1:25" ht="14.25">
      <c r="A207" s="275">
        <v>28</v>
      </c>
      <c r="B207" s="288">
        <v>121748.06195600001</v>
      </c>
      <c r="C207" s="288">
        <v>8368.03334</v>
      </c>
      <c r="D207" s="288">
        <v>126643.289</v>
      </c>
      <c r="E207" s="288">
        <v>6611.3389999999999</v>
      </c>
      <c r="F207" s="288">
        <v>0</v>
      </c>
      <c r="G207" s="288">
        <v>25580.260999999999</v>
      </c>
      <c r="H207" s="288">
        <v>291585.97100000002</v>
      </c>
      <c r="I207" s="288">
        <v>72165.244999999995</v>
      </c>
      <c r="J207" s="288">
        <v>597.28599999999994</v>
      </c>
      <c r="K207" s="288">
        <v>11332.894</v>
      </c>
      <c r="L207" s="288">
        <v>26897.332999999999</v>
      </c>
      <c r="M207" s="288">
        <v>1571.1010000000001</v>
      </c>
      <c r="N207" s="288">
        <v>2063.942</v>
      </c>
      <c r="O207" s="289">
        <v>695164.75629599998</v>
      </c>
      <c r="P207" s="288">
        <v>-42776.783000000003</v>
      </c>
      <c r="Q207" s="288">
        <v>-3221.1219999999998</v>
      </c>
      <c r="R207" s="288">
        <v>-78356.070999999996</v>
      </c>
      <c r="S207" s="289">
        <v>570810.78029599995</v>
      </c>
      <c r="V207" s="189">
        <f t="shared" si="31"/>
        <v>41.944872544120059</v>
      </c>
      <c r="W207" s="188">
        <f t="shared" si="32"/>
        <v>291.58597100000003</v>
      </c>
      <c r="X207" s="189">
        <f t="shared" si="33"/>
        <v>10.3810275688476</v>
      </c>
      <c r="Y207" s="299">
        <f t="shared" si="34"/>
        <v>72.165244999999999</v>
      </c>
    </row>
    <row r="208" spans="1:25" ht="14.25">
      <c r="A208" s="275">
        <v>29</v>
      </c>
      <c r="B208" s="288">
        <v>135982.18890000001</v>
      </c>
      <c r="C208" s="288">
        <v>16910.050604</v>
      </c>
      <c r="D208" s="288">
        <v>126684.842</v>
      </c>
      <c r="E208" s="288">
        <v>5762.7539999999999</v>
      </c>
      <c r="F208" s="288">
        <v>0</v>
      </c>
      <c r="G208" s="288">
        <v>41171.703999999998</v>
      </c>
      <c r="H208" s="288">
        <v>207190.15400000001</v>
      </c>
      <c r="I208" s="288">
        <v>69475.298999999999</v>
      </c>
      <c r="J208" s="288">
        <v>1375.634</v>
      </c>
      <c r="K208" s="288">
        <v>11382.34</v>
      </c>
      <c r="L208" s="288">
        <v>26726.954000000002</v>
      </c>
      <c r="M208" s="288">
        <v>1554.2239999999999</v>
      </c>
      <c r="N208" s="288">
        <v>2240.7860000000001</v>
      </c>
      <c r="O208" s="289">
        <v>646456.93050400005</v>
      </c>
      <c r="P208" s="288">
        <v>-46877.17</v>
      </c>
      <c r="Q208" s="288">
        <v>-3133.4679999999998</v>
      </c>
      <c r="R208" s="288">
        <v>-68671.475999999995</v>
      </c>
      <c r="S208" s="289">
        <v>527774.81650399999</v>
      </c>
      <c r="V208" s="189">
        <f t="shared" si="31"/>
        <v>32.050109485015106</v>
      </c>
      <c r="W208" s="188">
        <f t="shared" si="32"/>
        <v>207.19015400000001</v>
      </c>
      <c r="X208" s="189">
        <f t="shared" si="33"/>
        <v>10.747088587299183</v>
      </c>
      <c r="Y208" s="299">
        <f t="shared" si="34"/>
        <v>69.475298999999993</v>
      </c>
    </row>
    <row r="209" spans="1:25" ht="14.25">
      <c r="A209" s="275">
        <v>30</v>
      </c>
      <c r="B209" s="288">
        <v>143610.04302799999</v>
      </c>
      <c r="C209" s="288">
        <v>12087.405500000001</v>
      </c>
      <c r="D209" s="288">
        <v>123879.287</v>
      </c>
      <c r="E209" s="288">
        <v>5983.491</v>
      </c>
      <c r="F209" s="288">
        <v>0</v>
      </c>
      <c r="G209" s="288">
        <v>47740.444000000003</v>
      </c>
      <c r="H209" s="288">
        <v>184877.34599999999</v>
      </c>
      <c r="I209" s="288">
        <v>72760.616999999998</v>
      </c>
      <c r="J209" s="288">
        <v>500.09399999999999</v>
      </c>
      <c r="K209" s="288">
        <v>10863.206</v>
      </c>
      <c r="L209" s="288">
        <v>26971.778999999999</v>
      </c>
      <c r="M209" s="288">
        <v>1573.087</v>
      </c>
      <c r="N209" s="288">
        <v>2270.3620000000001</v>
      </c>
      <c r="O209" s="289">
        <v>633117.16152800003</v>
      </c>
      <c r="P209" s="288">
        <v>-50560.743000000002</v>
      </c>
      <c r="Q209" s="288">
        <v>-3295.34</v>
      </c>
      <c r="R209" s="288">
        <v>-37169.889000000003</v>
      </c>
      <c r="S209" s="289">
        <v>542091.18952799996</v>
      </c>
      <c r="V209" s="189">
        <f t="shared" si="31"/>
        <v>29.201126937359707</v>
      </c>
      <c r="W209" s="188">
        <f t="shared" si="32"/>
        <v>184.87734599999999</v>
      </c>
      <c r="X209" s="189">
        <f t="shared" si="33"/>
        <v>11.492441118543603</v>
      </c>
      <c r="Y209" s="299">
        <f t="shared" si="34"/>
        <v>72.760616999999996</v>
      </c>
    </row>
    <row r="210" spans="1:25" ht="14.25">
      <c r="A210" s="275">
        <v>31</v>
      </c>
      <c r="B210" s="288">
        <v>136037.43392000001</v>
      </c>
      <c r="C210" s="288">
        <v>9339.6475840000003</v>
      </c>
      <c r="D210" s="288">
        <v>105792.655</v>
      </c>
      <c r="E210" s="288">
        <v>5518.1880000000001</v>
      </c>
      <c r="F210" s="288">
        <v>0</v>
      </c>
      <c r="G210" s="288">
        <v>38990.366999999998</v>
      </c>
      <c r="H210" s="288">
        <v>225721.899</v>
      </c>
      <c r="I210" s="288">
        <v>56133.758999999998</v>
      </c>
      <c r="J210" s="288">
        <v>775.43100000000004</v>
      </c>
      <c r="K210" s="288">
        <v>9755.23</v>
      </c>
      <c r="L210" s="288">
        <v>24647.142</v>
      </c>
      <c r="M210" s="288">
        <v>1545.38</v>
      </c>
      <c r="N210" s="288">
        <v>2230.2379999999998</v>
      </c>
      <c r="O210" s="289">
        <v>616487.37050399999</v>
      </c>
      <c r="P210" s="288">
        <v>-45512.169000000002</v>
      </c>
      <c r="Q210" s="288">
        <v>-3019.3780000000002</v>
      </c>
      <c r="R210" s="288">
        <v>-51353.228999999999</v>
      </c>
      <c r="S210" s="289">
        <v>516602.59450399998</v>
      </c>
      <c r="V210" s="189">
        <f t="shared" si="31"/>
        <v>36.614196786458812</v>
      </c>
      <c r="W210" s="188">
        <f t="shared" si="32"/>
        <v>225.72189900000001</v>
      </c>
      <c r="X210" s="189">
        <f t="shared" si="33"/>
        <v>9.1054191352060769</v>
      </c>
      <c r="Y210" s="299">
        <f t="shared" si="34"/>
        <v>56.133758999999998</v>
      </c>
    </row>
    <row r="211" spans="1:25">
      <c r="G211">
        <f>MAX(G180:G210)</f>
        <v>101805.07</v>
      </c>
      <c r="H211">
        <f>MAX(H180:H210)</f>
        <v>330574.908</v>
      </c>
      <c r="I211" s="44">
        <f>MAX(I180:I210)</f>
        <v>147561.53099999999</v>
      </c>
    </row>
    <row r="212" spans="1:25" ht="14.25">
      <c r="I212" s="44">
        <v>147561.53099999999</v>
      </c>
      <c r="V212" s="296"/>
      <c r="W212" s="297"/>
      <c r="X212" s="296"/>
      <c r="Y212" s="298"/>
    </row>
    <row r="215" spans="1:25">
      <c r="A215" s="166" t="s">
        <v>31</v>
      </c>
      <c r="B215" s="326" t="s">
        <v>246</v>
      </c>
      <c r="C215" s="327"/>
      <c r="D215" s="327"/>
      <c r="E215" s="327"/>
      <c r="F215" s="327"/>
      <c r="G215" s="327"/>
      <c r="H215" s="327"/>
      <c r="I215" s="327"/>
      <c r="J215" s="327"/>
      <c r="K215" s="327"/>
      <c r="L215" s="327"/>
      <c r="M215" s="327"/>
      <c r="N215" s="327"/>
      <c r="O215" s="327"/>
      <c r="P215" s="327"/>
      <c r="Q215" s="327"/>
      <c r="R215" s="327"/>
      <c r="S215" s="327"/>
    </row>
    <row r="216" spans="1:25">
      <c r="A216" s="166" t="s">
        <v>105</v>
      </c>
      <c r="B216" s="324" t="s">
        <v>98</v>
      </c>
      <c r="C216" s="325"/>
      <c r="D216" s="325"/>
      <c r="E216" s="325"/>
      <c r="F216" s="325"/>
      <c r="G216" s="325"/>
      <c r="H216" s="325"/>
      <c r="I216" s="325"/>
      <c r="J216" s="325"/>
      <c r="K216" s="325"/>
      <c r="L216" s="325"/>
      <c r="M216" s="325"/>
      <c r="N216" s="325"/>
      <c r="O216" s="325"/>
      <c r="P216" s="325"/>
      <c r="Q216" s="325"/>
      <c r="R216" s="325"/>
      <c r="S216" s="325"/>
    </row>
    <row r="217" spans="1:25">
      <c r="A217" s="166" t="s">
        <v>106</v>
      </c>
      <c r="B217" s="322" t="s">
        <v>120</v>
      </c>
      <c r="C217" s="323"/>
      <c r="D217" s="323"/>
      <c r="E217" s="323"/>
      <c r="F217" s="323"/>
      <c r="G217" s="323"/>
      <c r="H217" s="323"/>
      <c r="I217" s="323"/>
      <c r="J217" s="323"/>
      <c r="K217" s="323"/>
      <c r="L217" s="323"/>
      <c r="M217" s="323"/>
      <c r="N217" s="323"/>
      <c r="O217" s="323"/>
      <c r="P217" s="323"/>
      <c r="Q217" s="323"/>
      <c r="R217" s="323"/>
      <c r="S217" s="323"/>
    </row>
    <row r="218" spans="1:25">
      <c r="A218" s="170" t="s">
        <v>107</v>
      </c>
      <c r="B218" s="300" t="s">
        <v>2</v>
      </c>
      <c r="C218" s="300" t="s">
        <v>81</v>
      </c>
      <c r="D218" s="300" t="s">
        <v>3</v>
      </c>
      <c r="E218" s="300" t="s">
        <v>4</v>
      </c>
      <c r="F218" s="300" t="s">
        <v>95</v>
      </c>
      <c r="G218" s="300" t="s">
        <v>11</v>
      </c>
      <c r="H218" s="300" t="s">
        <v>5</v>
      </c>
      <c r="I218" s="300" t="s">
        <v>6</v>
      </c>
      <c r="J218" s="300" t="s">
        <v>7</v>
      </c>
      <c r="K218" s="300" t="s">
        <v>8</v>
      </c>
      <c r="L218" s="300" t="s">
        <v>9</v>
      </c>
      <c r="M218" s="300" t="s">
        <v>69</v>
      </c>
      <c r="N218" s="300" t="s">
        <v>70</v>
      </c>
      <c r="O218" s="185" t="s">
        <v>10</v>
      </c>
      <c r="P218" s="300" t="s">
        <v>121</v>
      </c>
      <c r="Q218" s="300" t="s">
        <v>97</v>
      </c>
      <c r="R218" s="300" t="s">
        <v>122</v>
      </c>
      <c r="S218" s="185" t="s">
        <v>123</v>
      </c>
      <c r="V218" s="187" t="s">
        <v>124</v>
      </c>
    </row>
    <row r="219" spans="1:25" ht="14.25">
      <c r="A219" s="170" t="s">
        <v>119</v>
      </c>
      <c r="B219" s="274"/>
      <c r="C219" s="274"/>
      <c r="D219" s="274"/>
      <c r="E219" s="274"/>
      <c r="F219" s="274"/>
      <c r="G219" s="274"/>
      <c r="H219" s="274"/>
      <c r="I219" s="274"/>
      <c r="J219" s="274"/>
      <c r="K219" s="274"/>
      <c r="L219" s="274"/>
      <c r="M219" s="274"/>
      <c r="N219" s="274"/>
      <c r="O219" s="186"/>
      <c r="P219" s="274"/>
      <c r="Q219" s="274"/>
      <c r="R219" s="274"/>
      <c r="S219" s="186"/>
      <c r="V219" s="188"/>
    </row>
    <row r="220" spans="1:25" ht="14.25">
      <c r="A220" s="275">
        <v>1</v>
      </c>
      <c r="B220" s="288">
        <v>5.5467240560000004</v>
      </c>
      <c r="C220" s="288">
        <v>0.61067244799999998</v>
      </c>
      <c r="D220" s="288">
        <v>4.9353980000000002</v>
      </c>
      <c r="E220" s="288">
        <v>0.24014099999999999</v>
      </c>
      <c r="F220" s="288">
        <v>0</v>
      </c>
      <c r="G220" s="288">
        <v>0.93617899999999998</v>
      </c>
      <c r="H220" s="288">
        <v>12.580479</v>
      </c>
      <c r="I220" s="288">
        <v>1.9900000000000001E-4</v>
      </c>
      <c r="J220" s="288">
        <v>0</v>
      </c>
      <c r="K220" s="288">
        <v>0.43395099999999998</v>
      </c>
      <c r="L220" s="288">
        <v>1.3050109999999999</v>
      </c>
      <c r="M220" s="288">
        <v>7.0903999999999995E-2</v>
      </c>
      <c r="N220" s="288">
        <v>9.0361999999999998E-2</v>
      </c>
      <c r="O220" s="289">
        <v>26.750020503999998</v>
      </c>
      <c r="P220" s="288">
        <v>-0.59690200000000004</v>
      </c>
      <c r="Q220" s="288">
        <v>-0.101909</v>
      </c>
      <c r="R220" s="288">
        <v>-1.3126009999999999</v>
      </c>
      <c r="S220" s="289">
        <v>24.738608503999998</v>
      </c>
      <c r="V220" s="189">
        <f>IFERROR(H220/O220*100,"")</f>
        <v>47.02979198882786</v>
      </c>
    </row>
    <row r="221" spans="1:25" ht="14.25">
      <c r="A221" s="275">
        <v>2</v>
      </c>
      <c r="B221" s="288">
        <v>4.4501325400000002</v>
      </c>
      <c r="C221" s="288">
        <v>0.54272646000000002</v>
      </c>
      <c r="D221" s="288">
        <v>4.9350550000000002</v>
      </c>
      <c r="E221" s="288">
        <v>0.24019699999999999</v>
      </c>
      <c r="F221" s="288">
        <v>0</v>
      </c>
      <c r="G221" s="288">
        <v>0.82816800000000002</v>
      </c>
      <c r="H221" s="288">
        <v>12.827469000000001</v>
      </c>
      <c r="I221" s="288">
        <v>1.1400000000000001E-4</v>
      </c>
      <c r="J221" s="288">
        <v>0</v>
      </c>
      <c r="K221" s="288">
        <v>0.446052</v>
      </c>
      <c r="L221" s="288">
        <v>1.3061959999999999</v>
      </c>
      <c r="M221" s="288">
        <v>5.8776000000000002E-2</v>
      </c>
      <c r="N221" s="288">
        <v>7.7610999999999999E-2</v>
      </c>
      <c r="O221" s="289">
        <v>25.712496999999999</v>
      </c>
      <c r="P221" s="288">
        <v>-1.0541430000000001</v>
      </c>
      <c r="Q221" s="288">
        <v>-0.101866</v>
      </c>
      <c r="R221" s="288">
        <v>-1.341378</v>
      </c>
      <c r="S221" s="289">
        <v>23.215109999999999</v>
      </c>
      <c r="V221" s="189">
        <f t="shared" ref="V221:V243" si="35">IFERROR(H221/O221*100,"")</f>
        <v>49.888071936381756</v>
      </c>
    </row>
    <row r="222" spans="1:25" ht="14.25">
      <c r="A222" s="275">
        <v>3</v>
      </c>
      <c r="B222" s="288">
        <v>4.4342483000000001</v>
      </c>
      <c r="C222" s="288">
        <v>0.30227870000000001</v>
      </c>
      <c r="D222" s="288">
        <v>4.9365209999999999</v>
      </c>
      <c r="E222" s="288">
        <v>0.24023800000000001</v>
      </c>
      <c r="F222" s="288">
        <v>0</v>
      </c>
      <c r="G222" s="288">
        <v>0.73772800000000005</v>
      </c>
      <c r="H222" s="288">
        <v>12.653200999999999</v>
      </c>
      <c r="I222" s="288">
        <v>1.1400000000000001E-4</v>
      </c>
      <c r="J222" s="288">
        <v>0</v>
      </c>
      <c r="K222" s="288">
        <v>0.41868100000000003</v>
      </c>
      <c r="L222" s="288">
        <v>1.2914460000000001</v>
      </c>
      <c r="M222" s="288">
        <v>5.8573500000000001E-2</v>
      </c>
      <c r="N222" s="288">
        <v>7.9286499999999996E-2</v>
      </c>
      <c r="O222" s="289">
        <v>25.152315999999999</v>
      </c>
      <c r="P222" s="288">
        <v>-1.282732</v>
      </c>
      <c r="Q222" s="288">
        <v>-0.101866</v>
      </c>
      <c r="R222" s="288">
        <v>-1.6921090000000001</v>
      </c>
      <c r="S222" s="289">
        <v>22.075609</v>
      </c>
      <c r="V222" s="189">
        <f t="shared" si="35"/>
        <v>50.306305789097117</v>
      </c>
    </row>
    <row r="223" spans="1:25" ht="14.25">
      <c r="A223" s="275">
        <v>4</v>
      </c>
      <c r="B223" s="288">
        <v>4.5423733520000003</v>
      </c>
      <c r="C223" s="288">
        <v>0.31246264800000001</v>
      </c>
      <c r="D223" s="288">
        <v>4.9525290000000002</v>
      </c>
      <c r="E223" s="288">
        <v>0.24009800000000001</v>
      </c>
      <c r="F223" s="288">
        <v>0</v>
      </c>
      <c r="G223" s="288">
        <v>0.74391700000000005</v>
      </c>
      <c r="H223" s="288">
        <v>13.166467000000001</v>
      </c>
      <c r="I223" s="288">
        <v>1.21E-4</v>
      </c>
      <c r="J223" s="288">
        <v>0</v>
      </c>
      <c r="K223" s="288">
        <v>0.42211799999999999</v>
      </c>
      <c r="L223" s="288">
        <v>1.260731</v>
      </c>
      <c r="M223" s="288">
        <v>6.2699000000000005E-2</v>
      </c>
      <c r="N223" s="288">
        <v>8.0145999999999995E-2</v>
      </c>
      <c r="O223" s="289">
        <v>25.783662</v>
      </c>
      <c r="P223" s="288">
        <v>-1.566934</v>
      </c>
      <c r="Q223" s="288">
        <v>-0.101822</v>
      </c>
      <c r="R223" s="288">
        <v>-2.5315599999999998</v>
      </c>
      <c r="S223" s="289">
        <v>21.583345999999999</v>
      </c>
      <c r="V223" s="189">
        <f t="shared" si="35"/>
        <v>51.065155135837571</v>
      </c>
    </row>
    <row r="224" spans="1:25" ht="14.25">
      <c r="A224" s="275">
        <v>5</v>
      </c>
      <c r="B224" s="288">
        <v>4.4634652240000001</v>
      </c>
      <c r="C224" s="288">
        <v>0.355289776</v>
      </c>
      <c r="D224" s="288">
        <v>4.9815500000000004</v>
      </c>
      <c r="E224" s="288">
        <v>0.239507</v>
      </c>
      <c r="F224" s="288">
        <v>0</v>
      </c>
      <c r="G224" s="288">
        <v>0.814612</v>
      </c>
      <c r="H224" s="288">
        <v>12.751847</v>
      </c>
      <c r="I224" s="288">
        <v>1.8200000000000001E-4</v>
      </c>
      <c r="J224" s="288">
        <v>0</v>
      </c>
      <c r="K224" s="288">
        <v>0.45008100000000001</v>
      </c>
      <c r="L224" s="288">
        <v>1.2581119999999999</v>
      </c>
      <c r="M224" s="288">
        <v>6.5865999999999994E-2</v>
      </c>
      <c r="N224" s="288">
        <v>8.4703000000000001E-2</v>
      </c>
      <c r="O224" s="289">
        <v>25.465215000000001</v>
      </c>
      <c r="P224" s="288">
        <v>-1.5642180000000001</v>
      </c>
      <c r="Q224" s="288">
        <v>-0.101822</v>
      </c>
      <c r="R224" s="288">
        <v>-2.2927550000000001</v>
      </c>
      <c r="S224" s="289">
        <v>21.506419999999999</v>
      </c>
      <c r="V224" s="189">
        <f t="shared" si="35"/>
        <v>50.075552081535534</v>
      </c>
    </row>
    <row r="225" spans="1:22" ht="14.25">
      <c r="A225" s="275">
        <v>6</v>
      </c>
      <c r="B225" s="288">
        <v>4.5010858359999997</v>
      </c>
      <c r="C225" s="288">
        <v>0.43285016399999998</v>
      </c>
      <c r="D225" s="288">
        <v>5.0114080000000003</v>
      </c>
      <c r="E225" s="288">
        <v>0.239622</v>
      </c>
      <c r="F225" s="288">
        <v>0</v>
      </c>
      <c r="G225" s="288">
        <v>0.92113100000000003</v>
      </c>
      <c r="H225" s="288">
        <v>13.159929</v>
      </c>
      <c r="I225" s="288">
        <v>3.5100000000000002E-4</v>
      </c>
      <c r="J225" s="288">
        <v>0</v>
      </c>
      <c r="K225" s="288">
        <v>0.46567799999999998</v>
      </c>
      <c r="L225" s="288">
        <v>1.2588410000000001</v>
      </c>
      <c r="M225" s="288">
        <v>6.8218000000000001E-2</v>
      </c>
      <c r="N225" s="288">
        <v>9.0343999999999994E-2</v>
      </c>
      <c r="O225" s="289">
        <v>26.149457999999999</v>
      </c>
      <c r="P225" s="288">
        <v>-1.640973</v>
      </c>
      <c r="Q225" s="288">
        <v>-0.101866</v>
      </c>
      <c r="R225" s="288">
        <v>-2.2416309999999999</v>
      </c>
      <c r="S225" s="289">
        <v>22.164988000000001</v>
      </c>
      <c r="V225" s="189">
        <f t="shared" si="35"/>
        <v>50.325819372623329</v>
      </c>
    </row>
    <row r="226" spans="1:22" ht="14.25">
      <c r="A226" s="275">
        <v>7</v>
      </c>
      <c r="B226" s="288">
        <v>4.726003736</v>
      </c>
      <c r="C226" s="288">
        <v>0.41115726400000002</v>
      </c>
      <c r="D226" s="288">
        <v>5.0400859999999996</v>
      </c>
      <c r="E226" s="288">
        <v>0.238819</v>
      </c>
      <c r="F226" s="288">
        <v>0</v>
      </c>
      <c r="G226" s="288">
        <v>0.97954200000000002</v>
      </c>
      <c r="H226" s="288">
        <v>13.352149000000001</v>
      </c>
      <c r="I226" s="288">
        <v>1.8E-3</v>
      </c>
      <c r="J226" s="288">
        <v>0</v>
      </c>
      <c r="K226" s="288">
        <v>0.46830500000000003</v>
      </c>
      <c r="L226" s="288">
        <v>1.2205520000000001</v>
      </c>
      <c r="M226" s="288">
        <v>6.6455E-2</v>
      </c>
      <c r="N226" s="288">
        <v>8.8378999999999999E-2</v>
      </c>
      <c r="O226" s="289">
        <v>26.593247999999999</v>
      </c>
      <c r="P226" s="288">
        <v>-1.5825119999999999</v>
      </c>
      <c r="Q226" s="288">
        <v>-0.10294499999999999</v>
      </c>
      <c r="R226" s="288">
        <v>-0.454598</v>
      </c>
      <c r="S226" s="289">
        <v>24.453192999999999</v>
      </c>
      <c r="V226" s="189">
        <f t="shared" si="35"/>
        <v>50.208793600541014</v>
      </c>
    </row>
    <row r="227" spans="1:22" ht="14.25">
      <c r="A227" s="275">
        <v>8</v>
      </c>
      <c r="B227" s="288">
        <v>5.4931703799999996</v>
      </c>
      <c r="C227" s="288">
        <v>0.24808612399999999</v>
      </c>
      <c r="D227" s="288">
        <v>5.0697489999999998</v>
      </c>
      <c r="E227" s="288">
        <v>0.238173</v>
      </c>
      <c r="F227" s="288">
        <v>0</v>
      </c>
      <c r="G227" s="288">
        <v>1.0119039999999999</v>
      </c>
      <c r="H227" s="288">
        <v>14.114951</v>
      </c>
      <c r="I227" s="288">
        <v>0.47376499999999999</v>
      </c>
      <c r="J227" s="288">
        <v>9.9999999999999995E-7</v>
      </c>
      <c r="K227" s="288">
        <v>0.41875499999999999</v>
      </c>
      <c r="L227" s="288">
        <v>1.204016</v>
      </c>
      <c r="M227" s="288">
        <v>6.6584000000000004E-2</v>
      </c>
      <c r="N227" s="288">
        <v>9.3811000000000005E-2</v>
      </c>
      <c r="O227" s="289">
        <v>28.432965503999998</v>
      </c>
      <c r="P227" s="288">
        <v>-1.47289</v>
      </c>
      <c r="Q227" s="288">
        <v>-0.174096</v>
      </c>
      <c r="R227" s="288">
        <v>-7.8048999999999993E-2</v>
      </c>
      <c r="S227" s="289">
        <v>26.707930504</v>
      </c>
      <c r="V227" s="189">
        <f t="shared" si="35"/>
        <v>49.642908327709549</v>
      </c>
    </row>
    <row r="228" spans="1:22" ht="14.25">
      <c r="A228" s="275">
        <v>9</v>
      </c>
      <c r="B228" s="288">
        <v>5.5745046479999996</v>
      </c>
      <c r="C228" s="288">
        <v>0.25334435199999999</v>
      </c>
      <c r="D228" s="288">
        <v>5.1000019999999999</v>
      </c>
      <c r="E228" s="288">
        <v>0.29546800000000001</v>
      </c>
      <c r="F228" s="288">
        <v>0</v>
      </c>
      <c r="G228" s="288">
        <v>1.02298</v>
      </c>
      <c r="H228" s="288">
        <v>13.732118</v>
      </c>
      <c r="I228" s="288">
        <v>2.3724690000000002</v>
      </c>
      <c r="J228" s="288">
        <v>3.9999999999999998E-6</v>
      </c>
      <c r="K228" s="288">
        <v>0.41927900000000001</v>
      </c>
      <c r="L228" s="288">
        <v>1.213455</v>
      </c>
      <c r="M228" s="288">
        <v>6.7797999999999997E-2</v>
      </c>
      <c r="N228" s="288">
        <v>9.0483999999999995E-2</v>
      </c>
      <c r="O228" s="289">
        <v>30.141905999999999</v>
      </c>
      <c r="P228" s="288">
        <v>-1.4220090000000001</v>
      </c>
      <c r="Q228" s="288">
        <v>-0.151978</v>
      </c>
      <c r="R228" s="288">
        <v>-0.43421700000000002</v>
      </c>
      <c r="S228" s="289">
        <v>28.133702</v>
      </c>
      <c r="V228" s="189">
        <f t="shared" si="35"/>
        <v>45.558227140645982</v>
      </c>
    </row>
    <row r="229" spans="1:22" ht="14.25">
      <c r="A229" s="275">
        <v>10</v>
      </c>
      <c r="B229" s="288">
        <v>4.7989673079999999</v>
      </c>
      <c r="C229" s="288">
        <v>0.30729869199999998</v>
      </c>
      <c r="D229" s="288">
        <v>5.1307280000000004</v>
      </c>
      <c r="E229" s="288">
        <v>0.34523900000000002</v>
      </c>
      <c r="F229" s="288">
        <v>0</v>
      </c>
      <c r="G229" s="288">
        <v>1.365666</v>
      </c>
      <c r="H229" s="288">
        <v>13.787682</v>
      </c>
      <c r="I229" s="288">
        <v>4.6519919999999999</v>
      </c>
      <c r="J229" s="288">
        <v>2.8660000000000001E-3</v>
      </c>
      <c r="K229" s="288">
        <v>0.45337899999999998</v>
      </c>
      <c r="L229" s="288">
        <v>1.209403</v>
      </c>
      <c r="M229" s="288">
        <v>6.8709999999999993E-2</v>
      </c>
      <c r="N229" s="288">
        <v>8.2100999999999993E-2</v>
      </c>
      <c r="O229" s="289">
        <v>32.204031999999998</v>
      </c>
      <c r="P229" s="288">
        <v>-1.505417</v>
      </c>
      <c r="Q229" s="288">
        <v>-0.102341</v>
      </c>
      <c r="R229" s="288">
        <v>-1.701667</v>
      </c>
      <c r="S229" s="289">
        <v>28.894607000000001</v>
      </c>
      <c r="V229" s="189">
        <f t="shared" si="35"/>
        <v>42.813527200569176</v>
      </c>
    </row>
    <row r="230" spans="1:22" ht="14.25">
      <c r="A230" s="275">
        <v>11</v>
      </c>
      <c r="B230" s="288">
        <v>4.3664265159999998</v>
      </c>
      <c r="C230" s="288">
        <v>0.32707348400000003</v>
      </c>
      <c r="D230" s="288">
        <v>5.1616010000000001</v>
      </c>
      <c r="E230" s="288">
        <v>0.39485199999999998</v>
      </c>
      <c r="F230" s="288">
        <v>0</v>
      </c>
      <c r="G230" s="288">
        <v>1.1636280000000001</v>
      </c>
      <c r="H230" s="288">
        <v>13.468631</v>
      </c>
      <c r="I230" s="288">
        <v>6.9610339999999997</v>
      </c>
      <c r="J230" s="288">
        <v>5.2199000000000002E-2</v>
      </c>
      <c r="K230" s="288">
        <v>0.425402</v>
      </c>
      <c r="L230" s="288">
        <v>1.195516</v>
      </c>
      <c r="M230" s="288">
        <v>6.7078499999999999E-2</v>
      </c>
      <c r="N230" s="288">
        <v>8.0919500000000005E-2</v>
      </c>
      <c r="O230" s="289">
        <v>33.664361</v>
      </c>
      <c r="P230" s="288">
        <v>-1.6681630000000001</v>
      </c>
      <c r="Q230" s="288">
        <v>-8.2684999999999995E-2</v>
      </c>
      <c r="R230" s="288">
        <v>-3.0586159999999998</v>
      </c>
      <c r="S230" s="289">
        <v>28.854897000000001</v>
      </c>
      <c r="V230" s="189">
        <f t="shared" si="35"/>
        <v>40.00857464664189</v>
      </c>
    </row>
    <row r="231" spans="1:22" ht="14.25">
      <c r="A231" s="275">
        <v>12</v>
      </c>
      <c r="B231" s="288">
        <v>4.0057935240000004</v>
      </c>
      <c r="C231" s="288">
        <v>0.32761347600000001</v>
      </c>
      <c r="D231" s="288">
        <v>5.1901650000000004</v>
      </c>
      <c r="E231" s="288">
        <v>0.44553599999999999</v>
      </c>
      <c r="F231" s="288">
        <v>0</v>
      </c>
      <c r="G231" s="288">
        <v>1.224583</v>
      </c>
      <c r="H231" s="288">
        <v>13.271770999999999</v>
      </c>
      <c r="I231" s="288">
        <v>8.5760140000000007</v>
      </c>
      <c r="J231" s="288">
        <v>7.6434000000000002E-2</v>
      </c>
      <c r="K231" s="288">
        <v>0.431064</v>
      </c>
      <c r="L231" s="288">
        <v>1.1973240000000001</v>
      </c>
      <c r="M231" s="288">
        <v>6.8826999999999999E-2</v>
      </c>
      <c r="N231" s="288">
        <v>8.1854999999999997E-2</v>
      </c>
      <c r="O231" s="289">
        <v>34.896979999999999</v>
      </c>
      <c r="P231" s="288">
        <v>-1.898471</v>
      </c>
      <c r="Q231" s="288">
        <v>-8.1906999999999994E-2</v>
      </c>
      <c r="R231" s="288">
        <v>-4.0650789999999999</v>
      </c>
      <c r="S231" s="289">
        <v>28.851523</v>
      </c>
      <c r="V231" s="189">
        <f t="shared" si="35"/>
        <v>38.031288094270622</v>
      </c>
    </row>
    <row r="232" spans="1:22" ht="14.25">
      <c r="A232" s="275">
        <v>13</v>
      </c>
      <c r="B232" s="288">
        <v>3.8604074119999998</v>
      </c>
      <c r="C232" s="288">
        <v>0.34482058799999998</v>
      </c>
      <c r="D232" s="288">
        <v>5.2201110000000002</v>
      </c>
      <c r="E232" s="288">
        <v>0.49513099999999999</v>
      </c>
      <c r="F232" s="288">
        <v>0</v>
      </c>
      <c r="G232" s="288">
        <v>1.225473</v>
      </c>
      <c r="H232" s="288">
        <v>13.082834</v>
      </c>
      <c r="I232" s="288">
        <v>9.0602649999999993</v>
      </c>
      <c r="J232" s="288">
        <v>6.1298999999999999E-2</v>
      </c>
      <c r="K232" s="288">
        <v>0.42755500000000002</v>
      </c>
      <c r="L232" s="288">
        <v>1.1917059999999999</v>
      </c>
      <c r="M232" s="288">
        <v>6.6572999999999993E-2</v>
      </c>
      <c r="N232" s="288">
        <v>7.9460000000000003E-2</v>
      </c>
      <c r="O232" s="289">
        <v>35.115634999999997</v>
      </c>
      <c r="P232" s="288">
        <v>-2.1223830000000001</v>
      </c>
      <c r="Q232" s="288">
        <v>-8.1864000000000006E-2</v>
      </c>
      <c r="R232" s="288">
        <v>-4.1754610000000003</v>
      </c>
      <c r="S232" s="289">
        <v>28.735927</v>
      </c>
      <c r="V232" s="189">
        <f t="shared" si="35"/>
        <v>37.25643577284022</v>
      </c>
    </row>
    <row r="233" spans="1:22" ht="14.25">
      <c r="A233" s="275">
        <v>14</v>
      </c>
      <c r="B233" s="288">
        <v>3.8787913120000002</v>
      </c>
      <c r="C233" s="288">
        <v>0.37868268799999999</v>
      </c>
      <c r="D233" s="288">
        <v>5.2470800000000004</v>
      </c>
      <c r="E233" s="288">
        <v>0.44640299999999999</v>
      </c>
      <c r="F233" s="288">
        <v>0</v>
      </c>
      <c r="G233" s="288">
        <v>1.2497780000000001</v>
      </c>
      <c r="H233" s="288">
        <v>12.523959</v>
      </c>
      <c r="I233" s="288">
        <v>9.6663209999999999</v>
      </c>
      <c r="J233" s="288">
        <v>3.5963000000000002E-2</v>
      </c>
      <c r="K233" s="288">
        <v>0.44064999999999999</v>
      </c>
      <c r="L233" s="288">
        <v>1.1929190000000001</v>
      </c>
      <c r="M233" s="288">
        <v>5.7945999999999998E-2</v>
      </c>
      <c r="N233" s="288">
        <v>6.8124000000000004E-2</v>
      </c>
      <c r="O233" s="289">
        <v>35.186616999999998</v>
      </c>
      <c r="P233" s="288">
        <v>-2.1860300000000001</v>
      </c>
      <c r="Q233" s="288">
        <v>-8.1906999999999994E-2</v>
      </c>
      <c r="R233" s="288">
        <v>-4.0658219999999998</v>
      </c>
      <c r="S233" s="289">
        <v>28.852858000000001</v>
      </c>
      <c r="V233" s="189">
        <f t="shared" si="35"/>
        <v>35.592961380743141</v>
      </c>
    </row>
    <row r="234" spans="1:22" ht="14.25">
      <c r="A234" s="275">
        <v>15</v>
      </c>
      <c r="B234" s="288">
        <v>3.9454351399999998</v>
      </c>
      <c r="C234" s="288">
        <v>0.42128485999999998</v>
      </c>
      <c r="D234" s="288">
        <v>5.2558579999999999</v>
      </c>
      <c r="E234" s="288">
        <v>0.39872099999999999</v>
      </c>
      <c r="F234" s="288">
        <v>0</v>
      </c>
      <c r="G234" s="288">
        <v>1.3684499999999999</v>
      </c>
      <c r="H234" s="288">
        <v>12.619795</v>
      </c>
      <c r="I234" s="288">
        <v>9.3616209999999995</v>
      </c>
      <c r="J234" s="288">
        <v>5.9579E-2</v>
      </c>
      <c r="K234" s="288">
        <v>0.46284700000000001</v>
      </c>
      <c r="L234" s="288">
        <v>1.1902170000000001</v>
      </c>
      <c r="M234" s="288">
        <v>6.0362499999999999E-2</v>
      </c>
      <c r="N234" s="288">
        <v>6.6851499999999994E-2</v>
      </c>
      <c r="O234" s="289">
        <v>35.211022</v>
      </c>
      <c r="P234" s="288">
        <v>-2.2269369999999999</v>
      </c>
      <c r="Q234" s="288">
        <v>-8.1993999999999997E-2</v>
      </c>
      <c r="R234" s="288">
        <v>-4.3747220000000002</v>
      </c>
      <c r="S234" s="289">
        <v>28.527369</v>
      </c>
      <c r="V234" s="189">
        <f t="shared" si="35"/>
        <v>35.840467794430957</v>
      </c>
    </row>
    <row r="235" spans="1:22" ht="14.25">
      <c r="A235" s="275">
        <v>16</v>
      </c>
      <c r="B235" s="288">
        <v>4.1456217960000004</v>
      </c>
      <c r="C235" s="288">
        <v>0.42157920399999999</v>
      </c>
      <c r="D235" s="288">
        <v>5.2574019999999999</v>
      </c>
      <c r="E235" s="288">
        <v>0.34884599999999999</v>
      </c>
      <c r="F235" s="288">
        <v>0</v>
      </c>
      <c r="G235" s="288">
        <v>1.39784</v>
      </c>
      <c r="H235" s="288">
        <v>11.668472</v>
      </c>
      <c r="I235" s="288">
        <v>8.3404950000000007</v>
      </c>
      <c r="J235" s="288">
        <v>5.2169E-2</v>
      </c>
      <c r="K235" s="288">
        <v>0.47269499999999998</v>
      </c>
      <c r="L235" s="288">
        <v>1.208472</v>
      </c>
      <c r="M235" s="288">
        <v>5.9966999999999999E-2</v>
      </c>
      <c r="N235" s="288">
        <v>6.4734E-2</v>
      </c>
      <c r="O235" s="289">
        <v>33.438293000000002</v>
      </c>
      <c r="P235" s="288">
        <v>-2.2031290000000001</v>
      </c>
      <c r="Q235" s="288">
        <v>-8.2381999999999997E-2</v>
      </c>
      <c r="R235" s="288">
        <v>-3.128425</v>
      </c>
      <c r="S235" s="289">
        <v>28.024356999999998</v>
      </c>
      <c r="V235" s="189">
        <f t="shared" si="35"/>
        <v>34.895537281164444</v>
      </c>
    </row>
    <row r="236" spans="1:22" ht="14.25">
      <c r="A236" s="275">
        <v>17</v>
      </c>
      <c r="B236" s="288">
        <v>4.8242196640000001</v>
      </c>
      <c r="C236" s="288">
        <v>0.35008333600000002</v>
      </c>
      <c r="D236" s="288">
        <v>5.2631810000000003</v>
      </c>
      <c r="E236" s="288">
        <v>0.296763</v>
      </c>
      <c r="F236" s="288">
        <v>0</v>
      </c>
      <c r="G236" s="288">
        <v>1.274629</v>
      </c>
      <c r="H236" s="288">
        <v>13.126771</v>
      </c>
      <c r="I236" s="288">
        <v>5.9670550000000002</v>
      </c>
      <c r="J236" s="288">
        <v>5.7949000000000001E-2</v>
      </c>
      <c r="K236" s="288">
        <v>0.46453100000000003</v>
      </c>
      <c r="L236" s="288">
        <v>1.2205889999999999</v>
      </c>
      <c r="M236" s="288">
        <v>6.2741000000000005E-2</v>
      </c>
      <c r="N236" s="288">
        <v>6.6721000000000003E-2</v>
      </c>
      <c r="O236" s="289">
        <v>32.975233000000003</v>
      </c>
      <c r="P236" s="288">
        <v>-1.810155</v>
      </c>
      <c r="Q236" s="288">
        <v>-0.1026</v>
      </c>
      <c r="R236" s="288">
        <v>-3.3384740000000002</v>
      </c>
      <c r="S236" s="289">
        <v>27.724004000000001</v>
      </c>
      <c r="V236" s="189">
        <f t="shared" si="35"/>
        <v>39.807970424348476</v>
      </c>
    </row>
    <row r="237" spans="1:22" ht="14.25">
      <c r="A237" s="275">
        <v>18</v>
      </c>
      <c r="B237" s="288">
        <v>4.5285814159999997</v>
      </c>
      <c r="C237" s="288">
        <v>0.42637508800000001</v>
      </c>
      <c r="D237" s="288">
        <v>5.2747510000000002</v>
      </c>
      <c r="E237" s="288">
        <v>0.24002599999999999</v>
      </c>
      <c r="F237" s="288">
        <v>0</v>
      </c>
      <c r="G237" s="288">
        <v>1.1038600000000001</v>
      </c>
      <c r="H237" s="288">
        <v>15.238441999999999</v>
      </c>
      <c r="I237" s="288">
        <v>3.5941010000000002</v>
      </c>
      <c r="J237" s="288">
        <v>7.9730999999999996E-2</v>
      </c>
      <c r="K237" s="288">
        <v>0.42035299999999998</v>
      </c>
      <c r="L237" s="288">
        <v>1.2170289999999999</v>
      </c>
      <c r="M237" s="288">
        <v>6.5684500000000007E-2</v>
      </c>
      <c r="N237" s="288">
        <v>7.3882500000000004E-2</v>
      </c>
      <c r="O237" s="289">
        <v>32.262816504</v>
      </c>
      <c r="P237" s="288">
        <v>-1.2717449999999999</v>
      </c>
      <c r="Q237" s="288">
        <v>-0.175954</v>
      </c>
      <c r="R237" s="288">
        <v>-2.815896</v>
      </c>
      <c r="S237" s="289">
        <v>27.999221504000001</v>
      </c>
      <c r="V237" s="189">
        <f t="shared" si="35"/>
        <v>47.23221234609418</v>
      </c>
    </row>
    <row r="238" spans="1:22" ht="14.25">
      <c r="A238" s="275">
        <v>19</v>
      </c>
      <c r="B238" s="288">
        <v>5.188366512</v>
      </c>
      <c r="C238" s="288">
        <v>0.63475448800000001</v>
      </c>
      <c r="D238" s="288">
        <v>5.2762029999999998</v>
      </c>
      <c r="E238" s="288">
        <v>0.23963699999999999</v>
      </c>
      <c r="F238" s="288">
        <v>0</v>
      </c>
      <c r="G238" s="288">
        <v>1.200609</v>
      </c>
      <c r="H238" s="288">
        <v>15.209358</v>
      </c>
      <c r="I238" s="288">
        <v>1.4637910000000001</v>
      </c>
      <c r="J238" s="288">
        <v>5.4552999999999997E-2</v>
      </c>
      <c r="K238" s="288">
        <v>0.44023499999999999</v>
      </c>
      <c r="L238" s="288">
        <v>1.2533639999999999</v>
      </c>
      <c r="M238" s="288">
        <v>6.6993499999999997E-2</v>
      </c>
      <c r="N238" s="288">
        <v>8.3864499999999995E-2</v>
      </c>
      <c r="O238" s="289">
        <v>31.111729</v>
      </c>
      <c r="P238" s="288">
        <v>-1.1374519999999999</v>
      </c>
      <c r="Q238" s="288">
        <v>-0.26135900000000001</v>
      </c>
      <c r="R238" s="288">
        <v>-0.85964799999999997</v>
      </c>
      <c r="S238" s="289">
        <v>28.853269999999998</v>
      </c>
      <c r="V238" s="189">
        <f t="shared" si="35"/>
        <v>48.886251226989025</v>
      </c>
    </row>
    <row r="239" spans="1:22" ht="14.25">
      <c r="A239" s="275">
        <v>20</v>
      </c>
      <c r="B239" s="288">
        <v>5.9194698800000003</v>
      </c>
      <c r="C239" s="288">
        <v>1.03747612</v>
      </c>
      <c r="D239" s="288">
        <v>5.2756920000000003</v>
      </c>
      <c r="E239" s="288">
        <v>0.24007400000000001</v>
      </c>
      <c r="F239" s="288">
        <v>0</v>
      </c>
      <c r="G239" s="288">
        <v>1.61612</v>
      </c>
      <c r="H239" s="288">
        <v>15.116255000000001</v>
      </c>
      <c r="I239" s="288">
        <v>9.3951999999999994E-2</v>
      </c>
      <c r="J239" s="288">
        <v>4.3836E-2</v>
      </c>
      <c r="K239" s="288">
        <v>0.46879300000000002</v>
      </c>
      <c r="L239" s="288">
        <v>1.2495639999999999</v>
      </c>
      <c r="M239" s="288">
        <v>6.7768999999999996E-2</v>
      </c>
      <c r="N239" s="288">
        <v>8.4605E-2</v>
      </c>
      <c r="O239" s="289">
        <v>31.213605999999999</v>
      </c>
      <c r="P239" s="288">
        <v>-0.93785499999999999</v>
      </c>
      <c r="Q239" s="288">
        <v>-0.286719</v>
      </c>
      <c r="R239" s="288">
        <v>0.235738</v>
      </c>
      <c r="S239" s="289">
        <v>30.224769999999999</v>
      </c>
      <c r="V239" s="189">
        <f t="shared" si="35"/>
        <v>48.428416120841668</v>
      </c>
    </row>
    <row r="240" spans="1:22" ht="14.25">
      <c r="A240" s="275">
        <v>21</v>
      </c>
      <c r="B240" s="288">
        <v>6.5392994800000004</v>
      </c>
      <c r="C240" s="288">
        <v>0.99869852000000003</v>
      </c>
      <c r="D240" s="288">
        <v>5.2751659999999996</v>
      </c>
      <c r="E240" s="288">
        <v>0.239039</v>
      </c>
      <c r="F240" s="288">
        <v>0</v>
      </c>
      <c r="G240" s="288">
        <v>1.743512</v>
      </c>
      <c r="H240" s="288">
        <v>16.646811</v>
      </c>
      <c r="I240" s="288">
        <v>5.0390000000000001E-3</v>
      </c>
      <c r="J240" s="288">
        <v>2.8656000000000001E-2</v>
      </c>
      <c r="K240" s="288">
        <v>0.44878000000000001</v>
      </c>
      <c r="L240" s="288">
        <v>1.238461</v>
      </c>
      <c r="M240" s="288">
        <v>6.4810499999999993E-2</v>
      </c>
      <c r="N240" s="288">
        <v>8.2225500000000007E-2</v>
      </c>
      <c r="O240" s="289">
        <v>33.310498000000003</v>
      </c>
      <c r="P240" s="288">
        <v>-0.91644899999999996</v>
      </c>
      <c r="Q240" s="288">
        <v>-0.28667599999999999</v>
      </c>
      <c r="R240" s="288">
        <v>-0.77561500000000005</v>
      </c>
      <c r="S240" s="289">
        <v>31.331758000000001</v>
      </c>
      <c r="V240" s="189">
        <f t="shared" si="35"/>
        <v>49.97466864650297</v>
      </c>
    </row>
    <row r="241" spans="1:22" ht="14.25">
      <c r="A241" s="275">
        <v>22</v>
      </c>
      <c r="B241" s="288">
        <v>6.367051032</v>
      </c>
      <c r="C241" s="288">
        <v>1.0512249680000001</v>
      </c>
      <c r="D241" s="288">
        <v>5.2759590000000003</v>
      </c>
      <c r="E241" s="288">
        <v>0.23824500000000001</v>
      </c>
      <c r="F241" s="288">
        <v>0</v>
      </c>
      <c r="G241" s="288">
        <v>1.7999890000000001</v>
      </c>
      <c r="H241" s="288">
        <v>15.871434000000001</v>
      </c>
      <c r="I241" s="288">
        <v>4.9439999999999996E-3</v>
      </c>
      <c r="J241" s="288">
        <v>2.6013999999999999E-2</v>
      </c>
      <c r="K241" s="288">
        <v>0.45671499999999998</v>
      </c>
      <c r="L241" s="288">
        <v>1.244537</v>
      </c>
      <c r="M241" s="288">
        <v>6.6134499999999999E-2</v>
      </c>
      <c r="N241" s="288">
        <v>8.4959499999999993E-2</v>
      </c>
      <c r="O241" s="289">
        <v>32.487206999999998</v>
      </c>
      <c r="P241" s="288">
        <v>-0.91792099999999999</v>
      </c>
      <c r="Q241" s="288">
        <v>-0.26624100000000001</v>
      </c>
      <c r="R241" s="288">
        <v>-0.69664599999999999</v>
      </c>
      <c r="S241" s="289">
        <v>30.606399</v>
      </c>
      <c r="V241" s="189">
        <f t="shared" si="35"/>
        <v>48.854412138291856</v>
      </c>
    </row>
    <row r="242" spans="1:22" ht="14.25">
      <c r="A242" s="275">
        <v>23</v>
      </c>
      <c r="B242" s="288">
        <v>5.2203660599999999</v>
      </c>
      <c r="C242" s="288">
        <v>0.92560794000000002</v>
      </c>
      <c r="D242" s="288">
        <v>5.2751700000000001</v>
      </c>
      <c r="E242" s="288">
        <v>0.24004600000000001</v>
      </c>
      <c r="F242" s="288">
        <v>0</v>
      </c>
      <c r="G242" s="288">
        <v>1.459406</v>
      </c>
      <c r="H242" s="288">
        <v>15.474410000000001</v>
      </c>
      <c r="I242" s="288">
        <v>4.6779999999999999E-3</v>
      </c>
      <c r="J242" s="288">
        <v>1.1402000000000001E-2</v>
      </c>
      <c r="K242" s="288">
        <v>0.45929799999999998</v>
      </c>
      <c r="L242" s="288">
        <v>1.233781</v>
      </c>
      <c r="M242" s="288">
        <v>6.7643999999999996E-2</v>
      </c>
      <c r="N242" s="288">
        <v>8.5072999999999996E-2</v>
      </c>
      <c r="O242" s="289">
        <v>30.456882</v>
      </c>
      <c r="P242" s="288">
        <v>-1.0016290000000001</v>
      </c>
      <c r="Q242" s="288">
        <v>-0.23241600000000001</v>
      </c>
      <c r="R242" s="288">
        <v>-1.2620929999999999</v>
      </c>
      <c r="S242" s="289">
        <v>27.960743999999998</v>
      </c>
      <c r="V242" s="189">
        <f t="shared" si="35"/>
        <v>50.807597442180722</v>
      </c>
    </row>
    <row r="243" spans="1:22" ht="14.25">
      <c r="A243" s="275">
        <v>24</v>
      </c>
      <c r="B243" s="288">
        <v>4.7447505840000002</v>
      </c>
      <c r="C243" s="288">
        <v>0.69526341599999997</v>
      </c>
      <c r="D243" s="288">
        <v>5.2734870000000003</v>
      </c>
      <c r="E243" s="288">
        <v>0.24007000000000001</v>
      </c>
      <c r="F243" s="288">
        <v>0</v>
      </c>
      <c r="G243" s="288">
        <v>1.4895119999999999</v>
      </c>
      <c r="H243" s="288">
        <v>15.129673</v>
      </c>
      <c r="I243" s="288">
        <v>3.8200000000000002E-4</v>
      </c>
      <c r="J243" s="288">
        <v>0</v>
      </c>
      <c r="K243" s="288">
        <v>0.45395099999999999</v>
      </c>
      <c r="L243" s="288">
        <v>1.2138329999999999</v>
      </c>
      <c r="M243" s="288">
        <v>6.7503999999999995E-2</v>
      </c>
      <c r="N243" s="288">
        <v>8.4508E-2</v>
      </c>
      <c r="O243" s="289">
        <v>29.392934</v>
      </c>
      <c r="P243" s="288">
        <v>-1.070265</v>
      </c>
      <c r="Q243" s="288">
        <v>-0.1782</v>
      </c>
      <c r="R243" s="288">
        <v>-2.7958419999999999</v>
      </c>
      <c r="S243" s="289">
        <v>25.348627</v>
      </c>
      <c r="V243" s="189">
        <f t="shared" si="35"/>
        <v>51.473844019790604</v>
      </c>
    </row>
    <row r="244" spans="1:22" ht="14.25">
      <c r="V244" s="189" t="str">
        <f t="shared" ref="V244:V246" si="36">IFERROR(G244/N244*100,"")</f>
        <v/>
      </c>
    </row>
    <row r="245" spans="1:22" ht="14.25">
      <c r="V245" s="189" t="str">
        <f t="shared" si="36"/>
        <v/>
      </c>
    </row>
    <row r="246" spans="1:22" ht="14.25">
      <c r="V246" s="189" t="str">
        <f t="shared" si="36"/>
        <v/>
      </c>
    </row>
    <row r="248" spans="1:22">
      <c r="A248" s="241"/>
      <c r="B248" s="241" t="s">
        <v>30</v>
      </c>
      <c r="C248" s="242" t="s">
        <v>210</v>
      </c>
      <c r="D248" s="242" t="s">
        <v>213</v>
      </c>
      <c r="E248" s="242" t="s">
        <v>221</v>
      </c>
      <c r="F248" s="242" t="s">
        <v>223</v>
      </c>
      <c r="G248" s="242" t="s">
        <v>224</v>
      </c>
      <c r="H248" s="242" t="s">
        <v>225</v>
      </c>
      <c r="I248" s="242" t="s">
        <v>227</v>
      </c>
      <c r="J248" s="242" t="s">
        <v>228</v>
      </c>
      <c r="K248" s="242" t="s">
        <v>229</v>
      </c>
      <c r="L248" s="242" t="s">
        <v>231</v>
      </c>
      <c r="M248" s="242" t="s">
        <v>233</v>
      </c>
      <c r="N248" s="242" t="s">
        <v>234</v>
      </c>
      <c r="O248" s="242" t="s">
        <v>235</v>
      </c>
    </row>
    <row r="249" spans="1:22">
      <c r="A249" s="241"/>
      <c r="B249" s="241" t="s">
        <v>106</v>
      </c>
      <c r="C249" s="242" t="s">
        <v>174</v>
      </c>
      <c r="D249" s="242" t="s">
        <v>174</v>
      </c>
      <c r="E249" s="242" t="s">
        <v>174</v>
      </c>
      <c r="F249" s="242" t="s">
        <v>174</v>
      </c>
      <c r="G249" s="242" t="s">
        <v>174</v>
      </c>
      <c r="H249" s="242" t="s">
        <v>174</v>
      </c>
      <c r="I249" s="242" t="s">
        <v>174</v>
      </c>
      <c r="J249" s="242" t="s">
        <v>174</v>
      </c>
      <c r="K249" s="242" t="s">
        <v>174</v>
      </c>
      <c r="L249" s="242" t="s">
        <v>174</v>
      </c>
      <c r="M249" s="242" t="s">
        <v>174</v>
      </c>
      <c r="N249" s="242" t="s">
        <v>174</v>
      </c>
      <c r="O249" s="242" t="s">
        <v>174</v>
      </c>
    </row>
    <row r="250" spans="1:22">
      <c r="A250" s="241" t="s">
        <v>167</v>
      </c>
      <c r="B250" s="241" t="s">
        <v>168</v>
      </c>
      <c r="C250" s="243"/>
      <c r="D250" s="243"/>
      <c r="E250" s="243"/>
      <c r="F250" s="243"/>
      <c r="G250" s="243"/>
      <c r="H250" s="243"/>
      <c r="I250" s="243"/>
      <c r="J250" s="243"/>
      <c r="K250" s="243"/>
      <c r="L250" s="243"/>
      <c r="M250" s="243"/>
      <c r="N250" s="243"/>
      <c r="O250" s="243"/>
    </row>
    <row r="251" spans="1:22">
      <c r="A251" s="321" t="s">
        <v>4</v>
      </c>
      <c r="B251" s="244" t="s">
        <v>158</v>
      </c>
      <c r="C251" s="290">
        <v>162586.75104</v>
      </c>
      <c r="D251" s="290">
        <v>46313.77248</v>
      </c>
      <c r="E251" s="290">
        <v>10779.55392</v>
      </c>
      <c r="F251" s="290">
        <v>16743.110400000001</v>
      </c>
      <c r="G251" s="290">
        <v>42861.726719999999</v>
      </c>
      <c r="H251" s="290">
        <v>150479.72640000001</v>
      </c>
      <c r="I251" s="290">
        <v>151746.71904</v>
      </c>
      <c r="J251" s="290">
        <v>82945.08</v>
      </c>
      <c r="K251" s="290"/>
      <c r="L251" s="290"/>
      <c r="M251" s="290">
        <v>44229.519359999998</v>
      </c>
      <c r="N251" s="290">
        <v>2399.2876799999999</v>
      </c>
      <c r="O251" s="290"/>
    </row>
    <row r="252" spans="1:22">
      <c r="A252" s="320"/>
      <c r="B252" s="244" t="s">
        <v>159</v>
      </c>
      <c r="C252" s="290">
        <v>245046.12</v>
      </c>
      <c r="D252" s="290">
        <v>197845.88735999999</v>
      </c>
      <c r="E252" s="290">
        <v>223670.74944000001</v>
      </c>
      <c r="F252" s="290">
        <v>272841.26496</v>
      </c>
      <c r="G252" s="290">
        <v>228149.23008000001</v>
      </c>
      <c r="H252" s="290">
        <v>239683.34495999999</v>
      </c>
      <c r="I252" s="290">
        <v>233710.70783999999</v>
      </c>
      <c r="J252" s="290">
        <v>277788.74784000003</v>
      </c>
      <c r="K252" s="290">
        <v>215783.35295999999</v>
      </c>
      <c r="L252" s="290">
        <v>206585.62943999999</v>
      </c>
      <c r="M252" s="290">
        <v>214921.95551999999</v>
      </c>
      <c r="N252" s="290">
        <v>197523.13152</v>
      </c>
      <c r="O252" s="290">
        <v>202400.67744</v>
      </c>
    </row>
    <row r="253" spans="1:22">
      <c r="A253" s="244" t="s">
        <v>95</v>
      </c>
      <c r="B253" s="244" t="s">
        <v>171</v>
      </c>
      <c r="C253" s="290"/>
      <c r="D253" s="290"/>
      <c r="E253" s="290"/>
      <c r="F253" s="290"/>
      <c r="G253" s="290">
        <v>7.6999999999999996E-4</v>
      </c>
      <c r="H253" s="290"/>
      <c r="I253" s="290"/>
      <c r="J253" s="290"/>
      <c r="K253" s="290"/>
      <c r="L253" s="290"/>
      <c r="M253" s="290"/>
      <c r="N253" s="290"/>
      <c r="O253" s="290">
        <v>7.6999999999999996E-4</v>
      </c>
    </row>
    <row r="254" spans="1:22">
      <c r="A254" s="244" t="s">
        <v>11</v>
      </c>
      <c r="B254" s="244" t="s">
        <v>160</v>
      </c>
      <c r="C254" s="290">
        <v>960620.31033000001</v>
      </c>
      <c r="D254" s="290">
        <v>883446.73670999997</v>
      </c>
      <c r="E254" s="290">
        <v>1045789.66572</v>
      </c>
      <c r="F254" s="290">
        <v>1499517.1218600001</v>
      </c>
      <c r="G254" s="290">
        <v>1621940.26247</v>
      </c>
      <c r="H254" s="290">
        <v>1616202.26621</v>
      </c>
      <c r="I254" s="290">
        <v>1569093.1447099999</v>
      </c>
      <c r="J254" s="290">
        <v>1278018.19658</v>
      </c>
      <c r="K254" s="290">
        <v>864827.06539</v>
      </c>
      <c r="L254" s="290">
        <v>967532.72950999998</v>
      </c>
      <c r="M254" s="290">
        <v>1020595.18357</v>
      </c>
      <c r="N254" s="290">
        <v>585354.34157000005</v>
      </c>
      <c r="O254" s="290">
        <v>613581.61456000002</v>
      </c>
    </row>
    <row r="255" spans="1:22">
      <c r="A255" s="318" t="s">
        <v>9</v>
      </c>
      <c r="B255" s="244" t="s">
        <v>161</v>
      </c>
      <c r="C255" s="290">
        <v>39539.786</v>
      </c>
      <c r="D255" s="290">
        <v>33455.335500000001</v>
      </c>
      <c r="E255" s="290">
        <v>35968.751499999998</v>
      </c>
      <c r="F255" s="290">
        <v>23532.816500000001</v>
      </c>
      <c r="G255" s="290">
        <v>24006.325499999999</v>
      </c>
      <c r="H255" s="290">
        <v>15681.1505</v>
      </c>
      <c r="I255" s="290">
        <v>23809.886500000001</v>
      </c>
      <c r="J255" s="290">
        <v>17006.718499999999</v>
      </c>
      <c r="K255" s="290">
        <v>13939.117</v>
      </c>
      <c r="L255" s="290">
        <v>17921.933000000001</v>
      </c>
      <c r="M255" s="290">
        <v>37437.025000000001</v>
      </c>
      <c r="N255" s="290">
        <v>27578.665000000001</v>
      </c>
      <c r="O255" s="290">
        <v>23324.977999999999</v>
      </c>
    </row>
    <row r="256" spans="1:22">
      <c r="A256" s="319"/>
      <c r="B256" s="244" t="s">
        <v>162</v>
      </c>
      <c r="C256" s="290">
        <v>592279.01639999996</v>
      </c>
      <c r="D256" s="290">
        <v>541418.59187999996</v>
      </c>
      <c r="E256" s="290">
        <v>586381.11803999997</v>
      </c>
      <c r="F256" s="290">
        <v>603516.53663999995</v>
      </c>
      <c r="G256" s="290">
        <v>513942.76007999998</v>
      </c>
      <c r="H256" s="290">
        <v>456987.77604000003</v>
      </c>
      <c r="I256" s="290">
        <v>497554.07436000003</v>
      </c>
      <c r="J256" s="290">
        <v>435269.54375999997</v>
      </c>
      <c r="K256" s="290">
        <v>336437.44452000002</v>
      </c>
      <c r="L256" s="290">
        <v>411739.62516</v>
      </c>
      <c r="M256" s="290">
        <v>581992.43076000002</v>
      </c>
      <c r="N256" s="290">
        <v>470249.33867999999</v>
      </c>
      <c r="O256" s="290">
        <v>402578.14643999998</v>
      </c>
    </row>
    <row r="257" spans="1:17">
      <c r="A257" s="319"/>
      <c r="B257" s="244" t="s">
        <v>163</v>
      </c>
      <c r="C257" s="290">
        <v>936.83033999999998</v>
      </c>
      <c r="D257" s="290">
        <v>605.64323999999999</v>
      </c>
      <c r="E257" s="290">
        <v>707.28754000000004</v>
      </c>
      <c r="F257" s="290">
        <v>510.27539999999999</v>
      </c>
      <c r="G257" s="290">
        <v>595.71460000000002</v>
      </c>
      <c r="H257" s="290">
        <v>549.39868000000001</v>
      </c>
      <c r="I257" s="290">
        <v>431.47973999999999</v>
      </c>
      <c r="J257" s="290">
        <v>584.50764000000004</v>
      </c>
      <c r="K257" s="290">
        <v>460.57900000000001</v>
      </c>
      <c r="L257" s="290">
        <v>526.92547999999999</v>
      </c>
      <c r="M257" s="290">
        <v>1152.3975</v>
      </c>
      <c r="N257" s="290">
        <v>651.02664000000004</v>
      </c>
      <c r="O257" s="290">
        <v>382.40273999999999</v>
      </c>
    </row>
    <row r="258" spans="1:17">
      <c r="A258" s="320"/>
      <c r="B258" s="244" t="s">
        <v>232</v>
      </c>
      <c r="C258" s="290"/>
      <c r="D258" s="290"/>
      <c r="E258" s="290"/>
      <c r="F258" s="290"/>
      <c r="G258" s="290"/>
      <c r="H258" s="290"/>
      <c r="I258" s="290"/>
      <c r="J258" s="290"/>
      <c r="K258" s="290">
        <v>315.19099999999997</v>
      </c>
      <c r="L258" s="290"/>
      <c r="M258" s="290"/>
      <c r="N258" s="290"/>
      <c r="O258" s="290"/>
    </row>
    <row r="259" spans="1:17">
      <c r="A259" s="318" t="s">
        <v>70</v>
      </c>
      <c r="B259" s="244" t="s">
        <v>164</v>
      </c>
      <c r="C259" s="290">
        <v>9.5E-4</v>
      </c>
      <c r="D259" s="290"/>
      <c r="E259" s="290">
        <v>4.7499999999999999E-3</v>
      </c>
      <c r="F259" s="290"/>
      <c r="G259" s="290"/>
      <c r="H259" s="290">
        <v>1.9E-3</v>
      </c>
      <c r="I259" s="290">
        <v>0.1976</v>
      </c>
      <c r="J259" s="290">
        <v>3.8E-3</v>
      </c>
      <c r="K259" s="290"/>
      <c r="L259" s="290"/>
      <c r="M259" s="290"/>
      <c r="N259" s="290">
        <v>0.23845</v>
      </c>
      <c r="O259" s="290">
        <v>9.5E-4</v>
      </c>
    </row>
    <row r="260" spans="1:17">
      <c r="A260" s="319"/>
      <c r="B260" s="244" t="s">
        <v>165</v>
      </c>
      <c r="C260" s="290">
        <v>14921.5272</v>
      </c>
      <c r="D260" s="290">
        <v>11218.912920000001</v>
      </c>
      <c r="E260" s="290">
        <v>7857.2622000000001</v>
      </c>
      <c r="F260" s="290">
        <v>15605.216399999999</v>
      </c>
      <c r="G260" s="290">
        <v>16933.59</v>
      </c>
      <c r="H260" s="290">
        <v>14905.5744</v>
      </c>
      <c r="I260" s="290">
        <v>15188.09196</v>
      </c>
      <c r="J260" s="290">
        <v>15692.07696</v>
      </c>
      <c r="K260" s="290">
        <v>12577.957200000001</v>
      </c>
      <c r="L260" s="290">
        <v>15619.97904</v>
      </c>
      <c r="M260" s="290">
        <v>13951.938120000001</v>
      </c>
      <c r="N260" s="290">
        <v>12744.46488</v>
      </c>
      <c r="O260" s="290">
        <v>9707.9290799999999</v>
      </c>
    </row>
    <row r="261" spans="1:17">
      <c r="A261" s="320"/>
      <c r="B261" s="244" t="s">
        <v>166</v>
      </c>
      <c r="C261" s="290">
        <v>11565.030720000001</v>
      </c>
      <c r="D261" s="290">
        <v>7996.5309600000001</v>
      </c>
      <c r="E261" s="290">
        <v>6224.07</v>
      </c>
      <c r="F261" s="290">
        <v>10042.013999999999</v>
      </c>
      <c r="G261" s="290">
        <v>10283.578079999999</v>
      </c>
      <c r="H261" s="290">
        <v>10125.596879999999</v>
      </c>
      <c r="I261" s="290">
        <v>10252.085279999999</v>
      </c>
      <c r="J261" s="290">
        <v>10315.31544</v>
      </c>
      <c r="K261" s="290">
        <v>8818.14768</v>
      </c>
      <c r="L261" s="290">
        <v>8913.0338400000001</v>
      </c>
      <c r="M261" s="290">
        <v>8918.0827200000003</v>
      </c>
      <c r="N261" s="290">
        <v>6290.3148000000001</v>
      </c>
      <c r="O261" s="290">
        <v>4677.76368</v>
      </c>
    </row>
    <row r="262" spans="1:17">
      <c r="A262" s="291" t="s">
        <v>15</v>
      </c>
      <c r="B262" s="292"/>
      <c r="C262" s="293">
        <v>2027495.37298</v>
      </c>
      <c r="D262" s="293">
        <v>1722301.41105</v>
      </c>
      <c r="E262" s="293">
        <v>1917378.4631099999</v>
      </c>
      <c r="F262" s="293">
        <v>2442308.35616</v>
      </c>
      <c r="G262" s="293">
        <v>2458713.1883</v>
      </c>
      <c r="H262" s="293">
        <v>2504614.8359699999</v>
      </c>
      <c r="I262" s="293">
        <v>2501786.3870299999</v>
      </c>
      <c r="J262" s="293">
        <v>2117620.1905200002</v>
      </c>
      <c r="K262" s="293">
        <v>1453158.8547499999</v>
      </c>
      <c r="L262" s="293">
        <v>1628839.8554700001</v>
      </c>
      <c r="M262" s="293">
        <v>1923198.5325499999</v>
      </c>
      <c r="N262" s="293">
        <v>1302790.8092199999</v>
      </c>
      <c r="O262" s="293">
        <v>1256653.5136599999</v>
      </c>
      <c r="Q262" s="44">
        <f>(O262-C262)/C262*100</f>
        <v>-38.019413982041378</v>
      </c>
    </row>
  </sheetData>
  <sortState xmlns:xlrd2="http://schemas.microsoft.com/office/spreadsheetml/2017/richdata2" ref="H50:J61">
    <sortCondition descending="1" ref="J50:J61"/>
  </sortState>
  <mergeCells count="13">
    <mergeCell ref="B4:J4"/>
    <mergeCell ref="B5:J5"/>
    <mergeCell ref="B115:Z115"/>
    <mergeCell ref="B116:Z116"/>
    <mergeCell ref="B175:S175"/>
    <mergeCell ref="A259:A261"/>
    <mergeCell ref="A255:A258"/>
    <mergeCell ref="A251:A252"/>
    <mergeCell ref="B176:S176"/>
    <mergeCell ref="B177:S177"/>
    <mergeCell ref="B215:S215"/>
    <mergeCell ref="B216:S216"/>
    <mergeCell ref="B217:S217"/>
  </mergeCells>
  <conditionalFormatting sqref="V220:V246">
    <cfRule type="cellIs" dxfId="2" priority="4" operator="equal">
      <formula>$V$176</formula>
    </cfRule>
  </conditionalFormatting>
  <conditionalFormatting sqref="V180:V210">
    <cfRule type="cellIs" dxfId="1" priority="2" operator="equal">
      <formula>$V$176</formula>
    </cfRule>
  </conditionalFormatting>
  <conditionalFormatting sqref="X180:X210">
    <cfRule type="cellIs" dxfId="0" priority="1" operator="equal">
      <formula>$V$176</formula>
    </cfRule>
  </conditionalFormatting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Hoja18"/>
  <dimension ref="A1:J1209"/>
  <sheetViews>
    <sheetView topLeftCell="A737" zoomScale="93" workbookViewId="0">
      <selection activeCell="B2" sqref="B2"/>
    </sheetView>
  </sheetViews>
  <sheetFormatPr baseColWidth="10" defaultRowHeight="12.75"/>
  <cols>
    <col min="1" max="2" width="14.5703125" customWidth="1"/>
    <col min="3" max="5" width="17.5703125" customWidth="1"/>
    <col min="6" max="6" width="7.5703125" style="190" customWidth="1"/>
    <col min="7" max="7" width="7.5703125" style="191" customWidth="1"/>
  </cols>
  <sheetData>
    <row r="1" spans="1:9">
      <c r="C1" s="192" t="s">
        <v>32</v>
      </c>
      <c r="D1" s="192" t="s">
        <v>33</v>
      </c>
      <c r="E1" s="192" t="s">
        <v>34</v>
      </c>
    </row>
    <row r="2" spans="1:9">
      <c r="C2" s="328" t="s">
        <v>125</v>
      </c>
      <c r="D2" s="329"/>
      <c r="E2" s="329"/>
    </row>
    <row r="3" spans="1:9">
      <c r="A3">
        <v>0</v>
      </c>
      <c r="B3" s="46">
        <v>44621</v>
      </c>
      <c r="C3" s="169">
        <v>31.391719412993378</v>
      </c>
      <c r="D3" s="169">
        <v>128.70213492494773</v>
      </c>
      <c r="E3" s="169">
        <f>IF(C3&lt;D3,C3,D3)</f>
        <v>31.391719412993378</v>
      </c>
      <c r="F3" s="190" t="str">
        <f t="shared" ref="F3:F66" si="0">IF(DAY(B3)=15,IF(MONTH(B3)=1,"E",IF(MONTH(B3)=2,"F",IF(MONTH(B3)=3,"M",IF(MONTH(B3)=4,"A",IF(MONTH(B3)=5,"M",IF(MONTH(B3)=6,"J",IF(MONTH(B3)=7,"J",IF(MONTH(B3)=8,"A",IF(MONTH(B3)=9,"S",IF(MONTH(B3)=10,"O",IF(MONTH(B3)=11,"N",IF(MONTH(B3)=12,"D","")))))))))))),"")</f>
        <v/>
      </c>
      <c r="H3">
        <f>YEAR(B3)</f>
        <v>2022</v>
      </c>
    </row>
    <row r="4" spans="1:9">
      <c r="A4">
        <v>1</v>
      </c>
      <c r="B4" s="46">
        <v>44622</v>
      </c>
      <c r="C4" s="169">
        <v>40.784673179673312</v>
      </c>
      <c r="D4" s="169">
        <v>128.70213492494773</v>
      </c>
      <c r="E4" s="169">
        <f t="shared" ref="E4:E67" si="1">IF(C4&lt;D4,C4,D4)</f>
        <v>40.784673179673312</v>
      </c>
      <c r="F4" s="190" t="str">
        <f t="shared" si="0"/>
        <v/>
      </c>
      <c r="H4" t="str">
        <f>IF(MONTH(B4)=1,IF(DAY(B4)=1,YEAR(B4),""),"")</f>
        <v/>
      </c>
      <c r="I4" s="190" t="str">
        <f t="shared" ref="I4:I67" si="2">IF(DAY(B4)=15,IF(MONTH(B4)=1,"E",IF(MONTH(B4)=2,"F",IF(MONTH(B4)=3,"M",IF(MONTH(B4)=4,"A",IF(MONTH(B4)=5,"M",IF(MONTH(B4)=6,"J",IF(MONTH(B4)=7,"J",IF(MONTH(B4)=8,"A",IF(MONTH(B4)=9,"S",IF(MONTH(B4)=10,"O",IF(MONTH(B4)=11,"N",IF(MONTH(B4)=12,"D","")))))))))))),"")</f>
        <v/>
      </c>
    </row>
    <row r="5" spans="1:9">
      <c r="A5">
        <v>2</v>
      </c>
      <c r="B5" s="46">
        <v>44623</v>
      </c>
      <c r="C5" s="169">
        <v>49.315927419673315</v>
      </c>
      <c r="D5" s="169">
        <v>128.70213492494773</v>
      </c>
      <c r="E5" s="169">
        <f t="shared" si="1"/>
        <v>49.315927419673315</v>
      </c>
      <c r="F5" s="190" t="str">
        <f t="shared" si="0"/>
        <v/>
      </c>
      <c r="H5" t="str">
        <f t="shared" ref="H5:H68" si="3">IF(MONTH(B5)=1,IF(DAY(B5)=1,YEAR(B5),""),"")</f>
        <v/>
      </c>
      <c r="I5" s="190" t="str">
        <f t="shared" si="2"/>
        <v/>
      </c>
    </row>
    <row r="6" spans="1:9">
      <c r="A6">
        <v>3</v>
      </c>
      <c r="B6" s="46">
        <v>44624</v>
      </c>
      <c r="C6" s="169">
        <v>39.349748935674242</v>
      </c>
      <c r="D6" s="169">
        <v>128.70213492494773</v>
      </c>
      <c r="E6" s="169">
        <f t="shared" si="1"/>
        <v>39.349748935674242</v>
      </c>
      <c r="F6" s="190" t="str">
        <f t="shared" si="0"/>
        <v/>
      </c>
      <c r="H6" t="str">
        <f t="shared" si="3"/>
        <v/>
      </c>
      <c r="I6" s="190" t="str">
        <f t="shared" si="2"/>
        <v/>
      </c>
    </row>
    <row r="7" spans="1:9">
      <c r="A7">
        <v>4</v>
      </c>
      <c r="B7" s="46">
        <v>44625</v>
      </c>
      <c r="C7" s="169">
        <v>48.881724543674245</v>
      </c>
      <c r="D7" s="169">
        <v>128.70213492494773</v>
      </c>
      <c r="E7" s="169">
        <f t="shared" si="1"/>
        <v>48.881724543674245</v>
      </c>
      <c r="F7" s="190" t="str">
        <f t="shared" si="0"/>
        <v/>
      </c>
      <c r="H7" t="str">
        <f t="shared" si="3"/>
        <v/>
      </c>
      <c r="I7" s="190" t="str">
        <f t="shared" si="2"/>
        <v/>
      </c>
    </row>
    <row r="8" spans="1:9">
      <c r="A8">
        <v>5</v>
      </c>
      <c r="B8" s="46">
        <v>44626</v>
      </c>
      <c r="C8" s="169">
        <v>45.742094035673311</v>
      </c>
      <c r="D8" s="169">
        <v>128.70213492494773</v>
      </c>
      <c r="E8" s="169">
        <f t="shared" si="1"/>
        <v>45.742094035673311</v>
      </c>
      <c r="F8" s="190" t="str">
        <f t="shared" si="0"/>
        <v/>
      </c>
      <c r="H8" t="str">
        <f t="shared" si="3"/>
        <v/>
      </c>
      <c r="I8" s="190" t="str">
        <f t="shared" si="2"/>
        <v/>
      </c>
    </row>
    <row r="9" spans="1:9">
      <c r="A9">
        <v>6</v>
      </c>
      <c r="B9" s="46">
        <v>44627</v>
      </c>
      <c r="C9" s="169">
        <v>60.618987323673309</v>
      </c>
      <c r="D9" s="169">
        <v>128.70213492494773</v>
      </c>
      <c r="E9" s="169">
        <f t="shared" si="1"/>
        <v>60.618987323673309</v>
      </c>
      <c r="F9" s="190" t="str">
        <f t="shared" si="0"/>
        <v/>
      </c>
      <c r="H9" t="str">
        <f t="shared" si="3"/>
        <v/>
      </c>
      <c r="I9" s="190" t="str">
        <f t="shared" si="2"/>
        <v/>
      </c>
    </row>
    <row r="10" spans="1:9">
      <c r="A10">
        <v>7</v>
      </c>
      <c r="B10" s="46">
        <v>44628</v>
      </c>
      <c r="C10" s="169">
        <v>36.964099775673311</v>
      </c>
      <c r="D10" s="169">
        <v>128.70213492494773</v>
      </c>
      <c r="E10" s="169">
        <f t="shared" si="1"/>
        <v>36.964099775673311</v>
      </c>
      <c r="F10" s="190" t="str">
        <f t="shared" si="0"/>
        <v/>
      </c>
      <c r="H10" t="str">
        <f t="shared" si="3"/>
        <v/>
      </c>
      <c r="I10" s="190" t="str">
        <f t="shared" si="2"/>
        <v/>
      </c>
    </row>
    <row r="11" spans="1:9">
      <c r="A11">
        <v>8</v>
      </c>
      <c r="B11" s="46">
        <v>44629</v>
      </c>
      <c r="C11" s="169">
        <v>62.300421105205558</v>
      </c>
      <c r="D11" s="169">
        <v>128.70213492494773</v>
      </c>
      <c r="E11" s="169">
        <f t="shared" si="1"/>
        <v>62.300421105205558</v>
      </c>
      <c r="F11" s="190" t="str">
        <f t="shared" si="0"/>
        <v/>
      </c>
      <c r="H11" t="str">
        <f t="shared" si="3"/>
        <v/>
      </c>
      <c r="I11" s="190" t="str">
        <f t="shared" si="2"/>
        <v/>
      </c>
    </row>
    <row r="12" spans="1:9">
      <c r="A12">
        <v>9</v>
      </c>
      <c r="B12" s="46">
        <v>44630</v>
      </c>
      <c r="C12" s="169">
        <v>54.79258792720556</v>
      </c>
      <c r="D12" s="169">
        <v>128.70213492494773</v>
      </c>
      <c r="E12" s="169">
        <f t="shared" si="1"/>
        <v>54.79258792720556</v>
      </c>
      <c r="F12" s="190" t="str">
        <f t="shared" si="0"/>
        <v/>
      </c>
      <c r="H12" t="str">
        <f t="shared" si="3"/>
        <v/>
      </c>
      <c r="I12" s="190" t="str">
        <f t="shared" si="2"/>
        <v/>
      </c>
    </row>
    <row r="13" spans="1:9">
      <c r="A13">
        <v>10</v>
      </c>
      <c r="B13" s="46">
        <v>44631</v>
      </c>
      <c r="C13" s="169">
        <v>60.629858955205556</v>
      </c>
      <c r="D13" s="169">
        <v>128.70213492494773</v>
      </c>
      <c r="E13" s="169">
        <f t="shared" si="1"/>
        <v>60.629858955205556</v>
      </c>
      <c r="F13" s="190" t="str">
        <f t="shared" si="0"/>
        <v/>
      </c>
      <c r="H13" t="str">
        <f t="shared" si="3"/>
        <v/>
      </c>
      <c r="I13" s="190" t="str">
        <f t="shared" si="2"/>
        <v/>
      </c>
    </row>
    <row r="14" spans="1:9">
      <c r="A14">
        <v>11</v>
      </c>
      <c r="B14" s="46">
        <v>44632</v>
      </c>
      <c r="C14" s="169">
        <v>59.165812285206492</v>
      </c>
      <c r="D14" s="169">
        <v>128.70213492494773</v>
      </c>
      <c r="E14" s="169">
        <f t="shared" si="1"/>
        <v>59.165812285206492</v>
      </c>
      <c r="F14" s="190" t="str">
        <f t="shared" si="0"/>
        <v/>
      </c>
      <c r="H14" t="str">
        <f t="shared" si="3"/>
        <v/>
      </c>
      <c r="I14" s="190" t="str">
        <f t="shared" si="2"/>
        <v/>
      </c>
    </row>
    <row r="15" spans="1:9">
      <c r="A15">
        <v>12</v>
      </c>
      <c r="B15" s="46">
        <v>44633</v>
      </c>
      <c r="C15" s="169">
        <v>60.547653731206488</v>
      </c>
      <c r="D15" s="169">
        <v>128.70213492494773</v>
      </c>
      <c r="E15" s="169">
        <f t="shared" si="1"/>
        <v>60.547653731206488</v>
      </c>
      <c r="F15" s="190" t="str">
        <f t="shared" si="0"/>
        <v/>
      </c>
      <c r="H15" t="str">
        <f t="shared" si="3"/>
        <v/>
      </c>
      <c r="I15" s="190" t="str">
        <f t="shared" si="2"/>
        <v/>
      </c>
    </row>
    <row r="16" spans="1:9">
      <c r="A16">
        <v>13</v>
      </c>
      <c r="B16" s="46">
        <v>44634</v>
      </c>
      <c r="C16" s="169">
        <v>63.689207503205559</v>
      </c>
      <c r="D16" s="169">
        <v>128.70213492494773</v>
      </c>
      <c r="E16" s="169">
        <f t="shared" si="1"/>
        <v>63.689207503205559</v>
      </c>
      <c r="F16" s="190" t="str">
        <f t="shared" si="0"/>
        <v/>
      </c>
      <c r="H16" t="str">
        <f t="shared" si="3"/>
        <v/>
      </c>
      <c r="I16" s="190" t="str">
        <f t="shared" si="2"/>
        <v/>
      </c>
    </row>
    <row r="17" spans="1:10">
      <c r="A17">
        <v>14</v>
      </c>
      <c r="B17" s="46">
        <v>44635</v>
      </c>
      <c r="C17" s="169">
        <v>88.789314825206489</v>
      </c>
      <c r="D17" s="169">
        <v>128.70213492494773</v>
      </c>
      <c r="E17" s="169">
        <f t="shared" si="1"/>
        <v>88.789314825206489</v>
      </c>
      <c r="F17" s="190" t="str">
        <f t="shared" si="0"/>
        <v>M</v>
      </c>
      <c r="G17" s="191">
        <f>IF(DAY(B17)=15,D17,"")</f>
        <v>128.70213492494773</v>
      </c>
      <c r="H17" t="str">
        <f t="shared" si="3"/>
        <v/>
      </c>
      <c r="I17" s="190" t="str">
        <f t="shared" si="2"/>
        <v>M</v>
      </c>
      <c r="J17" s="191"/>
    </row>
    <row r="18" spans="1:10">
      <c r="A18">
        <v>15</v>
      </c>
      <c r="B18" s="46">
        <v>44636</v>
      </c>
      <c r="C18" s="169">
        <v>106.00299378317858</v>
      </c>
      <c r="D18" s="169">
        <v>128.70213492494773</v>
      </c>
      <c r="E18" s="169">
        <f t="shared" si="1"/>
        <v>106.00299378317858</v>
      </c>
      <c r="F18" s="190" t="str">
        <f t="shared" si="0"/>
        <v/>
      </c>
      <c r="H18" t="str">
        <f t="shared" si="3"/>
        <v/>
      </c>
      <c r="I18" s="190" t="str">
        <f t="shared" si="2"/>
        <v/>
      </c>
    </row>
    <row r="19" spans="1:10">
      <c r="A19">
        <v>16</v>
      </c>
      <c r="B19" s="46">
        <v>44637</v>
      </c>
      <c r="C19" s="169">
        <v>76.527726677176716</v>
      </c>
      <c r="D19" s="169">
        <v>128.70213492494773</v>
      </c>
      <c r="E19" s="169">
        <f t="shared" si="1"/>
        <v>76.527726677176716</v>
      </c>
      <c r="F19" s="190" t="str">
        <f t="shared" si="0"/>
        <v/>
      </c>
      <c r="H19" t="str">
        <f t="shared" si="3"/>
        <v/>
      </c>
      <c r="I19" s="190" t="str">
        <f t="shared" si="2"/>
        <v/>
      </c>
    </row>
    <row r="20" spans="1:10">
      <c r="A20">
        <v>17</v>
      </c>
      <c r="B20" s="46">
        <v>44638</v>
      </c>
      <c r="C20" s="169">
        <v>83.819214599177656</v>
      </c>
      <c r="D20" s="169">
        <v>128.70213492494773</v>
      </c>
      <c r="E20" s="169">
        <f t="shared" si="1"/>
        <v>83.819214599177656</v>
      </c>
      <c r="F20" s="190" t="str">
        <f t="shared" si="0"/>
        <v/>
      </c>
      <c r="H20" t="str">
        <f t="shared" si="3"/>
        <v/>
      </c>
      <c r="I20" s="190" t="str">
        <f t="shared" si="2"/>
        <v/>
      </c>
    </row>
    <row r="21" spans="1:10">
      <c r="A21">
        <v>18</v>
      </c>
      <c r="B21" s="46">
        <v>44639</v>
      </c>
      <c r="C21" s="169">
        <v>73.140999351177655</v>
      </c>
      <c r="D21" s="169">
        <v>128.70213492494773</v>
      </c>
      <c r="E21" s="169">
        <f t="shared" si="1"/>
        <v>73.140999351177655</v>
      </c>
      <c r="F21" s="190" t="str">
        <f t="shared" si="0"/>
        <v/>
      </c>
      <c r="H21" t="str">
        <f t="shared" si="3"/>
        <v/>
      </c>
      <c r="I21" s="190" t="str">
        <f t="shared" si="2"/>
        <v/>
      </c>
    </row>
    <row r="22" spans="1:10">
      <c r="A22">
        <v>19</v>
      </c>
      <c r="B22" s="46">
        <v>44640</v>
      </c>
      <c r="C22" s="169">
        <v>63.440759083177653</v>
      </c>
      <c r="D22" s="169">
        <v>128.70213492494773</v>
      </c>
      <c r="E22" s="169">
        <f t="shared" si="1"/>
        <v>63.440759083177653</v>
      </c>
      <c r="F22" s="190" t="str">
        <f t="shared" si="0"/>
        <v/>
      </c>
      <c r="H22" t="str">
        <f t="shared" si="3"/>
        <v/>
      </c>
      <c r="I22" s="190" t="str">
        <f t="shared" si="2"/>
        <v/>
      </c>
    </row>
    <row r="23" spans="1:10">
      <c r="A23">
        <v>20</v>
      </c>
      <c r="B23" s="46">
        <v>44641</v>
      </c>
      <c r="C23" s="169">
        <v>64.563472147177663</v>
      </c>
      <c r="D23" s="169">
        <v>128.70213492494773</v>
      </c>
      <c r="E23" s="169">
        <f t="shared" si="1"/>
        <v>64.563472147177663</v>
      </c>
      <c r="F23" s="190" t="str">
        <f t="shared" si="0"/>
        <v/>
      </c>
      <c r="H23" t="str">
        <f t="shared" si="3"/>
        <v/>
      </c>
      <c r="I23" s="190" t="str">
        <f t="shared" si="2"/>
        <v/>
      </c>
    </row>
    <row r="24" spans="1:10">
      <c r="A24">
        <v>21</v>
      </c>
      <c r="B24" s="46">
        <v>44642</v>
      </c>
      <c r="C24" s="169">
        <v>71.529757761177663</v>
      </c>
      <c r="D24" s="169">
        <v>128.70213492494773</v>
      </c>
      <c r="E24" s="169">
        <f t="shared" si="1"/>
        <v>71.529757761177663</v>
      </c>
      <c r="F24" s="190" t="str">
        <f t="shared" si="0"/>
        <v/>
      </c>
      <c r="H24" t="str">
        <f t="shared" si="3"/>
        <v/>
      </c>
      <c r="I24" s="190" t="str">
        <f t="shared" si="2"/>
        <v/>
      </c>
    </row>
    <row r="25" spans="1:10">
      <c r="A25">
        <v>22</v>
      </c>
      <c r="B25" s="46">
        <v>44643</v>
      </c>
      <c r="C25" s="169">
        <v>96.653541922288952</v>
      </c>
      <c r="D25" s="169">
        <v>128.70213492494773</v>
      </c>
      <c r="E25" s="169">
        <f t="shared" si="1"/>
        <v>96.653541922288952</v>
      </c>
      <c r="F25" s="190" t="str">
        <f t="shared" si="0"/>
        <v/>
      </c>
      <c r="H25" t="str">
        <f t="shared" si="3"/>
        <v/>
      </c>
      <c r="I25" s="190" t="str">
        <f t="shared" si="2"/>
        <v/>
      </c>
    </row>
    <row r="26" spans="1:10">
      <c r="A26">
        <v>23</v>
      </c>
      <c r="B26" s="46">
        <v>44644</v>
      </c>
      <c r="C26" s="169">
        <v>108.81718818828989</v>
      </c>
      <c r="D26" s="169">
        <v>128.70213492494773</v>
      </c>
      <c r="E26" s="169">
        <f t="shared" si="1"/>
        <v>108.81718818828989</v>
      </c>
      <c r="F26" s="190" t="str">
        <f t="shared" si="0"/>
        <v/>
      </c>
      <c r="H26" t="str">
        <f t="shared" si="3"/>
        <v/>
      </c>
      <c r="I26" s="190" t="str">
        <f t="shared" si="2"/>
        <v/>
      </c>
    </row>
    <row r="27" spans="1:10">
      <c r="A27">
        <v>24</v>
      </c>
      <c r="B27" s="46">
        <v>44645</v>
      </c>
      <c r="C27" s="169">
        <v>101.39951637829083</v>
      </c>
      <c r="D27" s="169">
        <v>128.70213492494773</v>
      </c>
      <c r="E27" s="169">
        <f t="shared" si="1"/>
        <v>101.39951637829083</v>
      </c>
      <c r="F27" s="190" t="str">
        <f t="shared" si="0"/>
        <v/>
      </c>
      <c r="H27" t="str">
        <f t="shared" si="3"/>
        <v/>
      </c>
      <c r="I27" s="190" t="str">
        <f t="shared" si="2"/>
        <v/>
      </c>
    </row>
    <row r="28" spans="1:10">
      <c r="A28">
        <v>25</v>
      </c>
      <c r="B28" s="46">
        <v>44646</v>
      </c>
      <c r="C28" s="169">
        <v>97.732828272288955</v>
      </c>
      <c r="D28" s="169">
        <v>128.70213492494773</v>
      </c>
      <c r="E28" s="169">
        <f t="shared" si="1"/>
        <v>97.732828272288955</v>
      </c>
      <c r="F28" s="190" t="str">
        <f t="shared" si="0"/>
        <v/>
      </c>
      <c r="H28" t="str">
        <f t="shared" si="3"/>
        <v/>
      </c>
      <c r="I28" s="190" t="str">
        <f t="shared" si="2"/>
        <v/>
      </c>
    </row>
    <row r="29" spans="1:10">
      <c r="A29">
        <v>26</v>
      </c>
      <c r="B29" s="46">
        <v>44647</v>
      </c>
      <c r="C29" s="169">
        <v>77.183881546289896</v>
      </c>
      <c r="D29" s="169">
        <v>128.70213492494773</v>
      </c>
      <c r="E29" s="169">
        <f t="shared" si="1"/>
        <v>77.183881546289896</v>
      </c>
      <c r="F29" s="190" t="str">
        <f t="shared" si="0"/>
        <v/>
      </c>
      <c r="H29" t="str">
        <f t="shared" si="3"/>
        <v/>
      </c>
      <c r="I29" s="190" t="str">
        <f t="shared" si="2"/>
        <v/>
      </c>
    </row>
    <row r="30" spans="1:10">
      <c r="A30">
        <v>27</v>
      </c>
      <c r="B30" s="46">
        <v>44648</v>
      </c>
      <c r="C30" s="169">
        <v>88.084318582288944</v>
      </c>
      <c r="D30" s="169">
        <v>128.70213492494773</v>
      </c>
      <c r="E30" s="169">
        <f t="shared" si="1"/>
        <v>88.084318582288944</v>
      </c>
      <c r="F30" s="190" t="str">
        <f t="shared" si="0"/>
        <v/>
      </c>
      <c r="H30" t="str">
        <f t="shared" si="3"/>
        <v/>
      </c>
      <c r="I30" s="190" t="str">
        <f t="shared" si="2"/>
        <v/>
      </c>
    </row>
    <row r="31" spans="1:10">
      <c r="A31">
        <v>28</v>
      </c>
      <c r="B31" s="46">
        <v>44649</v>
      </c>
      <c r="C31" s="169">
        <v>100.24024737228989</v>
      </c>
      <c r="D31" s="169">
        <v>128.70213492494773</v>
      </c>
      <c r="E31" s="169">
        <f t="shared" si="1"/>
        <v>100.24024737228989</v>
      </c>
      <c r="F31" s="190" t="str">
        <f t="shared" si="0"/>
        <v/>
      </c>
      <c r="H31" t="str">
        <f t="shared" si="3"/>
        <v/>
      </c>
      <c r="I31" s="190" t="str">
        <f t="shared" si="2"/>
        <v/>
      </c>
    </row>
    <row r="32" spans="1:10">
      <c r="A32">
        <v>29</v>
      </c>
      <c r="B32" s="46">
        <v>44650</v>
      </c>
      <c r="C32" s="169">
        <v>77.083825651458611</v>
      </c>
      <c r="D32" s="169">
        <v>128.70213492494773</v>
      </c>
      <c r="E32" s="169">
        <f t="shared" si="1"/>
        <v>77.083825651458611</v>
      </c>
      <c r="F32" s="190" t="str">
        <f t="shared" si="0"/>
        <v/>
      </c>
      <c r="H32" t="str">
        <f t="shared" si="3"/>
        <v/>
      </c>
      <c r="I32" s="190" t="str">
        <f t="shared" si="2"/>
        <v/>
      </c>
    </row>
    <row r="33" spans="1:9">
      <c r="A33">
        <v>30</v>
      </c>
      <c r="B33" s="46">
        <v>44651</v>
      </c>
      <c r="C33" s="169">
        <v>78.783568207456753</v>
      </c>
      <c r="D33" s="169">
        <v>128.70213492494773</v>
      </c>
      <c r="E33" s="169">
        <f t="shared" si="1"/>
        <v>78.783568207456753</v>
      </c>
      <c r="F33" s="190" t="str">
        <f t="shared" si="0"/>
        <v/>
      </c>
      <c r="H33" t="str">
        <f t="shared" si="3"/>
        <v/>
      </c>
      <c r="I33" s="190" t="str">
        <f t="shared" si="2"/>
        <v/>
      </c>
    </row>
    <row r="34" spans="1:9">
      <c r="A34">
        <v>31</v>
      </c>
      <c r="B34" s="46">
        <v>44652</v>
      </c>
      <c r="C34" s="169">
        <v>79.621652601457697</v>
      </c>
      <c r="D34" s="169">
        <v>125.24455872987446</v>
      </c>
      <c r="E34" s="169">
        <f t="shared" si="1"/>
        <v>79.621652601457697</v>
      </c>
      <c r="F34" s="190" t="str">
        <f t="shared" si="0"/>
        <v/>
      </c>
      <c r="H34" t="str">
        <f t="shared" si="3"/>
        <v/>
      </c>
      <c r="I34" s="190" t="str">
        <f t="shared" si="2"/>
        <v/>
      </c>
    </row>
    <row r="35" spans="1:9">
      <c r="A35">
        <v>32</v>
      </c>
      <c r="B35" s="46">
        <v>44653</v>
      </c>
      <c r="C35" s="169">
        <v>63.652071265456755</v>
      </c>
      <c r="D35" s="169">
        <v>125.24455872987446</v>
      </c>
      <c r="E35" s="169">
        <f t="shared" si="1"/>
        <v>63.652071265456755</v>
      </c>
      <c r="F35" s="190" t="str">
        <f t="shared" si="0"/>
        <v/>
      </c>
      <c r="H35" t="str">
        <f t="shared" si="3"/>
        <v/>
      </c>
      <c r="I35" s="190" t="str">
        <f t="shared" si="2"/>
        <v/>
      </c>
    </row>
    <row r="36" spans="1:9">
      <c r="A36">
        <v>33</v>
      </c>
      <c r="B36" s="46">
        <v>44654</v>
      </c>
      <c r="C36" s="169">
        <v>52.926250857457688</v>
      </c>
      <c r="D36" s="169">
        <v>125.24455872987446</v>
      </c>
      <c r="E36" s="169">
        <f t="shared" si="1"/>
        <v>52.926250857457688</v>
      </c>
      <c r="F36" s="190" t="str">
        <f t="shared" si="0"/>
        <v/>
      </c>
      <c r="H36" t="str">
        <f t="shared" si="3"/>
        <v/>
      </c>
      <c r="I36" s="190" t="str">
        <f t="shared" si="2"/>
        <v/>
      </c>
    </row>
    <row r="37" spans="1:9">
      <c r="A37">
        <v>34</v>
      </c>
      <c r="B37" s="46">
        <v>44655</v>
      </c>
      <c r="C37" s="169">
        <v>72.057024007457684</v>
      </c>
      <c r="D37" s="169">
        <v>125.24455872987446</v>
      </c>
      <c r="E37" s="169">
        <f t="shared" si="1"/>
        <v>72.057024007457684</v>
      </c>
      <c r="F37" s="190" t="str">
        <f t="shared" si="0"/>
        <v/>
      </c>
      <c r="H37" t="str">
        <f t="shared" si="3"/>
        <v/>
      </c>
      <c r="I37" s="190" t="str">
        <f t="shared" si="2"/>
        <v/>
      </c>
    </row>
    <row r="38" spans="1:9">
      <c r="A38">
        <v>35</v>
      </c>
      <c r="B38" s="46">
        <v>44656</v>
      </c>
      <c r="C38" s="169">
        <v>96.13378803145676</v>
      </c>
      <c r="D38" s="169">
        <v>125.24455872987446</v>
      </c>
      <c r="E38" s="169">
        <f t="shared" si="1"/>
        <v>96.13378803145676</v>
      </c>
      <c r="F38" s="190" t="str">
        <f t="shared" si="0"/>
        <v/>
      </c>
      <c r="H38" t="str">
        <f t="shared" si="3"/>
        <v/>
      </c>
      <c r="I38" s="190" t="str">
        <f t="shared" si="2"/>
        <v/>
      </c>
    </row>
    <row r="39" spans="1:9">
      <c r="A39">
        <v>36</v>
      </c>
      <c r="B39" s="46">
        <v>44657</v>
      </c>
      <c r="C39" s="169">
        <v>76.231480753457234</v>
      </c>
      <c r="D39" s="169">
        <v>125.24455872987446</v>
      </c>
      <c r="E39" s="169">
        <f t="shared" si="1"/>
        <v>76.231480753457234</v>
      </c>
      <c r="F39" s="190" t="str">
        <f t="shared" si="0"/>
        <v/>
      </c>
      <c r="H39" t="str">
        <f t="shared" si="3"/>
        <v/>
      </c>
      <c r="I39" s="190" t="str">
        <f t="shared" si="2"/>
        <v/>
      </c>
    </row>
    <row r="40" spans="1:9">
      <c r="A40">
        <v>37</v>
      </c>
      <c r="B40" s="46">
        <v>44658</v>
      </c>
      <c r="C40" s="169">
        <v>56.790206899457232</v>
      </c>
      <c r="D40" s="169">
        <v>125.24455872987446</v>
      </c>
      <c r="E40" s="169">
        <f t="shared" si="1"/>
        <v>56.790206899457232</v>
      </c>
      <c r="F40" s="190" t="str">
        <f t="shared" si="0"/>
        <v/>
      </c>
      <c r="H40" t="str">
        <f t="shared" si="3"/>
        <v/>
      </c>
      <c r="I40" s="190" t="str">
        <f t="shared" si="2"/>
        <v/>
      </c>
    </row>
    <row r="41" spans="1:9">
      <c r="A41">
        <v>38</v>
      </c>
      <c r="B41" s="46">
        <v>44659</v>
      </c>
      <c r="C41" s="169">
        <v>53.223992833460024</v>
      </c>
      <c r="D41" s="169">
        <v>125.24455872987446</v>
      </c>
      <c r="E41" s="169">
        <f t="shared" si="1"/>
        <v>53.223992833460024</v>
      </c>
      <c r="F41" s="190" t="str">
        <f t="shared" si="0"/>
        <v/>
      </c>
      <c r="H41" t="str">
        <f t="shared" si="3"/>
        <v/>
      </c>
      <c r="I41" s="190" t="str">
        <f t="shared" si="2"/>
        <v/>
      </c>
    </row>
    <row r="42" spans="1:9">
      <c r="A42">
        <v>39</v>
      </c>
      <c r="B42" s="46">
        <v>44660</v>
      </c>
      <c r="C42" s="169">
        <v>70.652818067457233</v>
      </c>
      <c r="D42" s="169">
        <v>125.24455872987446</v>
      </c>
      <c r="E42" s="169">
        <f t="shared" si="1"/>
        <v>70.652818067457233</v>
      </c>
      <c r="F42" s="190" t="str">
        <f t="shared" si="0"/>
        <v/>
      </c>
      <c r="H42" t="str">
        <f t="shared" si="3"/>
        <v/>
      </c>
      <c r="I42" s="190" t="str">
        <f t="shared" si="2"/>
        <v/>
      </c>
    </row>
    <row r="43" spans="1:9">
      <c r="A43">
        <v>40</v>
      </c>
      <c r="B43" s="46">
        <v>44661</v>
      </c>
      <c r="C43" s="169">
        <v>40.918056189456301</v>
      </c>
      <c r="D43" s="169">
        <v>125.24455872987446</v>
      </c>
      <c r="E43" s="169">
        <f t="shared" si="1"/>
        <v>40.918056189456301</v>
      </c>
      <c r="F43" s="190" t="str">
        <f t="shared" si="0"/>
        <v/>
      </c>
      <c r="H43" t="str">
        <f t="shared" si="3"/>
        <v/>
      </c>
      <c r="I43" s="190" t="str">
        <f t="shared" si="2"/>
        <v/>
      </c>
    </row>
    <row r="44" spans="1:9">
      <c r="A44">
        <v>41</v>
      </c>
      <c r="B44" s="46">
        <v>44662</v>
      </c>
      <c r="C44" s="169">
        <v>46.868316089458169</v>
      </c>
      <c r="D44" s="169">
        <v>125.24455872987446</v>
      </c>
      <c r="E44" s="169">
        <f t="shared" si="1"/>
        <v>46.868316089458169</v>
      </c>
      <c r="F44" s="190" t="str">
        <f t="shared" si="0"/>
        <v/>
      </c>
      <c r="H44" t="str">
        <f t="shared" si="3"/>
        <v/>
      </c>
      <c r="I44" s="190" t="str">
        <f t="shared" si="2"/>
        <v/>
      </c>
    </row>
    <row r="45" spans="1:9">
      <c r="A45">
        <v>42</v>
      </c>
      <c r="B45" s="46">
        <v>44663</v>
      </c>
      <c r="C45" s="169">
        <v>73.202432325457238</v>
      </c>
      <c r="D45" s="169">
        <v>125.24455872987446</v>
      </c>
      <c r="E45" s="169">
        <f t="shared" si="1"/>
        <v>73.202432325457238</v>
      </c>
      <c r="F45" s="190" t="str">
        <f t="shared" si="0"/>
        <v/>
      </c>
      <c r="H45" t="str">
        <f t="shared" si="3"/>
        <v/>
      </c>
      <c r="I45" s="190" t="str">
        <f t="shared" si="2"/>
        <v/>
      </c>
    </row>
    <row r="46" spans="1:9">
      <c r="A46">
        <v>43</v>
      </c>
      <c r="B46" s="46">
        <v>44664</v>
      </c>
      <c r="C46" s="169">
        <v>97.029967481449177</v>
      </c>
      <c r="D46" s="169">
        <v>125.24455872987446</v>
      </c>
      <c r="E46" s="169">
        <f t="shared" si="1"/>
        <v>97.029967481449177</v>
      </c>
      <c r="F46" s="190" t="str">
        <f t="shared" si="0"/>
        <v/>
      </c>
      <c r="H46" t="str">
        <f t="shared" si="3"/>
        <v/>
      </c>
      <c r="I46" s="190" t="str">
        <f t="shared" si="2"/>
        <v/>
      </c>
    </row>
    <row r="47" spans="1:9">
      <c r="A47">
        <v>44</v>
      </c>
      <c r="B47" s="46">
        <v>44665</v>
      </c>
      <c r="C47" s="169">
        <v>81.191819453449156</v>
      </c>
      <c r="D47" s="169">
        <v>125.24455872987446</v>
      </c>
      <c r="E47" s="169">
        <f t="shared" si="1"/>
        <v>81.191819453449156</v>
      </c>
      <c r="F47" s="190" t="str">
        <f t="shared" si="0"/>
        <v/>
      </c>
      <c r="H47" t="str">
        <f t="shared" si="3"/>
        <v/>
      </c>
      <c r="I47" s="190" t="str">
        <f t="shared" si="2"/>
        <v/>
      </c>
    </row>
    <row r="48" spans="1:9">
      <c r="A48">
        <v>45</v>
      </c>
      <c r="B48" s="46">
        <v>44666</v>
      </c>
      <c r="C48" s="169">
        <v>74.553324233448251</v>
      </c>
      <c r="D48" s="169">
        <v>125.24455872987446</v>
      </c>
      <c r="E48" s="169">
        <f t="shared" si="1"/>
        <v>74.553324233448251</v>
      </c>
      <c r="F48" s="190" t="str">
        <f t="shared" ref="F48" si="4">IF(DAY(B48)=15,IF(MONTH(B48)=1,"E",IF(MONTH(B48)=2,"F",IF(MONTH(B48)=3,"M",IF(MONTH(B48)=4,"A",IF(MONTH(B48)=5,"M",IF(MONTH(B48)=6,"J",IF(MONTH(B48)=7,"J",IF(MONTH(B48)=8,"A",IF(MONTH(B48)=9,"S",IF(MONTH(B48)=10,"O",IF(MONTH(B48)=11,"N",IF(MONTH(B48)=12,"D","")))))))))))),"")</f>
        <v>A</v>
      </c>
      <c r="G48" s="191">
        <f>IF(DAY(B48)=15,D48,"")</f>
        <v>125.24455872987446</v>
      </c>
      <c r="H48" t="str">
        <f t="shared" si="3"/>
        <v/>
      </c>
      <c r="I48" s="190" t="str">
        <f t="shared" si="2"/>
        <v>A</v>
      </c>
    </row>
    <row r="49" spans="1:9">
      <c r="A49">
        <v>46</v>
      </c>
      <c r="B49" s="46">
        <v>44667</v>
      </c>
      <c r="C49" s="169">
        <v>65.376347637449172</v>
      </c>
      <c r="D49" s="169">
        <v>125.24455872987446</v>
      </c>
      <c r="E49" s="169">
        <f t="shared" si="1"/>
        <v>65.376347637449172</v>
      </c>
      <c r="F49" s="190" t="str">
        <f t="shared" si="0"/>
        <v/>
      </c>
      <c r="H49" t="str">
        <f t="shared" si="3"/>
        <v/>
      </c>
      <c r="I49" s="190" t="str">
        <f t="shared" si="2"/>
        <v/>
      </c>
    </row>
    <row r="50" spans="1:9">
      <c r="A50">
        <v>47</v>
      </c>
      <c r="B50" s="46">
        <v>44668</v>
      </c>
      <c r="C50" s="169">
        <v>72.665358119449166</v>
      </c>
      <c r="D50" s="169">
        <v>125.24455872987446</v>
      </c>
      <c r="E50" s="169">
        <f t="shared" si="1"/>
        <v>72.665358119449166</v>
      </c>
      <c r="F50" s="190" t="str">
        <f t="shared" si="0"/>
        <v/>
      </c>
      <c r="H50" t="str">
        <f t="shared" si="3"/>
        <v/>
      </c>
      <c r="I50" s="190" t="str">
        <f t="shared" si="2"/>
        <v/>
      </c>
    </row>
    <row r="51" spans="1:9">
      <c r="A51">
        <v>48</v>
      </c>
      <c r="B51" s="46">
        <v>44669</v>
      </c>
      <c r="C51" s="169">
        <v>79.34810926944823</v>
      </c>
      <c r="D51" s="169">
        <v>125.24455872987446</v>
      </c>
      <c r="E51" s="169">
        <f t="shared" si="1"/>
        <v>79.34810926944823</v>
      </c>
      <c r="F51" s="190" t="str">
        <f t="shared" si="0"/>
        <v/>
      </c>
      <c r="H51" t="str">
        <f t="shared" si="3"/>
        <v/>
      </c>
      <c r="I51" s="190" t="str">
        <f t="shared" si="2"/>
        <v/>
      </c>
    </row>
    <row r="52" spans="1:9">
      <c r="A52">
        <v>49</v>
      </c>
      <c r="B52" s="46">
        <v>44670</v>
      </c>
      <c r="C52" s="169">
        <v>82.780507059450102</v>
      </c>
      <c r="D52" s="169">
        <v>125.24455872987446</v>
      </c>
      <c r="E52" s="169">
        <f t="shared" si="1"/>
        <v>82.780507059450102</v>
      </c>
      <c r="F52" s="190" t="str">
        <f t="shared" si="0"/>
        <v/>
      </c>
      <c r="H52" t="str">
        <f t="shared" si="3"/>
        <v/>
      </c>
      <c r="I52" s="190" t="str">
        <f t="shared" si="2"/>
        <v/>
      </c>
    </row>
    <row r="53" spans="1:9">
      <c r="A53">
        <v>50</v>
      </c>
      <c r="B53" s="46">
        <v>44671</v>
      </c>
      <c r="C53" s="169">
        <v>91.179375421669945</v>
      </c>
      <c r="D53" s="169">
        <v>125.24455872987446</v>
      </c>
      <c r="E53" s="169">
        <f t="shared" si="1"/>
        <v>91.179375421669945</v>
      </c>
      <c r="F53" s="190" t="str">
        <f t="shared" si="0"/>
        <v/>
      </c>
      <c r="H53" t="str">
        <f t="shared" si="3"/>
        <v/>
      </c>
      <c r="I53" s="190" t="str">
        <f t="shared" si="2"/>
        <v/>
      </c>
    </row>
    <row r="54" spans="1:9">
      <c r="A54">
        <v>51</v>
      </c>
      <c r="B54" s="46">
        <v>44672</v>
      </c>
      <c r="C54" s="169">
        <v>107.24645708966996</v>
      </c>
      <c r="D54" s="169">
        <v>125.24455872987446</v>
      </c>
      <c r="E54" s="169">
        <f t="shared" si="1"/>
        <v>107.24645708966996</v>
      </c>
      <c r="F54" s="190" t="str">
        <f t="shared" si="0"/>
        <v/>
      </c>
      <c r="H54" t="str">
        <f t="shared" si="3"/>
        <v/>
      </c>
      <c r="I54" s="190" t="str">
        <f t="shared" si="2"/>
        <v/>
      </c>
    </row>
    <row r="55" spans="1:9">
      <c r="A55">
        <v>52</v>
      </c>
      <c r="B55" s="46">
        <v>44673</v>
      </c>
      <c r="C55" s="169">
        <v>109.59587319367088</v>
      </c>
      <c r="D55" s="169">
        <v>125.24455872987446</v>
      </c>
      <c r="E55" s="169">
        <f t="shared" si="1"/>
        <v>109.59587319367088</v>
      </c>
      <c r="F55" s="190" t="str">
        <f t="shared" si="0"/>
        <v/>
      </c>
      <c r="H55" t="str">
        <f t="shared" si="3"/>
        <v/>
      </c>
      <c r="I55" s="190" t="str">
        <f t="shared" si="2"/>
        <v/>
      </c>
    </row>
    <row r="56" spans="1:9">
      <c r="A56">
        <v>53</v>
      </c>
      <c r="B56" s="46">
        <v>44674</v>
      </c>
      <c r="C56" s="169">
        <v>79.516294011670894</v>
      </c>
      <c r="D56" s="169">
        <v>125.24455872987446</v>
      </c>
      <c r="E56" s="169">
        <f t="shared" si="1"/>
        <v>79.516294011670894</v>
      </c>
      <c r="F56" s="190" t="str">
        <f t="shared" si="0"/>
        <v/>
      </c>
      <c r="H56" t="str">
        <f t="shared" si="3"/>
        <v/>
      </c>
      <c r="I56" s="190" t="str">
        <f t="shared" si="2"/>
        <v/>
      </c>
    </row>
    <row r="57" spans="1:9">
      <c r="A57">
        <v>54</v>
      </c>
      <c r="B57" s="46">
        <v>44675</v>
      </c>
      <c r="C57" s="169">
        <v>91.745059781669966</v>
      </c>
      <c r="D57" s="169">
        <v>125.24455872987446</v>
      </c>
      <c r="E57" s="169">
        <f t="shared" si="1"/>
        <v>91.745059781669966</v>
      </c>
      <c r="F57" s="190" t="str">
        <f t="shared" si="0"/>
        <v/>
      </c>
      <c r="H57" t="str">
        <f t="shared" si="3"/>
        <v/>
      </c>
      <c r="I57" s="190" t="str">
        <f t="shared" si="2"/>
        <v/>
      </c>
    </row>
    <row r="58" spans="1:9">
      <c r="A58">
        <v>55</v>
      </c>
      <c r="B58" s="46">
        <v>44676</v>
      </c>
      <c r="C58" s="169">
        <v>101.44792483766902</v>
      </c>
      <c r="D58" s="169">
        <v>125.24455872987446</v>
      </c>
      <c r="E58" s="169">
        <f t="shared" si="1"/>
        <v>101.44792483766902</v>
      </c>
      <c r="F58" s="190" t="str">
        <f t="shared" si="0"/>
        <v/>
      </c>
      <c r="H58" t="str">
        <f t="shared" si="3"/>
        <v/>
      </c>
      <c r="I58" s="190" t="str">
        <f t="shared" si="2"/>
        <v/>
      </c>
    </row>
    <row r="59" spans="1:9">
      <c r="A59">
        <v>56</v>
      </c>
      <c r="B59" s="46">
        <v>44677</v>
      </c>
      <c r="C59" s="169">
        <v>104.48264529367088</v>
      </c>
      <c r="D59" s="169">
        <v>125.24455872987446</v>
      </c>
      <c r="E59" s="169">
        <f t="shared" si="1"/>
        <v>104.48264529367088</v>
      </c>
      <c r="F59" s="190" t="str">
        <f t="shared" si="0"/>
        <v/>
      </c>
      <c r="H59" t="str">
        <f t="shared" si="3"/>
        <v/>
      </c>
      <c r="I59" s="190" t="str">
        <f t="shared" si="2"/>
        <v/>
      </c>
    </row>
    <row r="60" spans="1:9">
      <c r="A60">
        <v>57</v>
      </c>
      <c r="B60" s="46">
        <v>44678</v>
      </c>
      <c r="C60" s="169">
        <v>99.326831420552693</v>
      </c>
      <c r="D60" s="169">
        <v>125.24455872987446</v>
      </c>
      <c r="E60" s="169">
        <f t="shared" si="1"/>
        <v>99.326831420552693</v>
      </c>
      <c r="F60" s="190" t="str">
        <f t="shared" si="0"/>
        <v/>
      </c>
      <c r="H60" t="str">
        <f t="shared" si="3"/>
        <v/>
      </c>
      <c r="I60" s="190" t="str">
        <f t="shared" si="2"/>
        <v/>
      </c>
    </row>
    <row r="61" spans="1:9">
      <c r="A61">
        <v>58</v>
      </c>
      <c r="B61" s="46">
        <v>44679</v>
      </c>
      <c r="C61" s="169">
        <v>114.03566418455084</v>
      </c>
      <c r="D61" s="169">
        <v>125.24455872987446</v>
      </c>
      <c r="E61" s="169">
        <f t="shared" si="1"/>
        <v>114.03566418455084</v>
      </c>
      <c r="F61" s="190" t="str">
        <f t="shared" si="0"/>
        <v/>
      </c>
      <c r="H61" t="str">
        <f t="shared" si="3"/>
        <v/>
      </c>
      <c r="I61" s="190" t="str">
        <f t="shared" si="2"/>
        <v/>
      </c>
    </row>
    <row r="62" spans="1:9">
      <c r="A62">
        <v>59</v>
      </c>
      <c r="B62" s="46">
        <v>44680</v>
      </c>
      <c r="C62" s="169">
        <v>117.81579688055271</v>
      </c>
      <c r="D62" s="169">
        <v>125.24455872987446</v>
      </c>
      <c r="E62" s="169">
        <f t="shared" si="1"/>
        <v>117.81579688055271</v>
      </c>
      <c r="F62" s="190" t="str">
        <f t="shared" si="0"/>
        <v/>
      </c>
      <c r="H62" t="str">
        <f t="shared" si="3"/>
        <v/>
      </c>
      <c r="I62" s="190" t="str">
        <f t="shared" si="2"/>
        <v/>
      </c>
    </row>
    <row r="63" spans="1:9">
      <c r="A63">
        <v>60</v>
      </c>
      <c r="B63" s="46">
        <v>44681</v>
      </c>
      <c r="C63" s="169">
        <v>104.73164693055364</v>
      </c>
      <c r="D63" s="169">
        <v>125.24455872987446</v>
      </c>
      <c r="E63" s="169">
        <f t="shared" si="1"/>
        <v>104.73164693055364</v>
      </c>
      <c r="F63" s="190" t="str">
        <f t="shared" si="0"/>
        <v/>
      </c>
      <c r="H63" t="str">
        <f t="shared" si="3"/>
        <v/>
      </c>
      <c r="I63" s="190" t="str">
        <f t="shared" si="2"/>
        <v/>
      </c>
    </row>
    <row r="64" spans="1:9">
      <c r="A64">
        <v>61</v>
      </c>
      <c r="B64" s="46">
        <v>44682</v>
      </c>
      <c r="C64" s="169">
        <v>83.156359126549916</v>
      </c>
      <c r="D64" s="169">
        <v>99.174715760964361</v>
      </c>
      <c r="E64" s="169">
        <f t="shared" si="1"/>
        <v>83.156359126549916</v>
      </c>
      <c r="F64" s="190" t="str">
        <f t="shared" si="0"/>
        <v/>
      </c>
      <c r="H64" t="str">
        <f t="shared" si="3"/>
        <v/>
      </c>
      <c r="I64" s="190" t="str">
        <f t="shared" si="2"/>
        <v/>
      </c>
    </row>
    <row r="65" spans="1:9">
      <c r="A65">
        <v>62</v>
      </c>
      <c r="B65" s="46">
        <v>44683</v>
      </c>
      <c r="C65" s="169">
        <v>91.21433605255362</v>
      </c>
      <c r="D65" s="169">
        <v>99.174715760964361</v>
      </c>
      <c r="E65" s="169">
        <f t="shared" si="1"/>
        <v>91.21433605255362</v>
      </c>
      <c r="F65" s="190" t="str">
        <f t="shared" si="0"/>
        <v/>
      </c>
      <c r="H65" t="str">
        <f t="shared" si="3"/>
        <v/>
      </c>
      <c r="I65" s="190" t="str">
        <f t="shared" si="2"/>
        <v/>
      </c>
    </row>
    <row r="66" spans="1:9">
      <c r="A66">
        <v>63</v>
      </c>
      <c r="B66" s="46">
        <v>44684</v>
      </c>
      <c r="C66" s="169">
        <v>111.0449889485527</v>
      </c>
      <c r="D66" s="169">
        <v>99.174715760964361</v>
      </c>
      <c r="E66" s="169">
        <f t="shared" si="1"/>
        <v>99.174715760964361</v>
      </c>
      <c r="F66" s="190" t="str">
        <f t="shared" si="0"/>
        <v/>
      </c>
      <c r="H66" t="str">
        <f t="shared" si="3"/>
        <v/>
      </c>
      <c r="I66" s="190" t="str">
        <f t="shared" si="2"/>
        <v/>
      </c>
    </row>
    <row r="67" spans="1:9">
      <c r="A67">
        <v>64</v>
      </c>
      <c r="B67" s="46">
        <v>44685</v>
      </c>
      <c r="C67" s="169">
        <v>107.26813197630744</v>
      </c>
      <c r="D67" s="169">
        <v>99.174715760964361</v>
      </c>
      <c r="E67" s="169">
        <f t="shared" si="1"/>
        <v>99.174715760964361</v>
      </c>
      <c r="F67" s="190" t="str">
        <f t="shared" ref="F67:F130" si="5">IF(DAY(B67)=15,IF(MONTH(B67)=1,"E",IF(MONTH(B67)=2,"F",IF(MONTH(B67)=3,"M",IF(MONTH(B67)=4,"A",IF(MONTH(B67)=5,"M",IF(MONTH(B67)=6,"J",IF(MONTH(B67)=7,"J",IF(MONTH(B67)=8,"A",IF(MONTH(B67)=9,"S",IF(MONTH(B67)=10,"O",IF(MONTH(B67)=11,"N",IF(MONTH(B67)=12,"D","")))))))))))),"")</f>
        <v/>
      </c>
      <c r="H67" t="str">
        <f t="shared" si="3"/>
        <v/>
      </c>
      <c r="I67" s="190" t="str">
        <f t="shared" si="2"/>
        <v/>
      </c>
    </row>
    <row r="68" spans="1:9">
      <c r="A68">
        <v>65</v>
      </c>
      <c r="B68" s="46">
        <v>44686</v>
      </c>
      <c r="C68" s="169">
        <v>86.8020471523065</v>
      </c>
      <c r="D68" s="169">
        <v>99.174715760964361</v>
      </c>
      <c r="E68" s="169">
        <f t="shared" ref="E68:E131" si="6">IF(C68&lt;D68,C68,D68)</f>
        <v>86.8020471523065</v>
      </c>
      <c r="F68" s="190" t="str">
        <f t="shared" si="5"/>
        <v/>
      </c>
      <c r="H68" t="str">
        <f t="shared" si="3"/>
        <v/>
      </c>
      <c r="I68" s="190" t="str">
        <f t="shared" ref="I68:I131" si="7">IF(DAY(B68)=15,IF(MONTH(B68)=1,"E",IF(MONTH(B68)=2,"F",IF(MONTH(B68)=3,"M",IF(MONTH(B68)=4,"A",IF(MONTH(B68)=5,"M",IF(MONTH(B68)=6,"J",IF(MONTH(B68)=7,"J",IF(MONTH(B68)=8,"A",IF(MONTH(B68)=9,"S",IF(MONTH(B68)=10,"O",IF(MONTH(B68)=11,"N",IF(MONTH(B68)=12,"D","")))))))))))),"")</f>
        <v/>
      </c>
    </row>
    <row r="69" spans="1:9">
      <c r="A69">
        <v>66</v>
      </c>
      <c r="B69" s="46">
        <v>44687</v>
      </c>
      <c r="C69" s="169">
        <v>69.103522436307443</v>
      </c>
      <c r="D69" s="169">
        <v>99.174715760964361</v>
      </c>
      <c r="E69" s="169">
        <f t="shared" si="6"/>
        <v>69.103522436307443</v>
      </c>
      <c r="F69" s="190" t="str">
        <f t="shared" si="5"/>
        <v/>
      </c>
      <c r="H69" t="str">
        <f t="shared" ref="H69:H132" si="8">IF(MONTH(B69)=1,IF(DAY(B69)=1,YEAR(B69),""),"")</f>
        <v/>
      </c>
      <c r="I69" s="190" t="str">
        <f t="shared" si="7"/>
        <v/>
      </c>
    </row>
    <row r="70" spans="1:9">
      <c r="A70">
        <v>67</v>
      </c>
      <c r="B70" s="46">
        <v>44688</v>
      </c>
      <c r="C70" s="169">
        <v>72.622806806305576</v>
      </c>
      <c r="D70" s="169">
        <v>99.174715760964361</v>
      </c>
      <c r="E70" s="169">
        <f t="shared" si="6"/>
        <v>72.622806806305576</v>
      </c>
      <c r="F70" s="190" t="str">
        <f t="shared" si="5"/>
        <v/>
      </c>
      <c r="H70" t="str">
        <f t="shared" si="8"/>
        <v/>
      </c>
      <c r="I70" s="190" t="str">
        <f t="shared" si="7"/>
        <v/>
      </c>
    </row>
    <row r="71" spans="1:9">
      <c r="A71">
        <v>68</v>
      </c>
      <c r="B71" s="46">
        <v>44689</v>
      </c>
      <c r="C71" s="169">
        <v>64.835992066308364</v>
      </c>
      <c r="D71" s="169">
        <v>99.174715760964361</v>
      </c>
      <c r="E71" s="169">
        <f t="shared" si="6"/>
        <v>64.835992066308364</v>
      </c>
      <c r="F71" s="190" t="str">
        <f t="shared" si="5"/>
        <v/>
      </c>
      <c r="H71" t="str">
        <f t="shared" si="8"/>
        <v/>
      </c>
      <c r="I71" s="190" t="str">
        <f t="shared" si="7"/>
        <v/>
      </c>
    </row>
    <row r="72" spans="1:9">
      <c r="A72">
        <v>69</v>
      </c>
      <c r="B72" s="46">
        <v>44690</v>
      </c>
      <c r="C72" s="169">
        <v>79.258509340306517</v>
      </c>
      <c r="D72" s="169">
        <v>99.174715760964361</v>
      </c>
      <c r="E72" s="169">
        <f t="shared" si="6"/>
        <v>79.258509340306517</v>
      </c>
      <c r="F72" s="190" t="str">
        <f t="shared" si="5"/>
        <v/>
      </c>
      <c r="H72" t="str">
        <f t="shared" si="8"/>
        <v/>
      </c>
      <c r="I72" s="190" t="str">
        <f t="shared" si="7"/>
        <v/>
      </c>
    </row>
    <row r="73" spans="1:9">
      <c r="A73">
        <v>70</v>
      </c>
      <c r="B73" s="46">
        <v>44691</v>
      </c>
      <c r="C73" s="169">
        <v>83.370523604307436</v>
      </c>
      <c r="D73" s="169">
        <v>99.174715760964361</v>
      </c>
      <c r="E73" s="169">
        <f t="shared" si="6"/>
        <v>83.370523604307436</v>
      </c>
      <c r="F73" s="190" t="str">
        <f t="shared" si="5"/>
        <v/>
      </c>
      <c r="H73" t="str">
        <f t="shared" si="8"/>
        <v/>
      </c>
      <c r="I73" s="190" t="str">
        <f t="shared" si="7"/>
        <v/>
      </c>
    </row>
    <row r="74" spans="1:9">
      <c r="A74">
        <v>71</v>
      </c>
      <c r="B74" s="46">
        <v>44692</v>
      </c>
      <c r="C74" s="169">
        <v>64.487095028005015</v>
      </c>
      <c r="D74" s="169">
        <v>99.174715760964361</v>
      </c>
      <c r="E74" s="169">
        <f t="shared" si="6"/>
        <v>64.487095028005015</v>
      </c>
      <c r="F74" s="190" t="str">
        <f t="shared" si="5"/>
        <v/>
      </c>
      <c r="H74" t="str">
        <f t="shared" si="8"/>
        <v/>
      </c>
      <c r="I74" s="190" t="str">
        <f t="shared" si="7"/>
        <v/>
      </c>
    </row>
    <row r="75" spans="1:9">
      <c r="A75">
        <v>72</v>
      </c>
      <c r="B75" s="46">
        <v>44693</v>
      </c>
      <c r="C75" s="169">
        <v>54.860505084005958</v>
      </c>
      <c r="D75" s="169">
        <v>99.174715760964361</v>
      </c>
      <c r="E75" s="169">
        <f t="shared" si="6"/>
        <v>54.860505084005958</v>
      </c>
      <c r="F75" s="190" t="str">
        <f t="shared" si="5"/>
        <v/>
      </c>
      <c r="H75" t="str">
        <f t="shared" si="8"/>
        <v/>
      </c>
      <c r="I75" s="190" t="str">
        <f t="shared" si="7"/>
        <v/>
      </c>
    </row>
    <row r="76" spans="1:9">
      <c r="A76">
        <v>73</v>
      </c>
      <c r="B76" s="46">
        <v>44694</v>
      </c>
      <c r="C76" s="169">
        <v>61.607467572005014</v>
      </c>
      <c r="D76" s="169">
        <v>99.174715760964361</v>
      </c>
      <c r="E76" s="169">
        <f t="shared" si="6"/>
        <v>61.607467572005014</v>
      </c>
      <c r="F76" s="190" t="str">
        <f t="shared" si="5"/>
        <v/>
      </c>
      <c r="H76" t="str">
        <f t="shared" si="8"/>
        <v/>
      </c>
      <c r="I76" s="190" t="str">
        <f t="shared" si="7"/>
        <v/>
      </c>
    </row>
    <row r="77" spans="1:9">
      <c r="A77">
        <v>74</v>
      </c>
      <c r="B77" s="46">
        <v>44695</v>
      </c>
      <c r="C77" s="169">
        <v>40.143651944004084</v>
      </c>
      <c r="D77" s="169">
        <v>99.174715760964361</v>
      </c>
      <c r="E77" s="169">
        <f t="shared" si="6"/>
        <v>40.143651944004084</v>
      </c>
      <c r="F77" s="190" t="str">
        <f t="shared" si="5"/>
        <v/>
      </c>
      <c r="H77" t="str">
        <f t="shared" si="8"/>
        <v/>
      </c>
      <c r="I77" s="190" t="str">
        <f t="shared" si="7"/>
        <v/>
      </c>
    </row>
    <row r="78" spans="1:9">
      <c r="A78">
        <v>75</v>
      </c>
      <c r="B78" s="46">
        <v>44696</v>
      </c>
      <c r="C78" s="169">
        <v>39.209505080005947</v>
      </c>
      <c r="D78" s="169">
        <v>99.174715760964361</v>
      </c>
      <c r="E78" s="169">
        <f t="shared" si="6"/>
        <v>39.209505080005947</v>
      </c>
      <c r="F78" s="190" t="str">
        <f t="shared" si="5"/>
        <v>M</v>
      </c>
      <c r="G78" s="191">
        <f>IF(DAY(B78)=15,D78,"")</f>
        <v>99.174715760964361</v>
      </c>
      <c r="H78" t="str">
        <f t="shared" si="8"/>
        <v/>
      </c>
      <c r="I78" s="190" t="str">
        <f t="shared" si="7"/>
        <v>M</v>
      </c>
    </row>
    <row r="79" spans="1:9">
      <c r="A79">
        <v>76</v>
      </c>
      <c r="B79" s="46">
        <v>44697</v>
      </c>
      <c r="C79" s="169">
        <v>49.212794322006879</v>
      </c>
      <c r="D79" s="169">
        <v>99.174715760964361</v>
      </c>
      <c r="E79" s="169">
        <f t="shared" si="6"/>
        <v>49.212794322006879</v>
      </c>
      <c r="F79" s="190" t="str">
        <f t="shared" si="5"/>
        <v/>
      </c>
      <c r="H79" t="str">
        <f t="shared" si="8"/>
        <v/>
      </c>
      <c r="I79" s="190" t="str">
        <f t="shared" si="7"/>
        <v/>
      </c>
    </row>
    <row r="80" spans="1:9">
      <c r="A80">
        <v>77</v>
      </c>
      <c r="B80" s="46">
        <v>44698</v>
      </c>
      <c r="C80" s="169">
        <v>51.786156812005011</v>
      </c>
      <c r="D80" s="169">
        <v>99.174715760964361</v>
      </c>
      <c r="E80" s="169">
        <f t="shared" si="6"/>
        <v>51.786156812005011</v>
      </c>
      <c r="F80" s="190" t="str">
        <f t="shared" si="5"/>
        <v/>
      </c>
      <c r="H80" t="str">
        <f t="shared" si="8"/>
        <v/>
      </c>
      <c r="I80" s="190" t="str">
        <f t="shared" si="7"/>
        <v/>
      </c>
    </row>
    <row r="81" spans="1:9">
      <c r="A81">
        <v>78</v>
      </c>
      <c r="B81" s="46">
        <v>44699</v>
      </c>
      <c r="C81" s="169">
        <v>61.161129312259817</v>
      </c>
      <c r="D81" s="169">
        <v>99.174715760964361</v>
      </c>
      <c r="E81" s="169">
        <f t="shared" si="6"/>
        <v>61.161129312259817</v>
      </c>
      <c r="F81" s="190" t="str">
        <f t="shared" si="5"/>
        <v/>
      </c>
      <c r="H81" t="str">
        <f t="shared" si="8"/>
        <v/>
      </c>
      <c r="I81" s="190" t="str">
        <f t="shared" si="7"/>
        <v/>
      </c>
    </row>
    <row r="82" spans="1:9">
      <c r="A82">
        <v>79</v>
      </c>
      <c r="B82" s="46">
        <v>44700</v>
      </c>
      <c r="C82" s="169">
        <v>65.167090836259817</v>
      </c>
      <c r="D82" s="169">
        <v>99.174715760964361</v>
      </c>
      <c r="E82" s="169">
        <f t="shared" si="6"/>
        <v>65.167090836259817</v>
      </c>
      <c r="F82" s="190" t="str">
        <f t="shared" si="5"/>
        <v/>
      </c>
      <c r="H82" t="str">
        <f t="shared" si="8"/>
        <v/>
      </c>
      <c r="I82" s="190" t="str">
        <f t="shared" si="7"/>
        <v/>
      </c>
    </row>
    <row r="83" spans="1:9">
      <c r="A83">
        <v>80</v>
      </c>
      <c r="B83" s="46">
        <v>44701</v>
      </c>
      <c r="C83" s="169">
        <v>62.089040656260742</v>
      </c>
      <c r="D83" s="169">
        <v>99.174715760964361</v>
      </c>
      <c r="E83" s="169">
        <f t="shared" si="6"/>
        <v>62.089040656260742</v>
      </c>
      <c r="F83" s="190" t="str">
        <f t="shared" si="5"/>
        <v/>
      </c>
      <c r="H83" t="str">
        <f t="shared" si="8"/>
        <v/>
      </c>
      <c r="I83" s="190" t="str">
        <f t="shared" si="7"/>
        <v/>
      </c>
    </row>
    <row r="84" spans="1:9">
      <c r="A84">
        <v>81</v>
      </c>
      <c r="B84" s="46">
        <v>44702</v>
      </c>
      <c r="C84" s="169">
        <v>57.760507064259812</v>
      </c>
      <c r="D84" s="169">
        <v>99.174715760964361</v>
      </c>
      <c r="E84" s="169">
        <f t="shared" si="6"/>
        <v>57.760507064259812</v>
      </c>
      <c r="F84" s="190" t="str">
        <f t="shared" si="5"/>
        <v/>
      </c>
      <c r="H84" t="str">
        <f t="shared" si="8"/>
        <v/>
      </c>
      <c r="I84" s="190" t="str">
        <f t="shared" si="7"/>
        <v/>
      </c>
    </row>
    <row r="85" spans="1:9">
      <c r="A85">
        <v>82</v>
      </c>
      <c r="B85" s="46">
        <v>44703</v>
      </c>
      <c r="C85" s="169">
        <v>52.668547350260752</v>
      </c>
      <c r="D85" s="169">
        <v>99.174715760964361</v>
      </c>
      <c r="E85" s="169">
        <f t="shared" si="6"/>
        <v>52.668547350260752</v>
      </c>
      <c r="F85" s="190" t="str">
        <f t="shared" si="5"/>
        <v/>
      </c>
      <c r="H85" t="str">
        <f t="shared" si="8"/>
        <v/>
      </c>
      <c r="I85" s="190" t="str">
        <f t="shared" si="7"/>
        <v/>
      </c>
    </row>
    <row r="86" spans="1:9">
      <c r="A86">
        <v>83</v>
      </c>
      <c r="B86" s="46">
        <v>44704</v>
      </c>
      <c r="C86" s="169">
        <v>62.746090904259816</v>
      </c>
      <c r="D86" s="169">
        <v>99.174715760964361</v>
      </c>
      <c r="E86" s="169">
        <f t="shared" si="6"/>
        <v>62.746090904259816</v>
      </c>
      <c r="F86" s="190" t="str">
        <f t="shared" si="5"/>
        <v/>
      </c>
      <c r="H86" t="str">
        <f t="shared" si="8"/>
        <v/>
      </c>
      <c r="I86" s="190" t="str">
        <f t="shared" si="7"/>
        <v/>
      </c>
    </row>
    <row r="87" spans="1:9">
      <c r="A87">
        <v>84</v>
      </c>
      <c r="B87" s="46">
        <v>44705</v>
      </c>
      <c r="C87" s="169">
        <v>55.796363632261681</v>
      </c>
      <c r="D87" s="169">
        <v>99.174715760964361</v>
      </c>
      <c r="E87" s="169">
        <f t="shared" si="6"/>
        <v>55.796363632261681</v>
      </c>
      <c r="F87" s="190" t="str">
        <f t="shared" si="5"/>
        <v/>
      </c>
      <c r="H87" t="str">
        <f t="shared" si="8"/>
        <v/>
      </c>
      <c r="I87" s="190" t="str">
        <f t="shared" si="7"/>
        <v/>
      </c>
    </row>
    <row r="88" spans="1:9">
      <c r="A88">
        <v>85</v>
      </c>
      <c r="B88" s="46">
        <v>44706</v>
      </c>
      <c r="C88" s="169">
        <v>37.202491168886539</v>
      </c>
      <c r="D88" s="169">
        <v>99.174715760964361</v>
      </c>
      <c r="E88" s="169">
        <f t="shared" si="6"/>
        <v>37.202491168886539</v>
      </c>
      <c r="F88" s="190" t="str">
        <f t="shared" si="5"/>
        <v/>
      </c>
      <c r="H88" t="str">
        <f t="shared" si="8"/>
        <v/>
      </c>
      <c r="I88" s="190" t="str">
        <f t="shared" si="7"/>
        <v/>
      </c>
    </row>
    <row r="89" spans="1:9">
      <c r="A89">
        <v>86</v>
      </c>
      <c r="B89" s="46">
        <v>44707</v>
      </c>
      <c r="C89" s="169">
        <v>32.887609544888399</v>
      </c>
      <c r="D89" s="169">
        <v>99.174715760964361</v>
      </c>
      <c r="E89" s="169">
        <f t="shared" si="6"/>
        <v>32.887609544888399</v>
      </c>
      <c r="F89" s="190" t="str">
        <f t="shared" si="5"/>
        <v/>
      </c>
      <c r="H89" t="str">
        <f t="shared" si="8"/>
        <v/>
      </c>
      <c r="I89" s="190" t="str">
        <f t="shared" si="7"/>
        <v/>
      </c>
    </row>
    <row r="90" spans="1:9">
      <c r="A90">
        <v>87</v>
      </c>
      <c r="B90" s="46">
        <v>44708</v>
      </c>
      <c r="C90" s="169">
        <v>34.880052270888399</v>
      </c>
      <c r="D90" s="169">
        <v>99.174715760964361</v>
      </c>
      <c r="E90" s="169">
        <f t="shared" si="6"/>
        <v>34.880052270888399</v>
      </c>
      <c r="F90" s="190" t="str">
        <f t="shared" si="5"/>
        <v/>
      </c>
      <c r="H90" t="str">
        <f t="shared" si="8"/>
        <v/>
      </c>
      <c r="I90" s="190" t="str">
        <f t="shared" si="7"/>
        <v/>
      </c>
    </row>
    <row r="91" spans="1:9">
      <c r="A91">
        <v>88</v>
      </c>
      <c r="B91" s="46">
        <v>44709</v>
      </c>
      <c r="C91" s="169">
        <v>41.353239382888404</v>
      </c>
      <c r="D91" s="169">
        <v>99.174715760964361</v>
      </c>
      <c r="E91" s="169">
        <f t="shared" si="6"/>
        <v>41.353239382888404</v>
      </c>
      <c r="F91" s="190" t="str">
        <f t="shared" si="5"/>
        <v/>
      </c>
      <c r="H91" t="str">
        <f t="shared" si="8"/>
        <v/>
      </c>
      <c r="I91" s="190" t="str">
        <f t="shared" si="7"/>
        <v/>
      </c>
    </row>
    <row r="92" spans="1:9">
      <c r="A92">
        <v>89</v>
      </c>
      <c r="B92" s="46">
        <v>44710</v>
      </c>
      <c r="C92" s="169">
        <v>28.317300492888396</v>
      </c>
      <c r="D92" s="169">
        <v>99.174715760964361</v>
      </c>
      <c r="E92" s="169">
        <f t="shared" si="6"/>
        <v>28.317300492888396</v>
      </c>
      <c r="F92" s="190" t="str">
        <f t="shared" si="5"/>
        <v/>
      </c>
      <c r="H92" t="str">
        <f t="shared" si="8"/>
        <v/>
      </c>
      <c r="I92" s="190" t="str">
        <f t="shared" si="7"/>
        <v/>
      </c>
    </row>
    <row r="93" spans="1:9">
      <c r="A93">
        <v>90</v>
      </c>
      <c r="B93" s="46">
        <v>44711</v>
      </c>
      <c r="C93" s="169">
        <v>38.824673940888403</v>
      </c>
      <c r="D93" s="169">
        <v>99.174715760964361</v>
      </c>
      <c r="E93" s="169">
        <f t="shared" si="6"/>
        <v>38.824673940888403</v>
      </c>
      <c r="F93" s="190" t="str">
        <f t="shared" si="5"/>
        <v/>
      </c>
      <c r="H93" t="str">
        <f t="shared" si="8"/>
        <v/>
      </c>
      <c r="I93" s="190" t="str">
        <f t="shared" si="7"/>
        <v/>
      </c>
    </row>
    <row r="94" spans="1:9">
      <c r="A94">
        <v>91</v>
      </c>
      <c r="B94" s="46">
        <v>44712</v>
      </c>
      <c r="C94" s="169">
        <v>48.850169006887469</v>
      </c>
      <c r="D94" s="169">
        <v>99.174715760964361</v>
      </c>
      <c r="E94" s="169">
        <f t="shared" si="6"/>
        <v>48.850169006887469</v>
      </c>
      <c r="F94" s="190" t="str">
        <f t="shared" si="5"/>
        <v/>
      </c>
      <c r="H94" t="str">
        <f t="shared" si="8"/>
        <v/>
      </c>
      <c r="I94" s="190" t="str">
        <f t="shared" si="7"/>
        <v/>
      </c>
    </row>
    <row r="95" spans="1:9">
      <c r="A95">
        <v>92</v>
      </c>
      <c r="B95" s="46">
        <v>44713</v>
      </c>
      <c r="C95" s="169">
        <v>41.207367929528253</v>
      </c>
      <c r="D95" s="169">
        <v>63.624179558812038</v>
      </c>
      <c r="E95" s="169">
        <f t="shared" si="6"/>
        <v>41.207367929528253</v>
      </c>
      <c r="F95" s="190" t="str">
        <f t="shared" si="5"/>
        <v/>
      </c>
      <c r="H95" t="str">
        <f t="shared" si="8"/>
        <v/>
      </c>
      <c r="I95" s="190" t="str">
        <f t="shared" si="7"/>
        <v/>
      </c>
    </row>
    <row r="96" spans="1:9">
      <c r="A96">
        <v>93</v>
      </c>
      <c r="B96" s="46">
        <v>44714</v>
      </c>
      <c r="C96" s="169">
        <v>52.536363009527328</v>
      </c>
      <c r="D96" s="169">
        <v>63.624179558812038</v>
      </c>
      <c r="E96" s="169">
        <f t="shared" si="6"/>
        <v>52.536363009527328</v>
      </c>
      <c r="F96" s="190" t="str">
        <f t="shared" si="5"/>
        <v/>
      </c>
      <c r="H96" t="str">
        <f t="shared" si="8"/>
        <v/>
      </c>
      <c r="I96" s="190" t="str">
        <f t="shared" si="7"/>
        <v/>
      </c>
    </row>
    <row r="97" spans="1:9">
      <c r="A97">
        <v>94</v>
      </c>
      <c r="B97" s="46">
        <v>44715</v>
      </c>
      <c r="C97" s="169">
        <v>46.10201554552733</v>
      </c>
      <c r="D97" s="169">
        <v>63.624179558812038</v>
      </c>
      <c r="E97" s="169">
        <f t="shared" si="6"/>
        <v>46.10201554552733</v>
      </c>
      <c r="F97" s="190" t="str">
        <f t="shared" si="5"/>
        <v/>
      </c>
      <c r="H97" t="str">
        <f t="shared" si="8"/>
        <v/>
      </c>
      <c r="I97" s="190" t="str">
        <f t="shared" si="7"/>
        <v/>
      </c>
    </row>
    <row r="98" spans="1:9">
      <c r="A98">
        <v>95</v>
      </c>
      <c r="B98" s="46">
        <v>44716</v>
      </c>
      <c r="C98" s="169">
        <v>32.200516235526393</v>
      </c>
      <c r="D98" s="169">
        <v>63.624179558812038</v>
      </c>
      <c r="E98" s="169">
        <f t="shared" si="6"/>
        <v>32.200516235526393</v>
      </c>
      <c r="F98" s="190" t="str">
        <f t="shared" si="5"/>
        <v/>
      </c>
      <c r="H98" t="str">
        <f t="shared" si="8"/>
        <v/>
      </c>
      <c r="I98" s="190" t="str">
        <f t="shared" si="7"/>
        <v/>
      </c>
    </row>
    <row r="99" spans="1:9">
      <c r="A99">
        <v>96</v>
      </c>
      <c r="B99" s="46">
        <v>44717</v>
      </c>
      <c r="C99" s="169">
        <v>24.11654776152826</v>
      </c>
      <c r="D99" s="169">
        <v>63.624179558812038</v>
      </c>
      <c r="E99" s="169">
        <f t="shared" si="6"/>
        <v>24.11654776152826</v>
      </c>
      <c r="F99" s="190" t="str">
        <f t="shared" si="5"/>
        <v/>
      </c>
      <c r="H99" t="str">
        <f t="shared" si="8"/>
        <v/>
      </c>
      <c r="I99" s="190" t="str">
        <f t="shared" si="7"/>
        <v/>
      </c>
    </row>
    <row r="100" spans="1:9">
      <c r="A100">
        <v>97</v>
      </c>
      <c r="B100" s="46">
        <v>44718</v>
      </c>
      <c r="C100" s="169">
        <v>30.488533945529191</v>
      </c>
      <c r="D100" s="169">
        <v>63.624179558812038</v>
      </c>
      <c r="E100" s="169">
        <f t="shared" si="6"/>
        <v>30.488533945529191</v>
      </c>
      <c r="F100" s="190" t="str">
        <f t="shared" si="5"/>
        <v/>
      </c>
      <c r="H100" t="str">
        <f t="shared" si="8"/>
        <v/>
      </c>
      <c r="I100" s="190" t="str">
        <f t="shared" si="7"/>
        <v/>
      </c>
    </row>
    <row r="101" spans="1:9">
      <c r="A101">
        <v>98</v>
      </c>
      <c r="B101" s="46">
        <v>44719</v>
      </c>
      <c r="C101" s="169">
        <v>29.348419123526394</v>
      </c>
      <c r="D101" s="169">
        <v>63.624179558812038</v>
      </c>
      <c r="E101" s="169">
        <f t="shared" si="6"/>
        <v>29.348419123526394</v>
      </c>
      <c r="F101" s="190" t="str">
        <f t="shared" si="5"/>
        <v/>
      </c>
      <c r="H101" t="str">
        <f t="shared" si="8"/>
        <v/>
      </c>
      <c r="I101" s="190" t="str">
        <f t="shared" si="7"/>
        <v/>
      </c>
    </row>
    <row r="102" spans="1:9">
      <c r="A102">
        <v>99</v>
      </c>
      <c r="B102" s="46">
        <v>44720</v>
      </c>
      <c r="C102" s="169">
        <v>22.97658207775229</v>
      </c>
      <c r="D102" s="169">
        <v>63.624179558812038</v>
      </c>
      <c r="E102" s="169">
        <f t="shared" si="6"/>
        <v>22.97658207775229</v>
      </c>
      <c r="F102" s="190" t="str">
        <f t="shared" si="5"/>
        <v/>
      </c>
      <c r="H102" t="str">
        <f t="shared" si="8"/>
        <v/>
      </c>
      <c r="I102" s="190" t="str">
        <f t="shared" si="7"/>
        <v/>
      </c>
    </row>
    <row r="103" spans="1:9">
      <c r="A103">
        <v>100</v>
      </c>
      <c r="B103" s="46">
        <v>44721</v>
      </c>
      <c r="C103" s="169">
        <v>25.693151507752294</v>
      </c>
      <c r="D103" s="169">
        <v>63.624179558812038</v>
      </c>
      <c r="E103" s="169">
        <f t="shared" si="6"/>
        <v>25.693151507752294</v>
      </c>
      <c r="F103" s="190" t="str">
        <f t="shared" si="5"/>
        <v/>
      </c>
      <c r="H103" t="str">
        <f t="shared" si="8"/>
        <v/>
      </c>
      <c r="I103" s="190" t="str">
        <f t="shared" si="7"/>
        <v/>
      </c>
    </row>
    <row r="104" spans="1:9">
      <c r="A104">
        <v>101</v>
      </c>
      <c r="B104" s="46">
        <v>44722</v>
      </c>
      <c r="C104" s="169">
        <v>30.172250453753222</v>
      </c>
      <c r="D104" s="169">
        <v>63.624179558812038</v>
      </c>
      <c r="E104" s="169">
        <f t="shared" si="6"/>
        <v>30.172250453753222</v>
      </c>
      <c r="F104" s="190" t="str">
        <f t="shared" si="5"/>
        <v/>
      </c>
      <c r="H104" t="str">
        <f t="shared" si="8"/>
        <v/>
      </c>
      <c r="I104" s="190" t="str">
        <f t="shared" si="7"/>
        <v/>
      </c>
    </row>
    <row r="105" spans="1:9">
      <c r="A105">
        <v>102</v>
      </c>
      <c r="B105" s="46">
        <v>44723</v>
      </c>
      <c r="C105" s="169">
        <v>26.469429901751361</v>
      </c>
      <c r="D105" s="169">
        <v>63.624179558812038</v>
      </c>
      <c r="E105" s="169">
        <f t="shared" si="6"/>
        <v>26.469429901751361</v>
      </c>
      <c r="F105" s="190" t="str">
        <f t="shared" si="5"/>
        <v/>
      </c>
      <c r="H105" t="str">
        <f t="shared" si="8"/>
        <v/>
      </c>
      <c r="I105" s="190" t="str">
        <f t="shared" si="7"/>
        <v/>
      </c>
    </row>
    <row r="106" spans="1:9">
      <c r="A106">
        <v>103</v>
      </c>
      <c r="B106" s="46">
        <v>44724</v>
      </c>
      <c r="C106" s="169">
        <v>19.406487079751358</v>
      </c>
      <c r="D106" s="169">
        <v>63.624179558812038</v>
      </c>
      <c r="E106" s="169">
        <f t="shared" si="6"/>
        <v>19.406487079751358</v>
      </c>
      <c r="F106" s="190" t="str">
        <f t="shared" si="5"/>
        <v/>
      </c>
      <c r="H106" t="str">
        <f t="shared" si="8"/>
        <v/>
      </c>
      <c r="I106" s="190" t="str">
        <f t="shared" si="7"/>
        <v/>
      </c>
    </row>
    <row r="107" spans="1:9">
      <c r="A107">
        <v>104</v>
      </c>
      <c r="B107" s="46">
        <v>44725</v>
      </c>
      <c r="C107" s="169">
        <v>46.200025131753222</v>
      </c>
      <c r="D107" s="169">
        <v>63.624179558812038</v>
      </c>
      <c r="E107" s="169">
        <f t="shared" si="6"/>
        <v>46.200025131753222</v>
      </c>
      <c r="F107" s="190" t="str">
        <f t="shared" si="5"/>
        <v/>
      </c>
      <c r="H107" t="str">
        <f t="shared" si="8"/>
        <v/>
      </c>
      <c r="I107" s="190" t="str">
        <f t="shared" si="7"/>
        <v/>
      </c>
    </row>
    <row r="108" spans="1:9">
      <c r="A108">
        <v>105</v>
      </c>
      <c r="B108" s="46">
        <v>44726</v>
      </c>
      <c r="C108" s="169">
        <v>42.439020761752289</v>
      </c>
      <c r="D108" s="169">
        <v>63.624179558812038</v>
      </c>
      <c r="E108" s="169">
        <f t="shared" si="6"/>
        <v>42.439020761752289</v>
      </c>
      <c r="F108" s="190" t="str">
        <f t="shared" si="5"/>
        <v/>
      </c>
      <c r="H108" t="str">
        <f t="shared" si="8"/>
        <v/>
      </c>
      <c r="I108" s="190" t="str">
        <f t="shared" si="7"/>
        <v/>
      </c>
    </row>
    <row r="109" spans="1:9">
      <c r="A109">
        <v>106</v>
      </c>
      <c r="B109" s="46">
        <v>44727</v>
      </c>
      <c r="C109" s="169">
        <v>29.932358020219034</v>
      </c>
      <c r="D109" s="169">
        <v>63.624179558812038</v>
      </c>
      <c r="E109" s="169">
        <f t="shared" si="6"/>
        <v>29.932358020219034</v>
      </c>
      <c r="F109" s="190" t="str">
        <f t="shared" si="5"/>
        <v>J</v>
      </c>
      <c r="G109" s="191">
        <f>IF(DAY(B109)=15,D109,"")</f>
        <v>63.624179558812038</v>
      </c>
      <c r="H109" t="str">
        <f t="shared" si="8"/>
        <v/>
      </c>
      <c r="I109" s="190" t="str">
        <f t="shared" si="7"/>
        <v>J</v>
      </c>
    </row>
    <row r="110" spans="1:9">
      <c r="A110">
        <v>107</v>
      </c>
      <c r="B110" s="46">
        <v>44728</v>
      </c>
      <c r="C110" s="169">
        <v>5.7832736262199687</v>
      </c>
      <c r="D110" s="169">
        <v>63.624179558812038</v>
      </c>
      <c r="E110" s="169">
        <f t="shared" si="6"/>
        <v>5.7832736262199687</v>
      </c>
      <c r="F110" s="190" t="str">
        <f t="shared" si="5"/>
        <v/>
      </c>
      <c r="H110" t="str">
        <f t="shared" si="8"/>
        <v/>
      </c>
      <c r="I110" s="190" t="str">
        <f t="shared" si="7"/>
        <v/>
      </c>
    </row>
    <row r="111" spans="1:9">
      <c r="A111">
        <v>108</v>
      </c>
      <c r="B111" s="46">
        <v>44729</v>
      </c>
      <c r="C111" s="169">
        <v>1.2738564382199693</v>
      </c>
      <c r="D111" s="169">
        <v>63.624179558812038</v>
      </c>
      <c r="E111" s="169">
        <f t="shared" si="6"/>
        <v>1.2738564382199693</v>
      </c>
      <c r="F111" s="190" t="str">
        <f t="shared" si="5"/>
        <v/>
      </c>
      <c r="H111" t="str">
        <f t="shared" si="8"/>
        <v/>
      </c>
      <c r="I111" s="190" t="str">
        <f t="shared" si="7"/>
        <v/>
      </c>
    </row>
    <row r="112" spans="1:9">
      <c r="A112">
        <v>109</v>
      </c>
      <c r="B112" s="46">
        <v>44730</v>
      </c>
      <c r="C112" s="169">
        <v>10.591816084219973</v>
      </c>
      <c r="D112" s="169">
        <v>63.624179558812038</v>
      </c>
      <c r="E112" s="169">
        <f t="shared" si="6"/>
        <v>10.591816084219973</v>
      </c>
      <c r="F112" s="190" t="str">
        <f t="shared" si="5"/>
        <v/>
      </c>
      <c r="H112" t="str">
        <f t="shared" si="8"/>
        <v/>
      </c>
      <c r="I112" s="190" t="str">
        <f t="shared" si="7"/>
        <v/>
      </c>
    </row>
    <row r="113" spans="1:9">
      <c r="A113">
        <v>110</v>
      </c>
      <c r="B113" s="46">
        <v>44731</v>
      </c>
      <c r="C113" s="169">
        <v>1.5330402962209009</v>
      </c>
      <c r="D113" s="169">
        <v>63.624179558812038</v>
      </c>
      <c r="E113" s="169">
        <f t="shared" si="6"/>
        <v>1.5330402962209009</v>
      </c>
      <c r="F113" s="190" t="str">
        <f t="shared" si="5"/>
        <v/>
      </c>
      <c r="H113" t="str">
        <f t="shared" si="8"/>
        <v/>
      </c>
      <c r="I113" s="190" t="str">
        <f t="shared" si="7"/>
        <v/>
      </c>
    </row>
    <row r="114" spans="1:9">
      <c r="A114">
        <v>111</v>
      </c>
      <c r="B114" s="46">
        <v>44732</v>
      </c>
      <c r="C114" s="169">
        <v>4.6798778182190359</v>
      </c>
      <c r="D114" s="169">
        <v>63.624179558812038</v>
      </c>
      <c r="E114" s="169">
        <f t="shared" si="6"/>
        <v>4.6798778182190359</v>
      </c>
      <c r="F114" s="190" t="str">
        <f t="shared" si="5"/>
        <v/>
      </c>
      <c r="H114" t="str">
        <f t="shared" si="8"/>
        <v/>
      </c>
      <c r="I114" s="190" t="str">
        <f t="shared" si="7"/>
        <v/>
      </c>
    </row>
    <row r="115" spans="1:9">
      <c r="A115">
        <v>112</v>
      </c>
      <c r="B115" s="46">
        <v>44733</v>
      </c>
      <c r="C115" s="169">
        <v>7.928798956219973</v>
      </c>
      <c r="D115" s="169">
        <v>63.624179558812038</v>
      </c>
      <c r="E115" s="169">
        <f t="shared" si="6"/>
        <v>7.928798956219973</v>
      </c>
      <c r="F115" s="190" t="str">
        <f t="shared" si="5"/>
        <v/>
      </c>
      <c r="H115" t="str">
        <f t="shared" si="8"/>
        <v/>
      </c>
      <c r="I115" s="190" t="str">
        <f t="shared" si="7"/>
        <v/>
      </c>
    </row>
    <row r="116" spans="1:9">
      <c r="A116">
        <v>113</v>
      </c>
      <c r="B116" s="46">
        <v>44734</v>
      </c>
      <c r="C116" s="169">
        <v>19.59688801024253</v>
      </c>
      <c r="D116" s="169">
        <v>63.624179558812038</v>
      </c>
      <c r="E116" s="169">
        <f t="shared" si="6"/>
        <v>19.59688801024253</v>
      </c>
      <c r="F116" s="190" t="str">
        <f t="shared" si="5"/>
        <v/>
      </c>
      <c r="H116" t="str">
        <f t="shared" si="8"/>
        <v/>
      </c>
      <c r="I116" s="190" t="str">
        <f t="shared" si="7"/>
        <v/>
      </c>
    </row>
    <row r="117" spans="1:9">
      <c r="A117">
        <v>114</v>
      </c>
      <c r="B117" s="46">
        <v>44735</v>
      </c>
      <c r="C117" s="169">
        <v>11.886811138243461</v>
      </c>
      <c r="D117" s="169">
        <v>63.624179558812038</v>
      </c>
      <c r="E117" s="169">
        <f t="shared" si="6"/>
        <v>11.886811138243461</v>
      </c>
      <c r="F117" s="190" t="str">
        <f t="shared" si="5"/>
        <v/>
      </c>
      <c r="H117" t="str">
        <f t="shared" si="8"/>
        <v/>
      </c>
      <c r="I117" s="190" t="str">
        <f t="shared" si="7"/>
        <v/>
      </c>
    </row>
    <row r="118" spans="1:9">
      <c r="A118">
        <v>115</v>
      </c>
      <c r="B118" s="46">
        <v>44736</v>
      </c>
      <c r="C118" s="169">
        <v>13.637115506245326</v>
      </c>
      <c r="D118" s="169">
        <v>63.624179558812038</v>
      </c>
      <c r="E118" s="169">
        <f t="shared" si="6"/>
        <v>13.637115506245326</v>
      </c>
      <c r="F118" s="190" t="str">
        <f t="shared" si="5"/>
        <v/>
      </c>
      <c r="H118" t="str">
        <f t="shared" si="8"/>
        <v/>
      </c>
      <c r="I118" s="190" t="str">
        <f t="shared" si="7"/>
        <v/>
      </c>
    </row>
    <row r="119" spans="1:9">
      <c r="A119">
        <v>116</v>
      </c>
      <c r="B119" s="46">
        <v>44737</v>
      </c>
      <c r="C119" s="169">
        <v>14.103308344244393</v>
      </c>
      <c r="D119" s="169">
        <v>63.624179558812038</v>
      </c>
      <c r="E119" s="169">
        <f t="shared" si="6"/>
        <v>14.103308344244393</v>
      </c>
      <c r="F119" s="190" t="str">
        <f t="shared" si="5"/>
        <v/>
      </c>
      <c r="H119" t="str">
        <f t="shared" si="8"/>
        <v/>
      </c>
      <c r="I119" s="190" t="str">
        <f t="shared" si="7"/>
        <v/>
      </c>
    </row>
    <row r="120" spans="1:9">
      <c r="A120">
        <v>117</v>
      </c>
      <c r="B120" s="46">
        <v>44738</v>
      </c>
      <c r="C120" s="169">
        <v>14.828685156243465</v>
      </c>
      <c r="D120" s="169">
        <v>63.624179558812038</v>
      </c>
      <c r="E120" s="169">
        <f t="shared" si="6"/>
        <v>14.828685156243465</v>
      </c>
      <c r="F120" s="190" t="str">
        <f t="shared" si="5"/>
        <v/>
      </c>
      <c r="H120" t="str">
        <f t="shared" si="8"/>
        <v/>
      </c>
      <c r="I120" s="190" t="str">
        <f t="shared" si="7"/>
        <v/>
      </c>
    </row>
    <row r="121" spans="1:9">
      <c r="A121">
        <v>118</v>
      </c>
      <c r="B121" s="46">
        <v>44739</v>
      </c>
      <c r="C121" s="169">
        <v>16.303281046242528</v>
      </c>
      <c r="D121" s="169">
        <v>63.624179558812038</v>
      </c>
      <c r="E121" s="169">
        <f t="shared" si="6"/>
        <v>16.303281046242528</v>
      </c>
      <c r="F121" s="190" t="str">
        <f t="shared" si="5"/>
        <v/>
      </c>
      <c r="H121" t="str">
        <f t="shared" si="8"/>
        <v/>
      </c>
      <c r="I121" s="190" t="str">
        <f t="shared" si="7"/>
        <v/>
      </c>
    </row>
    <row r="122" spans="1:9">
      <c r="A122">
        <v>119</v>
      </c>
      <c r="B122" s="46">
        <v>44740</v>
      </c>
      <c r="C122" s="169">
        <v>21.96886816424346</v>
      </c>
      <c r="D122" s="169">
        <v>63.624179558812038</v>
      </c>
      <c r="E122" s="169">
        <f t="shared" si="6"/>
        <v>21.96886816424346</v>
      </c>
      <c r="F122" s="190" t="str">
        <f t="shared" si="5"/>
        <v/>
      </c>
      <c r="H122" t="str">
        <f t="shared" si="8"/>
        <v/>
      </c>
      <c r="I122" s="190" t="str">
        <f t="shared" si="7"/>
        <v/>
      </c>
    </row>
    <row r="123" spans="1:9">
      <c r="A123">
        <v>120</v>
      </c>
      <c r="B123" s="46">
        <v>44741</v>
      </c>
      <c r="C123" s="169">
        <v>9.211150769911189</v>
      </c>
      <c r="D123" s="169">
        <v>63.624179558812038</v>
      </c>
      <c r="E123" s="169">
        <f t="shared" si="6"/>
        <v>9.211150769911189</v>
      </c>
      <c r="F123" s="190" t="str">
        <f t="shared" si="5"/>
        <v/>
      </c>
      <c r="H123" t="str">
        <f t="shared" si="8"/>
        <v/>
      </c>
      <c r="I123" s="190" t="str">
        <f t="shared" si="7"/>
        <v/>
      </c>
    </row>
    <row r="124" spans="1:9">
      <c r="A124">
        <v>121</v>
      </c>
      <c r="B124" s="46">
        <v>44742</v>
      </c>
      <c r="C124" s="169">
        <v>14.028541505911191</v>
      </c>
      <c r="D124" s="169">
        <v>63.624179558812038</v>
      </c>
      <c r="E124" s="169">
        <f t="shared" si="6"/>
        <v>14.028541505911191</v>
      </c>
      <c r="F124" s="190" t="str">
        <f t="shared" si="5"/>
        <v/>
      </c>
      <c r="H124" t="str">
        <f t="shared" si="8"/>
        <v/>
      </c>
      <c r="I124" s="190" t="str">
        <f t="shared" si="7"/>
        <v/>
      </c>
    </row>
    <row r="125" spans="1:9">
      <c r="A125">
        <v>122</v>
      </c>
      <c r="B125" s="46">
        <v>44743</v>
      </c>
      <c r="C125" s="169">
        <v>18.326979493911189</v>
      </c>
      <c r="D125" s="169">
        <v>27.442156278712137</v>
      </c>
      <c r="E125" s="169">
        <f t="shared" si="6"/>
        <v>18.326979493911189</v>
      </c>
      <c r="F125" s="190" t="str">
        <f t="shared" si="5"/>
        <v/>
      </c>
      <c r="H125" t="str">
        <f t="shared" si="8"/>
        <v/>
      </c>
      <c r="I125" s="190" t="str">
        <f t="shared" si="7"/>
        <v/>
      </c>
    </row>
    <row r="126" spans="1:9">
      <c r="A126">
        <v>123</v>
      </c>
      <c r="B126" s="46">
        <v>44744</v>
      </c>
      <c r="C126" s="169">
        <v>13.377881027910261</v>
      </c>
      <c r="D126" s="169">
        <v>27.442156278712137</v>
      </c>
      <c r="E126" s="169">
        <f t="shared" si="6"/>
        <v>13.377881027910261</v>
      </c>
      <c r="F126" s="190" t="str">
        <f t="shared" si="5"/>
        <v/>
      </c>
      <c r="H126" t="str">
        <f t="shared" si="8"/>
        <v/>
      </c>
      <c r="I126" s="190" t="str">
        <f t="shared" si="7"/>
        <v/>
      </c>
    </row>
    <row r="127" spans="1:9">
      <c r="A127">
        <v>124</v>
      </c>
      <c r="B127" s="46">
        <v>44745</v>
      </c>
      <c r="C127" s="169">
        <v>10.92700495791026</v>
      </c>
      <c r="D127" s="169">
        <v>27.442156278712137</v>
      </c>
      <c r="E127" s="169">
        <f t="shared" si="6"/>
        <v>10.92700495791026</v>
      </c>
      <c r="F127" s="190" t="str">
        <f t="shared" si="5"/>
        <v/>
      </c>
      <c r="H127" t="str">
        <f t="shared" si="8"/>
        <v/>
      </c>
      <c r="I127" s="190" t="str">
        <f t="shared" si="7"/>
        <v/>
      </c>
    </row>
    <row r="128" spans="1:9">
      <c r="A128">
        <v>125</v>
      </c>
      <c r="B128" s="46">
        <v>44746</v>
      </c>
      <c r="C128" s="169">
        <v>12.704216783910262</v>
      </c>
      <c r="D128" s="169">
        <v>27.442156278712137</v>
      </c>
      <c r="E128" s="169">
        <f t="shared" si="6"/>
        <v>12.704216783910262</v>
      </c>
      <c r="F128" s="190" t="str">
        <f t="shared" si="5"/>
        <v/>
      </c>
      <c r="H128" t="str">
        <f t="shared" si="8"/>
        <v/>
      </c>
      <c r="I128" s="190" t="str">
        <f t="shared" si="7"/>
        <v/>
      </c>
    </row>
    <row r="129" spans="1:9">
      <c r="A129">
        <v>126</v>
      </c>
      <c r="B129" s="46">
        <v>44747</v>
      </c>
      <c r="C129" s="169">
        <v>9.9428198619102588</v>
      </c>
      <c r="D129" s="169">
        <v>27.442156278712137</v>
      </c>
      <c r="E129" s="169">
        <f t="shared" si="6"/>
        <v>9.9428198619102588</v>
      </c>
      <c r="F129" s="190" t="str">
        <f t="shared" si="5"/>
        <v/>
      </c>
      <c r="H129" t="str">
        <f t="shared" si="8"/>
        <v/>
      </c>
      <c r="I129" s="190" t="str">
        <f t="shared" si="7"/>
        <v/>
      </c>
    </row>
    <row r="130" spans="1:9">
      <c r="A130">
        <v>127</v>
      </c>
      <c r="B130" s="46">
        <v>44748</v>
      </c>
      <c r="C130" s="169">
        <v>11.325503423679002</v>
      </c>
      <c r="D130" s="169">
        <v>27.442156278712137</v>
      </c>
      <c r="E130" s="169">
        <f t="shared" si="6"/>
        <v>11.325503423679002</v>
      </c>
      <c r="F130" s="190" t="str">
        <f t="shared" si="5"/>
        <v/>
      </c>
      <c r="H130" t="str">
        <f t="shared" si="8"/>
        <v/>
      </c>
      <c r="I130" s="190" t="str">
        <f t="shared" si="7"/>
        <v/>
      </c>
    </row>
    <row r="131" spans="1:9">
      <c r="A131">
        <v>128</v>
      </c>
      <c r="B131" s="46">
        <v>44749</v>
      </c>
      <c r="C131" s="169">
        <v>9.0330230036817962</v>
      </c>
      <c r="D131" s="169">
        <v>27.442156278712137</v>
      </c>
      <c r="E131" s="169">
        <f t="shared" si="6"/>
        <v>9.0330230036817962</v>
      </c>
      <c r="F131" s="190" t="str">
        <f t="shared" ref="F131:F194" si="9">IF(DAY(B131)=15,IF(MONTH(B131)=1,"E",IF(MONTH(B131)=2,"F",IF(MONTH(B131)=3,"M",IF(MONTH(B131)=4,"A",IF(MONTH(B131)=5,"M",IF(MONTH(B131)=6,"J",IF(MONTH(B131)=7,"J",IF(MONTH(B131)=8,"A",IF(MONTH(B131)=9,"S",IF(MONTH(B131)=10,"O",IF(MONTH(B131)=11,"N",IF(MONTH(B131)=12,"D","")))))))))))),"")</f>
        <v/>
      </c>
      <c r="H131" t="str">
        <f t="shared" si="8"/>
        <v/>
      </c>
      <c r="I131" s="190" t="str">
        <f t="shared" si="7"/>
        <v/>
      </c>
    </row>
    <row r="132" spans="1:9">
      <c r="A132">
        <v>129</v>
      </c>
      <c r="B132" s="46">
        <v>44750</v>
      </c>
      <c r="C132" s="169">
        <v>9.7995151336799324</v>
      </c>
      <c r="D132" s="169">
        <v>27.442156278712137</v>
      </c>
      <c r="E132" s="169">
        <f t="shared" ref="E132:E195" si="10">IF(C132&lt;D132,C132,D132)</f>
        <v>9.7995151336799324</v>
      </c>
      <c r="F132" s="190" t="str">
        <f t="shared" si="9"/>
        <v/>
      </c>
      <c r="H132" t="str">
        <f t="shared" si="8"/>
        <v/>
      </c>
      <c r="I132" s="190" t="str">
        <f t="shared" ref="I132:I195" si="11">IF(DAY(B132)=15,IF(MONTH(B132)=1,"E",IF(MONTH(B132)=2,"F",IF(MONTH(B132)=3,"M",IF(MONTH(B132)=4,"A",IF(MONTH(B132)=5,"M",IF(MONTH(B132)=6,"J",IF(MONTH(B132)=7,"J",IF(MONTH(B132)=8,"A",IF(MONTH(B132)=9,"S",IF(MONTH(B132)=10,"O",IF(MONTH(B132)=11,"N",IF(MONTH(B132)=12,"D","")))))))))))),"")</f>
        <v/>
      </c>
    </row>
    <row r="133" spans="1:9">
      <c r="A133">
        <v>130</v>
      </c>
      <c r="B133" s="46">
        <v>44751</v>
      </c>
      <c r="C133" s="169">
        <v>10.655314937679002</v>
      </c>
      <c r="D133" s="169">
        <v>27.442156278712137</v>
      </c>
      <c r="E133" s="169">
        <f t="shared" si="10"/>
        <v>10.655314937679002</v>
      </c>
      <c r="F133" s="190" t="str">
        <f t="shared" si="9"/>
        <v/>
      </c>
      <c r="H133" t="str">
        <f t="shared" ref="H133:H196" si="12">IF(MONTH(B133)=1,IF(DAY(B133)=1,YEAR(B133),""),"")</f>
        <v/>
      </c>
      <c r="I133" s="190" t="str">
        <f t="shared" si="11"/>
        <v/>
      </c>
    </row>
    <row r="134" spans="1:9">
      <c r="A134">
        <v>131</v>
      </c>
      <c r="B134" s="46">
        <v>44752</v>
      </c>
      <c r="C134" s="169">
        <v>6.8382933716789998</v>
      </c>
      <c r="D134" s="169">
        <v>27.442156278712137</v>
      </c>
      <c r="E134" s="169">
        <f t="shared" si="10"/>
        <v>6.8382933716789998</v>
      </c>
      <c r="F134" s="190" t="str">
        <f t="shared" si="9"/>
        <v/>
      </c>
      <c r="H134" t="str">
        <f t="shared" si="12"/>
        <v/>
      </c>
      <c r="I134" s="190" t="str">
        <f t="shared" si="11"/>
        <v/>
      </c>
    </row>
    <row r="135" spans="1:9">
      <c r="A135">
        <v>132</v>
      </c>
      <c r="B135" s="46">
        <v>44753</v>
      </c>
      <c r="C135" s="169">
        <v>9.1660574676808615</v>
      </c>
      <c r="D135" s="169">
        <v>27.442156278712137</v>
      </c>
      <c r="E135" s="169">
        <f t="shared" si="10"/>
        <v>9.1660574676808615</v>
      </c>
      <c r="F135" s="190" t="str">
        <f t="shared" si="9"/>
        <v/>
      </c>
      <c r="H135" t="str">
        <f t="shared" si="12"/>
        <v/>
      </c>
      <c r="I135" s="190" t="str">
        <f t="shared" si="11"/>
        <v/>
      </c>
    </row>
    <row r="136" spans="1:9">
      <c r="A136">
        <v>133</v>
      </c>
      <c r="B136" s="46">
        <v>44754</v>
      </c>
      <c r="C136" s="169">
        <v>8.5802800636789982</v>
      </c>
      <c r="D136" s="169">
        <v>27.442156278712137</v>
      </c>
      <c r="E136" s="169">
        <f t="shared" si="10"/>
        <v>8.5802800636789982</v>
      </c>
      <c r="F136" s="190" t="str">
        <f t="shared" si="9"/>
        <v/>
      </c>
      <c r="H136" t="str">
        <f t="shared" si="12"/>
        <v/>
      </c>
      <c r="I136" s="190" t="str">
        <f t="shared" si="11"/>
        <v/>
      </c>
    </row>
    <row r="137" spans="1:9">
      <c r="A137">
        <v>134</v>
      </c>
      <c r="B137" s="46">
        <v>44755</v>
      </c>
      <c r="C137" s="169">
        <v>4.8299751573210594</v>
      </c>
      <c r="D137" s="169">
        <v>27.442156278712137</v>
      </c>
      <c r="E137" s="169">
        <f t="shared" si="10"/>
        <v>4.8299751573210594</v>
      </c>
      <c r="F137" s="190" t="str">
        <f t="shared" si="9"/>
        <v/>
      </c>
      <c r="H137" t="str">
        <f t="shared" si="12"/>
        <v/>
      </c>
      <c r="I137" s="190" t="str">
        <f t="shared" si="11"/>
        <v/>
      </c>
    </row>
    <row r="138" spans="1:9">
      <c r="A138">
        <v>135</v>
      </c>
      <c r="B138" s="46">
        <v>44756</v>
      </c>
      <c r="C138" s="169">
        <v>6.5488495373191977</v>
      </c>
      <c r="D138" s="169">
        <v>27.442156278712137</v>
      </c>
      <c r="E138" s="169">
        <f t="shared" si="10"/>
        <v>6.5488495373191977</v>
      </c>
      <c r="F138" s="190" t="str">
        <f t="shared" si="9"/>
        <v/>
      </c>
      <c r="H138" t="str">
        <f t="shared" si="12"/>
        <v/>
      </c>
      <c r="I138" s="190" t="str">
        <f t="shared" si="11"/>
        <v/>
      </c>
    </row>
    <row r="139" spans="1:9">
      <c r="A139">
        <v>136</v>
      </c>
      <c r="B139" s="46">
        <v>44757</v>
      </c>
      <c r="C139" s="169">
        <v>1.5232129653201263</v>
      </c>
      <c r="D139" s="169">
        <v>27.442156278712137</v>
      </c>
      <c r="E139" s="169">
        <f t="shared" si="10"/>
        <v>1.5232129653201263</v>
      </c>
      <c r="F139" s="190" t="str">
        <f t="shared" si="9"/>
        <v>J</v>
      </c>
      <c r="G139" s="191">
        <f>IF(DAY(B139)=15,D139,"")</f>
        <v>27.442156278712137</v>
      </c>
      <c r="H139" t="str">
        <f t="shared" si="12"/>
        <v/>
      </c>
      <c r="I139" s="190" t="str">
        <f t="shared" si="11"/>
        <v>J</v>
      </c>
    </row>
    <row r="140" spans="1:9">
      <c r="A140">
        <v>137</v>
      </c>
      <c r="B140" s="46">
        <v>44758</v>
      </c>
      <c r="C140" s="169">
        <v>1.2849200733191937</v>
      </c>
      <c r="D140" s="169">
        <v>27.442156278712137</v>
      </c>
      <c r="E140" s="169">
        <f t="shared" si="10"/>
        <v>1.2849200733191937</v>
      </c>
      <c r="F140" s="190" t="str">
        <f t="shared" si="9"/>
        <v/>
      </c>
      <c r="H140" t="str">
        <f t="shared" si="12"/>
        <v/>
      </c>
      <c r="I140" s="190" t="str">
        <f t="shared" si="11"/>
        <v/>
      </c>
    </row>
    <row r="141" spans="1:9">
      <c r="A141">
        <v>138</v>
      </c>
      <c r="B141" s="46">
        <v>44759</v>
      </c>
      <c r="C141" s="169">
        <v>1.4496847053201272</v>
      </c>
      <c r="D141" s="169">
        <v>27.442156278712137</v>
      </c>
      <c r="E141" s="169">
        <f t="shared" si="10"/>
        <v>1.4496847053201272</v>
      </c>
      <c r="F141" s="190" t="str">
        <f t="shared" si="9"/>
        <v/>
      </c>
      <c r="H141" t="str">
        <f t="shared" si="12"/>
        <v/>
      </c>
      <c r="I141" s="190" t="str">
        <f t="shared" si="11"/>
        <v/>
      </c>
    </row>
    <row r="142" spans="1:9">
      <c r="A142">
        <v>139</v>
      </c>
      <c r="B142" s="46">
        <v>44760</v>
      </c>
      <c r="C142" s="169">
        <v>0.77954121532105636</v>
      </c>
      <c r="D142" s="169">
        <v>27.442156278712137</v>
      </c>
      <c r="E142" s="169">
        <f t="shared" si="10"/>
        <v>0.77954121532105636</v>
      </c>
      <c r="F142" s="190" t="str">
        <f t="shared" si="9"/>
        <v/>
      </c>
      <c r="H142" t="str">
        <f t="shared" si="12"/>
        <v/>
      </c>
      <c r="I142" s="190" t="str">
        <f t="shared" si="11"/>
        <v/>
      </c>
    </row>
    <row r="143" spans="1:9">
      <c r="A143">
        <v>140</v>
      </c>
      <c r="B143" s="46">
        <v>44761</v>
      </c>
      <c r="C143" s="169">
        <v>1.173243831319196</v>
      </c>
      <c r="D143" s="169">
        <v>27.442156278712137</v>
      </c>
      <c r="E143" s="169">
        <f t="shared" si="10"/>
        <v>1.173243831319196</v>
      </c>
      <c r="F143" s="190" t="str">
        <f t="shared" si="9"/>
        <v/>
      </c>
      <c r="H143" t="str">
        <f t="shared" si="12"/>
        <v/>
      </c>
      <c r="I143" s="190" t="str">
        <f t="shared" si="11"/>
        <v/>
      </c>
    </row>
    <row r="144" spans="1:9">
      <c r="A144">
        <v>141</v>
      </c>
      <c r="B144" s="46">
        <v>44762</v>
      </c>
      <c r="C144" s="169">
        <v>20.147601515821357</v>
      </c>
      <c r="D144" s="169">
        <v>27.442156278712137</v>
      </c>
      <c r="E144" s="169">
        <f t="shared" si="10"/>
        <v>20.147601515821357</v>
      </c>
      <c r="F144" s="190" t="str">
        <f t="shared" si="9"/>
        <v/>
      </c>
      <c r="H144" t="str">
        <f t="shared" si="12"/>
        <v/>
      </c>
      <c r="I144" s="190" t="str">
        <f t="shared" si="11"/>
        <v/>
      </c>
    </row>
    <row r="145" spans="1:9">
      <c r="A145">
        <v>142</v>
      </c>
      <c r="B145" s="46">
        <v>44763</v>
      </c>
      <c r="C145" s="169">
        <v>2.6018812478222864</v>
      </c>
      <c r="D145" s="169">
        <v>27.442156278712137</v>
      </c>
      <c r="E145" s="169">
        <f t="shared" si="10"/>
        <v>2.6018812478222864</v>
      </c>
      <c r="F145" s="190" t="str">
        <f t="shared" si="9"/>
        <v/>
      </c>
      <c r="H145" t="str">
        <f t="shared" si="12"/>
        <v/>
      </c>
      <c r="I145" s="190" t="str">
        <f t="shared" si="11"/>
        <v/>
      </c>
    </row>
    <row r="146" spans="1:9">
      <c r="A146">
        <v>143</v>
      </c>
      <c r="B146" s="46">
        <v>44764</v>
      </c>
      <c r="C146" s="169">
        <v>9.799058977821355</v>
      </c>
      <c r="D146" s="169">
        <v>27.442156278712137</v>
      </c>
      <c r="E146" s="169">
        <f t="shared" si="10"/>
        <v>9.799058977821355</v>
      </c>
      <c r="F146" s="190" t="str">
        <f t="shared" si="9"/>
        <v/>
      </c>
      <c r="H146" t="str">
        <f t="shared" si="12"/>
        <v/>
      </c>
      <c r="I146" s="190" t="str">
        <f t="shared" si="11"/>
        <v/>
      </c>
    </row>
    <row r="147" spans="1:9">
      <c r="A147">
        <v>144</v>
      </c>
      <c r="B147" s="46">
        <v>44765</v>
      </c>
      <c r="C147" s="169">
        <v>1.8927773678213562</v>
      </c>
      <c r="D147" s="169">
        <v>27.442156278712137</v>
      </c>
      <c r="E147" s="169">
        <f t="shared" si="10"/>
        <v>1.8927773678213562</v>
      </c>
      <c r="F147" s="190" t="str">
        <f t="shared" si="9"/>
        <v/>
      </c>
      <c r="H147" t="str">
        <f t="shared" si="12"/>
        <v/>
      </c>
      <c r="I147" s="190" t="str">
        <f t="shared" si="11"/>
        <v/>
      </c>
    </row>
    <row r="148" spans="1:9">
      <c r="A148">
        <v>145</v>
      </c>
      <c r="B148" s="46">
        <v>44766</v>
      </c>
      <c r="C148" s="169">
        <v>6.3751965378232196</v>
      </c>
      <c r="D148" s="169">
        <v>27.442156278712137</v>
      </c>
      <c r="E148" s="169">
        <f t="shared" si="10"/>
        <v>6.3751965378232196</v>
      </c>
      <c r="F148" s="190" t="str">
        <f t="shared" si="9"/>
        <v/>
      </c>
      <c r="H148" t="str">
        <f t="shared" si="12"/>
        <v/>
      </c>
      <c r="I148" s="190" t="str">
        <f t="shared" si="11"/>
        <v/>
      </c>
    </row>
    <row r="149" spans="1:9">
      <c r="A149">
        <v>146</v>
      </c>
      <c r="B149" s="46">
        <v>44767</v>
      </c>
      <c r="C149" s="169">
        <v>2.6759367778213563</v>
      </c>
      <c r="D149" s="169">
        <v>27.442156278712137</v>
      </c>
      <c r="E149" s="169">
        <f t="shared" si="10"/>
        <v>2.6759367778213563</v>
      </c>
      <c r="F149" s="190" t="str">
        <f t="shared" si="9"/>
        <v/>
      </c>
      <c r="H149" t="str">
        <f t="shared" si="12"/>
        <v/>
      </c>
      <c r="I149" s="190" t="str">
        <f t="shared" si="11"/>
        <v/>
      </c>
    </row>
    <row r="150" spans="1:9">
      <c r="A150">
        <v>147</v>
      </c>
      <c r="B150" s="46">
        <v>44768</v>
      </c>
      <c r="C150" s="169">
        <v>4.0206456878222889</v>
      </c>
      <c r="D150" s="169">
        <v>27.442156278712137</v>
      </c>
      <c r="E150" s="169">
        <f t="shared" si="10"/>
        <v>4.0206456878222889</v>
      </c>
      <c r="F150" s="190" t="str">
        <f t="shared" si="9"/>
        <v/>
      </c>
      <c r="H150" t="str">
        <f t="shared" si="12"/>
        <v/>
      </c>
      <c r="I150" s="190" t="str">
        <f t="shared" si="11"/>
        <v/>
      </c>
    </row>
    <row r="151" spans="1:9">
      <c r="A151">
        <v>148</v>
      </c>
      <c r="B151" s="46">
        <v>44769</v>
      </c>
      <c r="C151" s="169">
        <v>2.3778563500869931</v>
      </c>
      <c r="D151" s="169">
        <v>27.442156278712137</v>
      </c>
      <c r="E151" s="169">
        <f t="shared" si="10"/>
        <v>2.3778563500869931</v>
      </c>
      <c r="F151" s="190" t="str">
        <f t="shared" si="9"/>
        <v/>
      </c>
      <c r="H151" t="str">
        <f t="shared" si="12"/>
        <v/>
      </c>
      <c r="I151" s="190" t="str">
        <f t="shared" si="11"/>
        <v/>
      </c>
    </row>
    <row r="152" spans="1:9">
      <c r="A152">
        <v>149</v>
      </c>
      <c r="B152" s="46">
        <v>44770</v>
      </c>
      <c r="C152" s="169">
        <v>3.0707219940860671</v>
      </c>
      <c r="D152" s="169">
        <v>27.442156278712137</v>
      </c>
      <c r="E152" s="169">
        <f t="shared" si="10"/>
        <v>3.0707219940860671</v>
      </c>
      <c r="F152" s="190" t="str">
        <f t="shared" si="9"/>
        <v/>
      </c>
      <c r="H152" t="str">
        <f t="shared" si="12"/>
        <v/>
      </c>
      <c r="I152" s="190" t="str">
        <f t="shared" si="11"/>
        <v/>
      </c>
    </row>
    <row r="153" spans="1:9">
      <c r="A153">
        <v>150</v>
      </c>
      <c r="B153" s="46">
        <v>44771</v>
      </c>
      <c r="C153" s="169">
        <v>8.0482750000860612</v>
      </c>
      <c r="D153" s="169">
        <v>27.442156278712137</v>
      </c>
      <c r="E153" s="169">
        <f t="shared" si="10"/>
        <v>8.0482750000860612</v>
      </c>
      <c r="F153" s="190" t="str">
        <f t="shared" si="9"/>
        <v/>
      </c>
      <c r="H153" t="str">
        <f t="shared" si="12"/>
        <v/>
      </c>
      <c r="I153" s="190" t="str">
        <f t="shared" si="11"/>
        <v/>
      </c>
    </row>
    <row r="154" spans="1:9">
      <c r="A154">
        <v>151</v>
      </c>
      <c r="B154" s="46">
        <v>44772</v>
      </c>
      <c r="C154" s="169">
        <v>1.4271286360860649</v>
      </c>
      <c r="D154" s="169">
        <v>27.442156278712137</v>
      </c>
      <c r="E154" s="169">
        <f t="shared" si="10"/>
        <v>1.4271286360860649</v>
      </c>
      <c r="F154" s="190" t="str">
        <f t="shared" si="9"/>
        <v/>
      </c>
      <c r="H154" t="str">
        <f t="shared" si="12"/>
        <v/>
      </c>
      <c r="I154" s="190" t="str">
        <f t="shared" si="11"/>
        <v/>
      </c>
    </row>
    <row r="155" spans="1:9">
      <c r="A155">
        <v>152</v>
      </c>
      <c r="B155" s="46">
        <v>44773</v>
      </c>
      <c r="C155" s="169">
        <v>1.0757615200851323</v>
      </c>
      <c r="D155" s="169">
        <v>27.442156278712137</v>
      </c>
      <c r="E155" s="169">
        <f t="shared" si="10"/>
        <v>1.0757615200851323</v>
      </c>
      <c r="F155" s="190" t="str">
        <f t="shared" si="9"/>
        <v/>
      </c>
      <c r="H155" t="str">
        <f t="shared" si="12"/>
        <v/>
      </c>
      <c r="I155" s="190" t="str">
        <f t="shared" si="11"/>
        <v/>
      </c>
    </row>
    <row r="156" spans="1:9">
      <c r="A156">
        <v>153</v>
      </c>
      <c r="B156" s="46">
        <v>44774</v>
      </c>
      <c r="C156" s="169">
        <v>3.5158488080869938</v>
      </c>
      <c r="D156" s="169">
        <v>16.581237981614105</v>
      </c>
      <c r="E156" s="169">
        <f t="shared" si="10"/>
        <v>3.5158488080869938</v>
      </c>
      <c r="F156" s="190" t="str">
        <f t="shared" si="9"/>
        <v/>
      </c>
      <c r="H156" t="str">
        <f t="shared" si="12"/>
        <v/>
      </c>
      <c r="I156" s="190" t="str">
        <f t="shared" si="11"/>
        <v/>
      </c>
    </row>
    <row r="157" spans="1:9">
      <c r="A157">
        <v>154</v>
      </c>
      <c r="B157" s="46">
        <v>44775</v>
      </c>
      <c r="C157" s="169">
        <v>5.5261776980869985</v>
      </c>
      <c r="D157" s="169">
        <v>16.581237981614105</v>
      </c>
      <c r="E157" s="169">
        <f t="shared" si="10"/>
        <v>5.5261776980869985</v>
      </c>
      <c r="F157" s="190" t="str">
        <f t="shared" si="9"/>
        <v/>
      </c>
      <c r="H157" t="str">
        <f t="shared" si="12"/>
        <v/>
      </c>
      <c r="I157" s="190" t="str">
        <f t="shared" si="11"/>
        <v/>
      </c>
    </row>
    <row r="158" spans="1:9">
      <c r="A158">
        <v>155</v>
      </c>
      <c r="B158" s="46">
        <v>44776</v>
      </c>
      <c r="C158" s="169">
        <v>1.0188386552845767</v>
      </c>
      <c r="D158" s="169">
        <v>16.581237981614105</v>
      </c>
      <c r="E158" s="169">
        <f t="shared" si="10"/>
        <v>1.0188386552845767</v>
      </c>
      <c r="F158" s="190" t="str">
        <f t="shared" si="9"/>
        <v/>
      </c>
      <c r="H158" t="str">
        <f t="shared" si="12"/>
        <v/>
      </c>
      <c r="I158" s="190" t="str">
        <f t="shared" si="11"/>
        <v/>
      </c>
    </row>
    <row r="159" spans="1:9">
      <c r="A159">
        <v>156</v>
      </c>
      <c r="B159" s="46">
        <v>44777</v>
      </c>
      <c r="C159" s="169">
        <v>1.4412675172845775</v>
      </c>
      <c r="D159" s="169">
        <v>16.581237981614105</v>
      </c>
      <c r="E159" s="169">
        <f t="shared" si="10"/>
        <v>1.4412675172845775</v>
      </c>
      <c r="F159" s="190" t="str">
        <f t="shared" si="9"/>
        <v/>
      </c>
      <c r="H159" t="str">
        <f t="shared" si="12"/>
        <v/>
      </c>
      <c r="I159" s="190" t="str">
        <f t="shared" si="11"/>
        <v/>
      </c>
    </row>
    <row r="160" spans="1:9">
      <c r="A160">
        <v>157</v>
      </c>
      <c r="B160" s="46">
        <v>44778</v>
      </c>
      <c r="C160" s="169">
        <v>1.3329215492845761</v>
      </c>
      <c r="D160" s="169">
        <v>16.581237981614105</v>
      </c>
      <c r="E160" s="169">
        <f t="shared" si="10"/>
        <v>1.3329215492845761</v>
      </c>
      <c r="F160" s="190" t="str">
        <f t="shared" si="9"/>
        <v/>
      </c>
      <c r="H160" t="str">
        <f t="shared" si="12"/>
        <v/>
      </c>
      <c r="I160" s="190" t="str">
        <f t="shared" si="11"/>
        <v/>
      </c>
    </row>
    <row r="161" spans="1:9">
      <c r="A161">
        <v>158</v>
      </c>
      <c r="B161" s="46">
        <v>44779</v>
      </c>
      <c r="C161" s="169">
        <v>0.83663648328457563</v>
      </c>
      <c r="D161" s="169">
        <v>16.581237981614105</v>
      </c>
      <c r="E161" s="169">
        <f t="shared" si="10"/>
        <v>0.83663648328457563</v>
      </c>
      <c r="F161" s="190" t="str">
        <f t="shared" si="9"/>
        <v/>
      </c>
      <c r="H161" t="str">
        <f t="shared" si="12"/>
        <v/>
      </c>
      <c r="I161" s="190" t="str">
        <f t="shared" si="11"/>
        <v/>
      </c>
    </row>
    <row r="162" spans="1:9">
      <c r="A162">
        <v>159</v>
      </c>
      <c r="B162" s="46">
        <v>44780</v>
      </c>
      <c r="C162" s="169">
        <v>0.67314303928457597</v>
      </c>
      <c r="D162" s="169">
        <v>16.581237981614105</v>
      </c>
      <c r="E162" s="169">
        <f t="shared" si="10"/>
        <v>0.67314303928457597</v>
      </c>
      <c r="F162" s="190" t="str">
        <f t="shared" si="9"/>
        <v/>
      </c>
      <c r="H162" t="str">
        <f t="shared" si="12"/>
        <v/>
      </c>
      <c r="I162" s="190" t="str">
        <f t="shared" si="11"/>
        <v/>
      </c>
    </row>
    <row r="163" spans="1:9">
      <c r="A163">
        <v>160</v>
      </c>
      <c r="B163" s="46">
        <v>44781</v>
      </c>
      <c r="C163" s="169">
        <v>1.3498702392864397</v>
      </c>
      <c r="D163" s="169">
        <v>16.581237981614105</v>
      </c>
      <c r="E163" s="169">
        <f t="shared" si="10"/>
        <v>1.3498702392864397</v>
      </c>
      <c r="F163" s="190" t="str">
        <f t="shared" si="9"/>
        <v/>
      </c>
      <c r="H163" t="str">
        <f t="shared" si="12"/>
        <v/>
      </c>
      <c r="I163" s="190" t="str">
        <f t="shared" si="11"/>
        <v/>
      </c>
    </row>
    <row r="164" spans="1:9">
      <c r="A164">
        <v>161</v>
      </c>
      <c r="B164" s="46">
        <v>44782</v>
      </c>
      <c r="C164" s="169">
        <v>0.70941754728457818</v>
      </c>
      <c r="D164" s="169">
        <v>16.581237981614105</v>
      </c>
      <c r="E164" s="169">
        <f t="shared" si="10"/>
        <v>0.70941754728457818</v>
      </c>
      <c r="F164" s="190" t="str">
        <f t="shared" si="9"/>
        <v/>
      </c>
      <c r="H164" t="str">
        <f t="shared" si="12"/>
        <v/>
      </c>
      <c r="I164" s="190" t="str">
        <f t="shared" si="11"/>
        <v/>
      </c>
    </row>
    <row r="165" spans="1:9">
      <c r="A165">
        <v>162</v>
      </c>
      <c r="B165" s="46">
        <v>44783</v>
      </c>
      <c r="C165" s="169">
        <v>4.9430723089984605</v>
      </c>
      <c r="D165" s="169">
        <v>16.581237981614105</v>
      </c>
      <c r="E165" s="169">
        <f t="shared" si="10"/>
        <v>4.9430723089984605</v>
      </c>
      <c r="F165" s="190" t="str">
        <f t="shared" si="9"/>
        <v/>
      </c>
      <c r="H165" t="str">
        <f t="shared" si="12"/>
        <v/>
      </c>
      <c r="I165" s="190" t="str">
        <f t="shared" si="11"/>
        <v/>
      </c>
    </row>
    <row r="166" spans="1:9">
      <c r="A166">
        <v>163</v>
      </c>
      <c r="B166" s="46">
        <v>44784</v>
      </c>
      <c r="C166" s="169">
        <v>1.7937095069993885</v>
      </c>
      <c r="D166" s="169">
        <v>16.581237981614105</v>
      </c>
      <c r="E166" s="169">
        <f t="shared" si="10"/>
        <v>1.7937095069993885</v>
      </c>
      <c r="F166" s="190" t="str">
        <f t="shared" si="9"/>
        <v/>
      </c>
      <c r="H166" t="str">
        <f t="shared" si="12"/>
        <v/>
      </c>
      <c r="I166" s="190" t="str">
        <f t="shared" si="11"/>
        <v/>
      </c>
    </row>
    <row r="167" spans="1:9">
      <c r="A167">
        <v>164</v>
      </c>
      <c r="B167" s="46">
        <v>44785</v>
      </c>
      <c r="C167" s="169">
        <v>1.2085088429984607</v>
      </c>
      <c r="D167" s="169">
        <v>16.581237981614105</v>
      </c>
      <c r="E167" s="169">
        <f t="shared" si="10"/>
        <v>1.2085088429984607</v>
      </c>
      <c r="F167" s="190" t="str">
        <f t="shared" si="9"/>
        <v/>
      </c>
      <c r="H167" t="str">
        <f t="shared" si="12"/>
        <v/>
      </c>
      <c r="I167" s="190" t="str">
        <f t="shared" si="11"/>
        <v/>
      </c>
    </row>
    <row r="168" spans="1:9">
      <c r="A168">
        <v>165</v>
      </c>
      <c r="B168" s="46">
        <v>44786</v>
      </c>
      <c r="C168" s="169">
        <v>2.0580843149993888</v>
      </c>
      <c r="D168" s="169">
        <v>16.581237981614105</v>
      </c>
      <c r="E168" s="169">
        <f t="shared" si="10"/>
        <v>2.0580843149993888</v>
      </c>
      <c r="F168" s="190" t="str">
        <f t="shared" si="9"/>
        <v/>
      </c>
      <c r="H168" t="str">
        <f t="shared" si="12"/>
        <v/>
      </c>
      <c r="I168" s="190" t="str">
        <f t="shared" si="11"/>
        <v/>
      </c>
    </row>
    <row r="169" spans="1:9">
      <c r="A169">
        <v>166</v>
      </c>
      <c r="B169" s="46">
        <v>44787</v>
      </c>
      <c r="C169" s="169">
        <v>1.3415646249993878</v>
      </c>
      <c r="D169" s="169">
        <v>16.581237981614105</v>
      </c>
      <c r="E169" s="169">
        <f t="shared" si="10"/>
        <v>1.3415646249993878</v>
      </c>
      <c r="F169" s="190" t="str">
        <f t="shared" si="9"/>
        <v/>
      </c>
      <c r="H169" t="str">
        <f t="shared" si="12"/>
        <v/>
      </c>
      <c r="I169" s="190" t="str">
        <f t="shared" si="11"/>
        <v/>
      </c>
    </row>
    <row r="170" spans="1:9">
      <c r="A170">
        <v>167</v>
      </c>
      <c r="B170" s="46">
        <v>44788</v>
      </c>
      <c r="C170" s="169">
        <v>1.4799389209993896</v>
      </c>
      <c r="D170" s="169">
        <v>16.581237981614105</v>
      </c>
      <c r="E170" s="169">
        <f t="shared" si="10"/>
        <v>1.4799389209993896</v>
      </c>
      <c r="F170" s="190" t="str">
        <f t="shared" si="9"/>
        <v>A</v>
      </c>
      <c r="G170" s="191">
        <f>IF(DAY(B170)=15,D170,"")</f>
        <v>16.581237981614105</v>
      </c>
      <c r="H170" t="str">
        <f t="shared" si="12"/>
        <v/>
      </c>
      <c r="I170" s="190" t="str">
        <f t="shared" si="11"/>
        <v>A</v>
      </c>
    </row>
    <row r="171" spans="1:9">
      <c r="A171">
        <v>168</v>
      </c>
      <c r="B171" s="46">
        <v>44789</v>
      </c>
      <c r="C171" s="169">
        <v>1.9507038109975257</v>
      </c>
      <c r="D171" s="169">
        <v>16.581237981614105</v>
      </c>
      <c r="E171" s="169">
        <f t="shared" si="10"/>
        <v>1.9507038109975257</v>
      </c>
      <c r="F171" s="190" t="str">
        <f t="shared" si="9"/>
        <v/>
      </c>
      <c r="H171" t="str">
        <f t="shared" si="12"/>
        <v/>
      </c>
      <c r="I171" s="190" t="str">
        <f t="shared" si="11"/>
        <v/>
      </c>
    </row>
    <row r="172" spans="1:9">
      <c r="A172">
        <v>169</v>
      </c>
      <c r="B172" s="46">
        <v>44790</v>
      </c>
      <c r="C172" s="169">
        <v>2.0448352808154886</v>
      </c>
      <c r="D172" s="169">
        <v>16.581237981614105</v>
      </c>
      <c r="E172" s="169">
        <f t="shared" si="10"/>
        <v>2.0448352808154886</v>
      </c>
      <c r="F172" s="190" t="str">
        <f t="shared" si="9"/>
        <v/>
      </c>
      <c r="H172" t="str">
        <f t="shared" si="12"/>
        <v/>
      </c>
      <c r="I172" s="190" t="str">
        <f t="shared" si="11"/>
        <v/>
      </c>
    </row>
    <row r="173" spans="1:9">
      <c r="A173">
        <v>170</v>
      </c>
      <c r="B173" s="46">
        <v>44791</v>
      </c>
      <c r="C173" s="169">
        <v>4.3118216648145573</v>
      </c>
      <c r="D173" s="169">
        <v>16.581237981614105</v>
      </c>
      <c r="E173" s="169">
        <f t="shared" si="10"/>
        <v>4.3118216648145573</v>
      </c>
      <c r="F173" s="190" t="str">
        <f t="shared" si="9"/>
        <v/>
      </c>
      <c r="H173" t="str">
        <f t="shared" si="12"/>
        <v/>
      </c>
      <c r="I173" s="190" t="str">
        <f t="shared" si="11"/>
        <v/>
      </c>
    </row>
    <row r="174" spans="1:9">
      <c r="A174">
        <v>171</v>
      </c>
      <c r="B174" s="46">
        <v>44792</v>
      </c>
      <c r="C174" s="169">
        <v>12.737456120815484</v>
      </c>
      <c r="D174" s="169">
        <v>16.581237981614105</v>
      </c>
      <c r="E174" s="169">
        <f t="shared" si="10"/>
        <v>12.737456120815484</v>
      </c>
      <c r="F174" s="190" t="str">
        <f t="shared" si="9"/>
        <v/>
      </c>
      <c r="H174" t="str">
        <f t="shared" si="12"/>
        <v/>
      </c>
      <c r="I174" s="190" t="str">
        <f t="shared" si="11"/>
        <v/>
      </c>
    </row>
    <row r="175" spans="1:9">
      <c r="A175">
        <v>172</v>
      </c>
      <c r="B175" s="46">
        <v>44793</v>
      </c>
      <c r="C175" s="169">
        <v>8.6795645528154886</v>
      </c>
      <c r="D175" s="169">
        <v>16.581237981614105</v>
      </c>
      <c r="E175" s="169">
        <f t="shared" si="10"/>
        <v>8.6795645528154886</v>
      </c>
      <c r="F175" s="190" t="str">
        <f t="shared" si="9"/>
        <v/>
      </c>
      <c r="H175" t="str">
        <f t="shared" si="12"/>
        <v/>
      </c>
      <c r="I175" s="190" t="str">
        <f t="shared" si="11"/>
        <v/>
      </c>
    </row>
    <row r="176" spans="1:9">
      <c r="A176">
        <v>173</v>
      </c>
      <c r="B176" s="46">
        <v>44794</v>
      </c>
      <c r="C176" s="169">
        <v>0.63787914281455593</v>
      </c>
      <c r="D176" s="169">
        <v>16.581237981614105</v>
      </c>
      <c r="E176" s="169">
        <f t="shared" si="10"/>
        <v>0.63787914281455593</v>
      </c>
      <c r="F176" s="190" t="str">
        <f t="shared" si="9"/>
        <v/>
      </c>
      <c r="H176" t="str">
        <f t="shared" si="12"/>
        <v/>
      </c>
      <c r="I176" s="190" t="str">
        <f t="shared" si="11"/>
        <v/>
      </c>
    </row>
    <row r="177" spans="1:9">
      <c r="A177">
        <v>174</v>
      </c>
      <c r="B177" s="46">
        <v>44795</v>
      </c>
      <c r="C177" s="169">
        <v>3.61111934681642</v>
      </c>
      <c r="D177" s="169">
        <v>16.581237981614105</v>
      </c>
      <c r="E177" s="169">
        <f t="shared" si="10"/>
        <v>3.61111934681642</v>
      </c>
      <c r="F177" s="190" t="str">
        <f t="shared" si="9"/>
        <v/>
      </c>
      <c r="H177" t="str">
        <f t="shared" si="12"/>
        <v/>
      </c>
      <c r="I177" s="190" t="str">
        <f t="shared" si="11"/>
        <v/>
      </c>
    </row>
    <row r="178" spans="1:9">
      <c r="A178">
        <v>175</v>
      </c>
      <c r="B178" s="46">
        <v>44796</v>
      </c>
      <c r="C178" s="169">
        <v>14.42095846081456</v>
      </c>
      <c r="D178" s="169">
        <v>16.581237981614105</v>
      </c>
      <c r="E178" s="169">
        <f t="shared" si="10"/>
        <v>14.42095846081456</v>
      </c>
      <c r="F178" s="190" t="str">
        <f t="shared" si="9"/>
        <v/>
      </c>
      <c r="H178" t="str">
        <f t="shared" si="12"/>
        <v/>
      </c>
      <c r="I178" s="190" t="str">
        <f t="shared" si="11"/>
        <v/>
      </c>
    </row>
    <row r="179" spans="1:9">
      <c r="A179">
        <v>176</v>
      </c>
      <c r="B179" s="46">
        <v>44797</v>
      </c>
      <c r="C179" s="169">
        <v>8.6421926085703387</v>
      </c>
      <c r="D179" s="169">
        <v>16.581237981614105</v>
      </c>
      <c r="E179" s="169">
        <f t="shared" si="10"/>
        <v>8.6421926085703387</v>
      </c>
      <c r="F179" s="190" t="str">
        <f t="shared" si="9"/>
        <v/>
      </c>
      <c r="H179" t="str">
        <f t="shared" si="12"/>
        <v/>
      </c>
      <c r="I179" s="190" t="str">
        <f t="shared" si="11"/>
        <v/>
      </c>
    </row>
    <row r="180" spans="1:9">
      <c r="A180">
        <v>177</v>
      </c>
      <c r="B180" s="46">
        <v>44798</v>
      </c>
      <c r="C180" s="169">
        <v>1.5996729785712704</v>
      </c>
      <c r="D180" s="169">
        <v>16.581237981614105</v>
      </c>
      <c r="E180" s="169">
        <f t="shared" si="10"/>
        <v>1.5996729785712704</v>
      </c>
      <c r="F180" s="190" t="str">
        <f t="shared" si="9"/>
        <v/>
      </c>
      <c r="H180" t="str">
        <f t="shared" si="12"/>
        <v/>
      </c>
      <c r="I180" s="190" t="str">
        <f t="shared" si="11"/>
        <v/>
      </c>
    </row>
    <row r="181" spans="1:9">
      <c r="A181">
        <v>178</v>
      </c>
      <c r="B181" s="46">
        <v>44799</v>
      </c>
      <c r="C181" s="169">
        <v>0.86446228857127061</v>
      </c>
      <c r="D181" s="169">
        <v>16.581237981614105</v>
      </c>
      <c r="E181" s="169">
        <f t="shared" si="10"/>
        <v>0.86446228857127061</v>
      </c>
      <c r="F181" s="190" t="str">
        <f t="shared" si="9"/>
        <v/>
      </c>
      <c r="H181" t="str">
        <f t="shared" si="12"/>
        <v/>
      </c>
      <c r="I181" s="190" t="str">
        <f t="shared" si="11"/>
        <v/>
      </c>
    </row>
    <row r="182" spans="1:9">
      <c r="A182">
        <v>179</v>
      </c>
      <c r="B182" s="46">
        <v>44800</v>
      </c>
      <c r="C182" s="169">
        <v>6.8627261985703409</v>
      </c>
      <c r="D182" s="169">
        <v>16.581237981614105</v>
      </c>
      <c r="E182" s="169">
        <f t="shared" si="10"/>
        <v>6.8627261985703409</v>
      </c>
      <c r="F182" s="190" t="str">
        <f t="shared" si="9"/>
        <v/>
      </c>
      <c r="H182" t="str">
        <f t="shared" si="12"/>
        <v/>
      </c>
      <c r="I182" s="190" t="str">
        <f t="shared" si="11"/>
        <v/>
      </c>
    </row>
    <row r="183" spans="1:9">
      <c r="A183">
        <v>180</v>
      </c>
      <c r="B183" s="46">
        <v>44801</v>
      </c>
      <c r="C183" s="169">
        <v>1.2790894625712717</v>
      </c>
      <c r="D183" s="169">
        <v>16.581237981614105</v>
      </c>
      <c r="E183" s="169">
        <f t="shared" si="10"/>
        <v>1.2790894625712717</v>
      </c>
      <c r="F183" s="190" t="str">
        <f t="shared" si="9"/>
        <v/>
      </c>
      <c r="H183" t="str">
        <f t="shared" si="12"/>
        <v/>
      </c>
      <c r="I183" s="190" t="str">
        <f t="shared" si="11"/>
        <v/>
      </c>
    </row>
    <row r="184" spans="1:9">
      <c r="A184">
        <v>181</v>
      </c>
      <c r="B184" s="46">
        <v>44802</v>
      </c>
      <c r="C184" s="169">
        <v>7.5367625565703422</v>
      </c>
      <c r="D184" s="169">
        <v>16.581237981614105</v>
      </c>
      <c r="E184" s="169">
        <f t="shared" si="10"/>
        <v>7.5367625565703422</v>
      </c>
      <c r="F184" s="190" t="str">
        <f t="shared" si="9"/>
        <v/>
      </c>
      <c r="H184" t="str">
        <f t="shared" si="12"/>
        <v/>
      </c>
      <c r="I184" s="190" t="str">
        <f t="shared" si="11"/>
        <v/>
      </c>
    </row>
    <row r="185" spans="1:9">
      <c r="A185">
        <v>182</v>
      </c>
      <c r="B185" s="46">
        <v>44803</v>
      </c>
      <c r="C185" s="169">
        <v>19.798910736570338</v>
      </c>
      <c r="D185" s="169">
        <v>16.581237981614105</v>
      </c>
      <c r="E185" s="169">
        <f t="shared" si="10"/>
        <v>16.581237981614105</v>
      </c>
      <c r="F185" s="190" t="str">
        <f t="shared" si="9"/>
        <v/>
      </c>
      <c r="H185" t="str">
        <f t="shared" si="12"/>
        <v/>
      </c>
      <c r="I185" s="190" t="str">
        <f t="shared" si="11"/>
        <v/>
      </c>
    </row>
    <row r="186" spans="1:9">
      <c r="A186">
        <v>183</v>
      </c>
      <c r="B186" s="46">
        <v>44804</v>
      </c>
      <c r="C186" s="169">
        <v>8.7315964332490115</v>
      </c>
      <c r="D186" s="169">
        <v>16.581237981614105</v>
      </c>
      <c r="E186" s="169">
        <f t="shared" si="10"/>
        <v>8.7315964332490115</v>
      </c>
      <c r="F186" s="190" t="str">
        <f t="shared" si="9"/>
        <v/>
      </c>
      <c r="H186" t="str">
        <f t="shared" si="12"/>
        <v/>
      </c>
      <c r="I186" s="190" t="str">
        <f t="shared" si="11"/>
        <v/>
      </c>
    </row>
    <row r="187" spans="1:9">
      <c r="A187">
        <v>184</v>
      </c>
      <c r="B187" s="46">
        <v>44805</v>
      </c>
      <c r="C187" s="169">
        <v>3.7828873652471482</v>
      </c>
      <c r="D187" s="169">
        <v>21.033168040284398</v>
      </c>
      <c r="E187" s="169">
        <f t="shared" si="10"/>
        <v>3.7828873652471482</v>
      </c>
      <c r="F187" s="190" t="str">
        <f t="shared" si="9"/>
        <v/>
      </c>
      <c r="H187" t="str">
        <f t="shared" si="12"/>
        <v/>
      </c>
      <c r="I187" s="190" t="str">
        <f t="shared" si="11"/>
        <v/>
      </c>
    </row>
    <row r="188" spans="1:9">
      <c r="A188">
        <v>185</v>
      </c>
      <c r="B188" s="46">
        <v>44806</v>
      </c>
      <c r="C188" s="169">
        <v>0.90883960924807983</v>
      </c>
      <c r="D188" s="169">
        <v>21.033168040284398</v>
      </c>
      <c r="E188" s="169">
        <f t="shared" si="10"/>
        <v>0.90883960924807983</v>
      </c>
      <c r="F188" s="190" t="str">
        <f t="shared" si="9"/>
        <v/>
      </c>
      <c r="H188" t="str">
        <f t="shared" si="12"/>
        <v/>
      </c>
      <c r="I188" s="190" t="str">
        <f t="shared" si="11"/>
        <v/>
      </c>
    </row>
    <row r="189" spans="1:9">
      <c r="A189">
        <v>186</v>
      </c>
      <c r="B189" s="46">
        <v>44807</v>
      </c>
      <c r="C189" s="169">
        <v>1.0499202512480805</v>
      </c>
      <c r="D189" s="169">
        <v>21.033168040284398</v>
      </c>
      <c r="E189" s="169">
        <f t="shared" si="10"/>
        <v>1.0499202512480805</v>
      </c>
      <c r="F189" s="190" t="str">
        <f t="shared" si="9"/>
        <v/>
      </c>
      <c r="H189" t="str">
        <f t="shared" si="12"/>
        <v/>
      </c>
      <c r="I189" s="190" t="str">
        <f t="shared" si="11"/>
        <v/>
      </c>
    </row>
    <row r="190" spans="1:9">
      <c r="A190">
        <v>187</v>
      </c>
      <c r="B190" s="46">
        <v>44808</v>
      </c>
      <c r="C190" s="169">
        <v>0.80755490724715129</v>
      </c>
      <c r="D190" s="169">
        <v>21.033168040284398</v>
      </c>
      <c r="E190" s="169">
        <f t="shared" si="10"/>
        <v>0.80755490724715129</v>
      </c>
      <c r="F190" s="190" t="str">
        <f t="shared" si="9"/>
        <v/>
      </c>
      <c r="H190" t="str">
        <f t="shared" si="12"/>
        <v/>
      </c>
      <c r="I190" s="190" t="str">
        <f t="shared" si="11"/>
        <v/>
      </c>
    </row>
    <row r="191" spans="1:9">
      <c r="A191">
        <v>188</v>
      </c>
      <c r="B191" s="46">
        <v>44809</v>
      </c>
      <c r="C191" s="169">
        <v>1.2218452492471479</v>
      </c>
      <c r="D191" s="169">
        <v>21.033168040284398</v>
      </c>
      <c r="E191" s="169">
        <f t="shared" si="10"/>
        <v>1.2218452492471479</v>
      </c>
      <c r="F191" s="190" t="str">
        <f t="shared" si="9"/>
        <v/>
      </c>
      <c r="H191" t="str">
        <f t="shared" si="12"/>
        <v/>
      </c>
      <c r="I191" s="190" t="str">
        <f t="shared" si="11"/>
        <v/>
      </c>
    </row>
    <row r="192" spans="1:9">
      <c r="A192">
        <v>189</v>
      </c>
      <c r="B192" s="46">
        <v>44810</v>
      </c>
      <c r="C192" s="169">
        <v>1.0894917012471488</v>
      </c>
      <c r="D192" s="169">
        <v>21.033168040284398</v>
      </c>
      <c r="E192" s="169">
        <f t="shared" si="10"/>
        <v>1.0894917012471488</v>
      </c>
      <c r="F192" s="190" t="str">
        <f t="shared" si="9"/>
        <v/>
      </c>
      <c r="H192" t="str">
        <f t="shared" si="12"/>
        <v/>
      </c>
      <c r="I192" s="190" t="str">
        <f t="shared" si="11"/>
        <v/>
      </c>
    </row>
    <row r="193" spans="1:9">
      <c r="A193">
        <v>190</v>
      </c>
      <c r="B193" s="46">
        <v>44811</v>
      </c>
      <c r="C193" s="169">
        <v>2.8869032931076291</v>
      </c>
      <c r="D193" s="169">
        <v>21.033168040284398</v>
      </c>
      <c r="E193" s="169">
        <f t="shared" si="10"/>
        <v>2.8869032931076291</v>
      </c>
      <c r="F193" s="190" t="str">
        <f t="shared" si="9"/>
        <v/>
      </c>
      <c r="H193" t="str">
        <f t="shared" si="12"/>
        <v/>
      </c>
      <c r="I193" s="190" t="str">
        <f t="shared" si="11"/>
        <v/>
      </c>
    </row>
    <row r="194" spans="1:9">
      <c r="A194">
        <v>191</v>
      </c>
      <c r="B194" s="46">
        <v>44812</v>
      </c>
      <c r="C194" s="169">
        <v>14.760340259105767</v>
      </c>
      <c r="D194" s="169">
        <v>21.033168040284398</v>
      </c>
      <c r="E194" s="169">
        <f t="shared" si="10"/>
        <v>14.760340259105767</v>
      </c>
      <c r="F194" s="190" t="str">
        <f t="shared" si="9"/>
        <v/>
      </c>
      <c r="H194" t="str">
        <f t="shared" si="12"/>
        <v/>
      </c>
      <c r="I194" s="190" t="str">
        <f t="shared" si="11"/>
        <v/>
      </c>
    </row>
    <row r="195" spans="1:9">
      <c r="A195">
        <v>192</v>
      </c>
      <c r="B195" s="46">
        <v>44813</v>
      </c>
      <c r="C195" s="169">
        <v>35.064965161107629</v>
      </c>
      <c r="D195" s="169">
        <v>21.033168040284398</v>
      </c>
      <c r="E195" s="169">
        <f t="shared" si="10"/>
        <v>21.033168040284398</v>
      </c>
      <c r="F195" s="190" t="str">
        <f t="shared" ref="F195:F258" si="13">IF(DAY(B195)=15,IF(MONTH(B195)=1,"E",IF(MONTH(B195)=2,"F",IF(MONTH(B195)=3,"M",IF(MONTH(B195)=4,"A",IF(MONTH(B195)=5,"M",IF(MONTH(B195)=6,"J",IF(MONTH(B195)=7,"J",IF(MONTH(B195)=8,"A",IF(MONTH(B195)=9,"S",IF(MONTH(B195)=10,"O",IF(MONTH(B195)=11,"N",IF(MONTH(B195)=12,"D","")))))))))))),"")</f>
        <v/>
      </c>
      <c r="H195" t="str">
        <f t="shared" si="12"/>
        <v/>
      </c>
      <c r="I195" s="190" t="str">
        <f t="shared" si="11"/>
        <v/>
      </c>
    </row>
    <row r="196" spans="1:9">
      <c r="A196">
        <v>193</v>
      </c>
      <c r="B196" s="46">
        <v>44814</v>
      </c>
      <c r="C196" s="169">
        <v>13.339951817105764</v>
      </c>
      <c r="D196" s="169">
        <v>21.033168040284398</v>
      </c>
      <c r="E196" s="169">
        <f t="shared" ref="E196:E259" si="14">IF(C196&lt;D196,C196,D196)</f>
        <v>13.339951817105764</v>
      </c>
      <c r="F196" s="190" t="str">
        <f t="shared" si="13"/>
        <v/>
      </c>
      <c r="H196" t="str">
        <f t="shared" si="12"/>
        <v/>
      </c>
      <c r="I196" s="190" t="str">
        <f t="shared" ref="I196:I259" si="15">IF(DAY(B196)=15,IF(MONTH(B196)=1,"E",IF(MONTH(B196)=2,"F",IF(MONTH(B196)=3,"M",IF(MONTH(B196)=4,"A",IF(MONTH(B196)=5,"M",IF(MONTH(B196)=6,"J",IF(MONTH(B196)=7,"J",IF(MONTH(B196)=8,"A",IF(MONTH(B196)=9,"S",IF(MONTH(B196)=10,"O",IF(MONTH(B196)=11,"N",IF(MONTH(B196)=12,"D","")))))))))))),"")</f>
        <v/>
      </c>
    </row>
    <row r="197" spans="1:9">
      <c r="A197">
        <v>194</v>
      </c>
      <c r="B197" s="46">
        <v>44815</v>
      </c>
      <c r="C197" s="169">
        <v>3.9322403651076274</v>
      </c>
      <c r="D197" s="169">
        <v>21.033168040284398</v>
      </c>
      <c r="E197" s="169">
        <f t="shared" si="14"/>
        <v>3.9322403651076274</v>
      </c>
      <c r="F197" s="190" t="str">
        <f t="shared" si="13"/>
        <v/>
      </c>
      <c r="H197" t="str">
        <f t="shared" ref="H197:H260" si="16">IF(MONTH(B197)=1,IF(DAY(B197)=1,YEAR(B197),""),"")</f>
        <v/>
      </c>
      <c r="I197" s="190" t="str">
        <f t="shared" si="15"/>
        <v/>
      </c>
    </row>
    <row r="198" spans="1:9">
      <c r="A198">
        <v>195</v>
      </c>
      <c r="B198" s="46">
        <v>44816</v>
      </c>
      <c r="C198" s="169">
        <v>5.1425005751057649</v>
      </c>
      <c r="D198" s="169">
        <v>21.033168040284398</v>
      </c>
      <c r="E198" s="169">
        <f t="shared" si="14"/>
        <v>5.1425005751057649</v>
      </c>
      <c r="F198" s="190" t="str">
        <f t="shared" si="13"/>
        <v/>
      </c>
      <c r="H198" t="str">
        <f t="shared" si="16"/>
        <v/>
      </c>
      <c r="I198" s="190" t="str">
        <f t="shared" si="15"/>
        <v/>
      </c>
    </row>
    <row r="199" spans="1:9">
      <c r="A199">
        <v>196</v>
      </c>
      <c r="B199" s="46">
        <v>44817</v>
      </c>
      <c r="C199" s="169">
        <v>15.42366311510763</v>
      </c>
      <c r="D199" s="169">
        <v>21.033168040284398</v>
      </c>
      <c r="E199" s="169">
        <f t="shared" si="14"/>
        <v>15.42366311510763</v>
      </c>
      <c r="F199" s="190" t="str">
        <f t="shared" si="13"/>
        <v/>
      </c>
      <c r="H199" t="str">
        <f t="shared" si="16"/>
        <v/>
      </c>
      <c r="I199" s="190" t="str">
        <f t="shared" si="15"/>
        <v/>
      </c>
    </row>
    <row r="200" spans="1:9">
      <c r="A200">
        <v>197</v>
      </c>
      <c r="B200" s="46">
        <v>44818</v>
      </c>
      <c r="C200" s="169">
        <v>12.349760605496158</v>
      </c>
      <c r="D200" s="169">
        <v>21.033168040284398</v>
      </c>
      <c r="E200" s="169">
        <f t="shared" si="14"/>
        <v>12.349760605496158</v>
      </c>
      <c r="F200" s="190" t="str">
        <f t="shared" si="13"/>
        <v/>
      </c>
      <c r="H200" t="str">
        <f t="shared" si="16"/>
        <v/>
      </c>
      <c r="I200" s="190" t="str">
        <f t="shared" si="15"/>
        <v/>
      </c>
    </row>
    <row r="201" spans="1:9">
      <c r="A201">
        <v>198</v>
      </c>
      <c r="B201" s="46">
        <v>44819</v>
      </c>
      <c r="C201" s="169">
        <v>31.989309273495223</v>
      </c>
      <c r="D201" s="169">
        <v>21.033168040284398</v>
      </c>
      <c r="E201" s="169">
        <f t="shared" si="14"/>
        <v>21.033168040284398</v>
      </c>
      <c r="F201" s="190" t="str">
        <f t="shared" si="13"/>
        <v>S</v>
      </c>
      <c r="G201" s="191">
        <f>IF(DAY(B201)=15,D201,"")</f>
        <v>21.033168040284398</v>
      </c>
      <c r="H201" t="str">
        <f t="shared" si="16"/>
        <v/>
      </c>
      <c r="I201" s="190" t="str">
        <f t="shared" si="15"/>
        <v>S</v>
      </c>
    </row>
    <row r="202" spans="1:9">
      <c r="A202">
        <v>199</v>
      </c>
      <c r="B202" s="46">
        <v>44820</v>
      </c>
      <c r="C202" s="169">
        <v>36.948285189495216</v>
      </c>
      <c r="D202" s="169">
        <v>21.033168040284398</v>
      </c>
      <c r="E202" s="169">
        <f t="shared" si="14"/>
        <v>21.033168040284398</v>
      </c>
      <c r="F202" s="190" t="str">
        <f t="shared" si="13"/>
        <v/>
      </c>
      <c r="H202" t="str">
        <f t="shared" si="16"/>
        <v/>
      </c>
      <c r="I202" s="190" t="str">
        <f t="shared" si="15"/>
        <v/>
      </c>
    </row>
    <row r="203" spans="1:9">
      <c r="A203">
        <v>200</v>
      </c>
      <c r="B203" s="46">
        <v>44821</v>
      </c>
      <c r="C203" s="169">
        <v>16.074023705495222</v>
      </c>
      <c r="D203" s="169">
        <v>21.033168040284398</v>
      </c>
      <c r="E203" s="169">
        <f t="shared" si="14"/>
        <v>16.074023705495222</v>
      </c>
      <c r="F203" s="190" t="str">
        <f t="shared" si="13"/>
        <v/>
      </c>
      <c r="H203" t="str">
        <f t="shared" si="16"/>
        <v/>
      </c>
      <c r="I203" s="190" t="str">
        <f t="shared" si="15"/>
        <v/>
      </c>
    </row>
    <row r="204" spans="1:9">
      <c r="A204">
        <v>201</v>
      </c>
      <c r="B204" s="46">
        <v>44822</v>
      </c>
      <c r="C204" s="169">
        <v>13.853308805496155</v>
      </c>
      <c r="D204" s="169">
        <v>21.033168040284398</v>
      </c>
      <c r="E204" s="169">
        <f t="shared" si="14"/>
        <v>13.853308805496155</v>
      </c>
      <c r="F204" s="190" t="str">
        <f t="shared" si="13"/>
        <v/>
      </c>
      <c r="H204" t="str">
        <f t="shared" si="16"/>
        <v/>
      </c>
      <c r="I204" s="190" t="str">
        <f t="shared" si="15"/>
        <v/>
      </c>
    </row>
    <row r="205" spans="1:9">
      <c r="A205">
        <v>202</v>
      </c>
      <c r="B205" s="46">
        <v>44823</v>
      </c>
      <c r="C205" s="169">
        <v>28.378632505496157</v>
      </c>
      <c r="D205" s="169">
        <v>21.033168040284398</v>
      </c>
      <c r="E205" s="169">
        <f t="shared" si="14"/>
        <v>21.033168040284398</v>
      </c>
      <c r="F205" s="190" t="str">
        <f t="shared" si="13"/>
        <v/>
      </c>
      <c r="H205" t="str">
        <f t="shared" si="16"/>
        <v/>
      </c>
      <c r="I205" s="190" t="str">
        <f t="shared" si="15"/>
        <v/>
      </c>
    </row>
    <row r="206" spans="1:9">
      <c r="A206">
        <v>203</v>
      </c>
      <c r="B206" s="46">
        <v>44824</v>
      </c>
      <c r="C206" s="169">
        <v>28.874847413494294</v>
      </c>
      <c r="D206" s="169">
        <v>21.033168040284398</v>
      </c>
      <c r="E206" s="169">
        <f t="shared" si="14"/>
        <v>21.033168040284398</v>
      </c>
      <c r="F206" s="190" t="str">
        <f t="shared" si="13"/>
        <v/>
      </c>
      <c r="H206" t="str">
        <f t="shared" si="16"/>
        <v/>
      </c>
      <c r="I206" s="190" t="str">
        <f t="shared" si="15"/>
        <v/>
      </c>
    </row>
    <row r="207" spans="1:9">
      <c r="A207">
        <v>204</v>
      </c>
      <c r="B207" s="46">
        <v>44825</v>
      </c>
      <c r="C207" s="169">
        <v>18.91056866332821</v>
      </c>
      <c r="D207" s="169">
        <v>21.033168040284398</v>
      </c>
      <c r="E207" s="169">
        <f t="shared" si="14"/>
        <v>18.91056866332821</v>
      </c>
      <c r="F207" s="190" t="str">
        <f t="shared" si="13"/>
        <v/>
      </c>
      <c r="H207" t="str">
        <f t="shared" si="16"/>
        <v/>
      </c>
      <c r="I207" s="190" t="str">
        <f t="shared" si="15"/>
        <v/>
      </c>
    </row>
    <row r="208" spans="1:9">
      <c r="A208">
        <v>205</v>
      </c>
      <c r="B208" s="46">
        <v>44826</v>
      </c>
      <c r="C208" s="169">
        <v>15.011955983329143</v>
      </c>
      <c r="D208" s="169">
        <v>21.033168040284398</v>
      </c>
      <c r="E208" s="169">
        <f t="shared" si="14"/>
        <v>15.011955983329143</v>
      </c>
      <c r="F208" s="190" t="str">
        <f t="shared" si="13"/>
        <v/>
      </c>
      <c r="H208" t="str">
        <f t="shared" si="16"/>
        <v/>
      </c>
      <c r="I208" s="190" t="str">
        <f t="shared" si="15"/>
        <v/>
      </c>
    </row>
    <row r="209" spans="1:9">
      <c r="A209">
        <v>206</v>
      </c>
      <c r="B209" s="46">
        <v>44827</v>
      </c>
      <c r="C209" s="169">
        <v>15.385728020327274</v>
      </c>
      <c r="D209" s="169">
        <v>21.033168040284398</v>
      </c>
      <c r="E209" s="169">
        <f t="shared" si="14"/>
        <v>15.385728020327274</v>
      </c>
      <c r="F209" s="190" t="str">
        <f t="shared" si="13"/>
        <v/>
      </c>
      <c r="H209" t="str">
        <f t="shared" si="16"/>
        <v/>
      </c>
      <c r="I209" s="190" t="str">
        <f t="shared" si="15"/>
        <v/>
      </c>
    </row>
    <row r="210" spans="1:9">
      <c r="A210">
        <v>207</v>
      </c>
      <c r="B210" s="46">
        <v>44828</v>
      </c>
      <c r="C210" s="169">
        <v>7.3847436263291382</v>
      </c>
      <c r="D210" s="169">
        <v>21.033168040284398</v>
      </c>
      <c r="E210" s="169">
        <f t="shared" si="14"/>
        <v>7.3847436263291382</v>
      </c>
      <c r="F210" s="190" t="str">
        <f t="shared" si="13"/>
        <v/>
      </c>
      <c r="H210" t="str">
        <f t="shared" si="16"/>
        <v/>
      </c>
      <c r="I210" s="190" t="str">
        <f t="shared" si="15"/>
        <v/>
      </c>
    </row>
    <row r="211" spans="1:9">
      <c r="A211">
        <v>208</v>
      </c>
      <c r="B211" s="46">
        <v>44829</v>
      </c>
      <c r="C211" s="169">
        <v>1.3258039603282086</v>
      </c>
      <c r="D211" s="169">
        <v>21.033168040284398</v>
      </c>
      <c r="E211" s="169">
        <f t="shared" si="14"/>
        <v>1.3258039603282086</v>
      </c>
      <c r="F211" s="190" t="str">
        <f t="shared" si="13"/>
        <v/>
      </c>
      <c r="H211" t="str">
        <f t="shared" si="16"/>
        <v/>
      </c>
      <c r="I211" s="190" t="str">
        <f t="shared" si="15"/>
        <v/>
      </c>
    </row>
    <row r="212" spans="1:9">
      <c r="A212">
        <v>209</v>
      </c>
      <c r="B212" s="46">
        <v>44830</v>
      </c>
      <c r="C212" s="169">
        <v>1.1169635263272795</v>
      </c>
      <c r="D212" s="169">
        <v>21.033168040284398</v>
      </c>
      <c r="E212" s="169">
        <f t="shared" si="14"/>
        <v>1.1169635263272795</v>
      </c>
      <c r="F212" s="190" t="str">
        <f t="shared" si="13"/>
        <v/>
      </c>
      <c r="H212" t="str">
        <f t="shared" si="16"/>
        <v/>
      </c>
      <c r="I212" s="190" t="str">
        <f t="shared" si="15"/>
        <v/>
      </c>
    </row>
    <row r="213" spans="1:9">
      <c r="A213">
        <v>210</v>
      </c>
      <c r="B213" s="46">
        <v>44831</v>
      </c>
      <c r="C213" s="169">
        <v>0.78786596332913905</v>
      </c>
      <c r="D213" s="169">
        <v>21.033168040284398</v>
      </c>
      <c r="E213" s="169">
        <f t="shared" si="14"/>
        <v>0.78786596332913905</v>
      </c>
      <c r="F213" s="190" t="str">
        <f t="shared" si="13"/>
        <v/>
      </c>
      <c r="H213" t="str">
        <f t="shared" si="16"/>
        <v/>
      </c>
      <c r="I213" s="190" t="str">
        <f t="shared" si="15"/>
        <v/>
      </c>
    </row>
    <row r="214" spans="1:9">
      <c r="A214">
        <v>211</v>
      </c>
      <c r="B214" s="46">
        <v>44832</v>
      </c>
      <c r="C214" s="169">
        <v>0.62199482457556587</v>
      </c>
      <c r="D214" s="169">
        <v>21.033168040284398</v>
      </c>
      <c r="E214" s="169">
        <f t="shared" si="14"/>
        <v>0.62199482457556587</v>
      </c>
      <c r="F214" s="190" t="str">
        <f t="shared" si="13"/>
        <v/>
      </c>
      <c r="H214" t="str">
        <f t="shared" si="16"/>
        <v/>
      </c>
      <c r="I214" s="190" t="str">
        <f t="shared" si="15"/>
        <v/>
      </c>
    </row>
    <row r="215" spans="1:9">
      <c r="A215">
        <v>212</v>
      </c>
      <c r="B215" s="46">
        <v>44833</v>
      </c>
      <c r="C215" s="169">
        <v>1.5908444845746343</v>
      </c>
      <c r="D215" s="169">
        <v>21.033168040284398</v>
      </c>
      <c r="E215" s="169">
        <f t="shared" si="14"/>
        <v>1.5908444845746343</v>
      </c>
      <c r="F215" s="190" t="str">
        <f t="shared" si="13"/>
        <v/>
      </c>
      <c r="H215" t="str">
        <f t="shared" si="16"/>
        <v/>
      </c>
      <c r="I215" s="190" t="str">
        <f t="shared" si="15"/>
        <v/>
      </c>
    </row>
    <row r="216" spans="1:9">
      <c r="A216">
        <v>213</v>
      </c>
      <c r="B216" s="46">
        <v>44834</v>
      </c>
      <c r="C216" s="169">
        <v>15.933703672575568</v>
      </c>
      <c r="D216" s="169">
        <v>21.033168040284398</v>
      </c>
      <c r="E216" s="169">
        <f t="shared" si="14"/>
        <v>15.933703672575568</v>
      </c>
      <c r="F216" s="190" t="str">
        <f t="shared" si="13"/>
        <v/>
      </c>
      <c r="H216" t="str">
        <f t="shared" si="16"/>
        <v/>
      </c>
      <c r="I216" s="190" t="str">
        <f t="shared" si="15"/>
        <v/>
      </c>
    </row>
    <row r="217" spans="1:9">
      <c r="A217">
        <v>214</v>
      </c>
      <c r="B217" s="46">
        <v>44835</v>
      </c>
      <c r="C217" s="169">
        <v>11.227034907575566</v>
      </c>
      <c r="D217" s="169">
        <v>41.704179443866899</v>
      </c>
      <c r="E217" s="169">
        <f t="shared" si="14"/>
        <v>11.227034907575566</v>
      </c>
      <c r="F217" s="190" t="str">
        <f t="shared" si="13"/>
        <v/>
      </c>
      <c r="H217" t="str">
        <f t="shared" si="16"/>
        <v/>
      </c>
      <c r="I217" s="190" t="str">
        <f t="shared" si="15"/>
        <v/>
      </c>
    </row>
    <row r="218" spans="1:9">
      <c r="A218">
        <v>215</v>
      </c>
      <c r="B218" s="46">
        <v>44836</v>
      </c>
      <c r="C218" s="169">
        <v>7.9707422325755672</v>
      </c>
      <c r="D218" s="169">
        <v>41.704179443866899</v>
      </c>
      <c r="E218" s="169">
        <f t="shared" si="14"/>
        <v>7.9707422325755672</v>
      </c>
      <c r="F218" s="190" t="str">
        <f t="shared" si="13"/>
        <v/>
      </c>
      <c r="H218" t="str">
        <f t="shared" si="16"/>
        <v/>
      </c>
      <c r="I218" s="190" t="str">
        <f t="shared" si="15"/>
        <v/>
      </c>
    </row>
    <row r="219" spans="1:9">
      <c r="A219">
        <v>216</v>
      </c>
      <c r="B219" s="46">
        <v>44837</v>
      </c>
      <c r="C219" s="169">
        <v>20.891594586575568</v>
      </c>
      <c r="D219" s="169">
        <v>41.704179443866899</v>
      </c>
      <c r="E219" s="169">
        <f t="shared" si="14"/>
        <v>20.891594586575568</v>
      </c>
      <c r="F219" s="190" t="str">
        <f t="shared" si="13"/>
        <v/>
      </c>
      <c r="H219" t="str">
        <f t="shared" si="16"/>
        <v/>
      </c>
      <c r="I219" s="190" t="str">
        <f t="shared" si="15"/>
        <v/>
      </c>
    </row>
    <row r="220" spans="1:9">
      <c r="A220">
        <v>217</v>
      </c>
      <c r="B220" s="46">
        <v>44838</v>
      </c>
      <c r="C220" s="169">
        <v>16.433540057575566</v>
      </c>
      <c r="D220" s="169">
        <v>41.704179443866899</v>
      </c>
      <c r="E220" s="169">
        <f t="shared" si="14"/>
        <v>16.433540057575566</v>
      </c>
      <c r="F220" s="190" t="str">
        <f t="shared" si="13"/>
        <v/>
      </c>
      <c r="H220" t="str">
        <f t="shared" si="16"/>
        <v/>
      </c>
      <c r="I220" s="190" t="str">
        <f t="shared" si="15"/>
        <v/>
      </c>
    </row>
    <row r="221" spans="1:9">
      <c r="A221">
        <v>218</v>
      </c>
      <c r="B221" s="46">
        <v>44839</v>
      </c>
      <c r="C221" s="169">
        <v>8.6749098880381279</v>
      </c>
      <c r="D221" s="169">
        <v>41.704179443866899</v>
      </c>
      <c r="E221" s="169">
        <f t="shared" si="14"/>
        <v>8.6749098880381279</v>
      </c>
      <c r="F221" s="190" t="str">
        <f t="shared" si="13"/>
        <v/>
      </c>
      <c r="H221" t="str">
        <f t="shared" si="16"/>
        <v/>
      </c>
      <c r="I221" s="190" t="str">
        <f t="shared" si="15"/>
        <v/>
      </c>
    </row>
    <row r="222" spans="1:9">
      <c r="A222">
        <v>219</v>
      </c>
      <c r="B222" s="46">
        <v>44840</v>
      </c>
      <c r="C222" s="169">
        <v>9.3689522890390577</v>
      </c>
      <c r="D222" s="169">
        <v>41.704179443866899</v>
      </c>
      <c r="E222" s="169">
        <f t="shared" si="14"/>
        <v>9.3689522890390577</v>
      </c>
      <c r="F222" s="190" t="str">
        <f t="shared" si="13"/>
        <v/>
      </c>
      <c r="H222" t="str">
        <f t="shared" si="16"/>
        <v/>
      </c>
      <c r="I222" s="190" t="str">
        <f t="shared" si="15"/>
        <v/>
      </c>
    </row>
    <row r="223" spans="1:9">
      <c r="A223">
        <v>220</v>
      </c>
      <c r="B223" s="46">
        <v>44841</v>
      </c>
      <c r="C223" s="169">
        <v>13.773585029038127</v>
      </c>
      <c r="D223" s="169">
        <v>41.704179443866899</v>
      </c>
      <c r="E223" s="169">
        <f t="shared" si="14"/>
        <v>13.773585029038127</v>
      </c>
      <c r="F223" s="190" t="str">
        <f t="shared" si="13"/>
        <v/>
      </c>
      <c r="H223" t="str">
        <f t="shared" si="16"/>
        <v/>
      </c>
      <c r="I223" s="190" t="str">
        <f t="shared" si="15"/>
        <v/>
      </c>
    </row>
    <row r="224" spans="1:9">
      <c r="A224">
        <v>221</v>
      </c>
      <c r="B224" s="46">
        <v>44842</v>
      </c>
      <c r="C224" s="169">
        <v>5.7188718090381263</v>
      </c>
      <c r="D224" s="169">
        <v>41.704179443866899</v>
      </c>
      <c r="E224" s="169">
        <f t="shared" si="14"/>
        <v>5.7188718090381263</v>
      </c>
      <c r="F224" s="190" t="str">
        <f t="shared" si="13"/>
        <v/>
      </c>
      <c r="H224" t="str">
        <f t="shared" si="16"/>
        <v/>
      </c>
      <c r="I224" s="190" t="str">
        <f t="shared" si="15"/>
        <v/>
      </c>
    </row>
    <row r="225" spans="1:9">
      <c r="A225">
        <v>222</v>
      </c>
      <c r="B225" s="46">
        <v>44843</v>
      </c>
      <c r="C225" s="169">
        <v>4.7329473290381268</v>
      </c>
      <c r="D225" s="169">
        <v>41.704179443866899</v>
      </c>
      <c r="E225" s="169">
        <f t="shared" si="14"/>
        <v>4.7329473290381268</v>
      </c>
      <c r="F225" s="190" t="str">
        <f t="shared" si="13"/>
        <v/>
      </c>
      <c r="H225" t="str">
        <f t="shared" si="16"/>
        <v/>
      </c>
      <c r="I225" s="190" t="str">
        <f t="shared" si="15"/>
        <v/>
      </c>
    </row>
    <row r="226" spans="1:9">
      <c r="A226">
        <v>223</v>
      </c>
      <c r="B226" s="46">
        <v>44844</v>
      </c>
      <c r="C226" s="169">
        <v>14.908775329039058</v>
      </c>
      <c r="D226" s="169">
        <v>41.704179443866899</v>
      </c>
      <c r="E226" s="169">
        <f t="shared" si="14"/>
        <v>14.908775329039058</v>
      </c>
      <c r="F226" s="190" t="str">
        <f t="shared" si="13"/>
        <v/>
      </c>
      <c r="H226" t="str">
        <f t="shared" si="16"/>
        <v/>
      </c>
      <c r="I226" s="190" t="str">
        <f t="shared" si="15"/>
        <v/>
      </c>
    </row>
    <row r="227" spans="1:9">
      <c r="A227">
        <v>224</v>
      </c>
      <c r="B227" s="46">
        <v>44845</v>
      </c>
      <c r="C227" s="169">
        <v>11.686731429039057</v>
      </c>
      <c r="D227" s="169">
        <v>41.704179443866899</v>
      </c>
      <c r="E227" s="169">
        <f t="shared" si="14"/>
        <v>11.686731429039057</v>
      </c>
      <c r="F227" s="190" t="str">
        <f t="shared" si="13"/>
        <v/>
      </c>
      <c r="H227" t="str">
        <f t="shared" si="16"/>
        <v/>
      </c>
      <c r="I227" s="190" t="str">
        <f t="shared" si="15"/>
        <v/>
      </c>
    </row>
    <row r="228" spans="1:9">
      <c r="A228">
        <v>225</v>
      </c>
      <c r="B228" s="46">
        <v>44846</v>
      </c>
      <c r="C228" s="169">
        <v>8.0333308843297484</v>
      </c>
      <c r="D228" s="169">
        <v>41.704179443866899</v>
      </c>
      <c r="E228" s="169">
        <f t="shared" si="14"/>
        <v>8.0333308843297484</v>
      </c>
      <c r="F228" s="190" t="str">
        <f t="shared" si="13"/>
        <v/>
      </c>
      <c r="H228" t="str">
        <f t="shared" si="16"/>
        <v/>
      </c>
      <c r="I228" s="190" t="str">
        <f t="shared" si="15"/>
        <v/>
      </c>
    </row>
    <row r="229" spans="1:9">
      <c r="A229">
        <v>226</v>
      </c>
      <c r="B229" s="46">
        <v>44847</v>
      </c>
      <c r="C229" s="169">
        <v>13.818515744328819</v>
      </c>
      <c r="D229" s="169">
        <v>41.704179443866899</v>
      </c>
      <c r="E229" s="169">
        <f t="shared" si="14"/>
        <v>13.818515744328819</v>
      </c>
      <c r="F229" s="190" t="str">
        <f t="shared" si="13"/>
        <v/>
      </c>
      <c r="H229" t="str">
        <f t="shared" si="16"/>
        <v/>
      </c>
      <c r="I229" s="190" t="str">
        <f t="shared" si="15"/>
        <v/>
      </c>
    </row>
    <row r="230" spans="1:9">
      <c r="A230">
        <v>227</v>
      </c>
      <c r="B230" s="46">
        <v>44848</v>
      </c>
      <c r="C230" s="169">
        <v>13.067054888329748</v>
      </c>
      <c r="D230" s="169">
        <v>41.704179443866899</v>
      </c>
      <c r="E230" s="169">
        <f t="shared" si="14"/>
        <v>13.067054888329748</v>
      </c>
      <c r="F230" s="190" t="str">
        <f t="shared" si="13"/>
        <v/>
      </c>
      <c r="H230" t="str">
        <f t="shared" si="16"/>
        <v/>
      </c>
      <c r="I230" s="190" t="str">
        <f t="shared" si="15"/>
        <v/>
      </c>
    </row>
    <row r="231" spans="1:9">
      <c r="A231">
        <v>228</v>
      </c>
      <c r="B231" s="46">
        <v>44849</v>
      </c>
      <c r="C231" s="169">
        <v>8.1490059843288183</v>
      </c>
      <c r="D231" s="169">
        <v>41.704179443866899</v>
      </c>
      <c r="E231" s="169">
        <f t="shared" si="14"/>
        <v>8.1490059843288183</v>
      </c>
      <c r="F231" s="190" t="str">
        <f t="shared" si="13"/>
        <v>O</v>
      </c>
      <c r="G231" s="191">
        <f>IF(DAY(B231)=15,D231,"")</f>
        <v>41.704179443866899</v>
      </c>
      <c r="H231" t="str">
        <f t="shared" si="16"/>
        <v/>
      </c>
      <c r="I231" s="190" t="str">
        <f t="shared" si="15"/>
        <v>O</v>
      </c>
    </row>
    <row r="232" spans="1:9">
      <c r="A232">
        <v>229</v>
      </c>
      <c r="B232" s="46">
        <v>44850</v>
      </c>
      <c r="C232" s="169">
        <v>9.3695336443297492</v>
      </c>
      <c r="D232" s="169">
        <v>41.704179443866899</v>
      </c>
      <c r="E232" s="169">
        <f t="shared" si="14"/>
        <v>9.3695336443297492</v>
      </c>
      <c r="F232" s="190" t="str">
        <f t="shared" si="13"/>
        <v/>
      </c>
      <c r="H232" t="str">
        <f t="shared" si="16"/>
        <v/>
      </c>
      <c r="I232" s="190" t="str">
        <f t="shared" si="15"/>
        <v/>
      </c>
    </row>
    <row r="233" spans="1:9">
      <c r="A233">
        <v>230</v>
      </c>
      <c r="B233" s="46">
        <v>44851</v>
      </c>
      <c r="C233" s="169">
        <v>13.885516124329747</v>
      </c>
      <c r="D233" s="169">
        <v>41.704179443866899</v>
      </c>
      <c r="E233" s="169">
        <f t="shared" si="14"/>
        <v>13.885516124329747</v>
      </c>
      <c r="F233" s="190" t="str">
        <f t="shared" si="13"/>
        <v/>
      </c>
      <c r="H233" t="str">
        <f t="shared" si="16"/>
        <v/>
      </c>
      <c r="I233" s="190" t="str">
        <f t="shared" si="15"/>
        <v/>
      </c>
    </row>
    <row r="234" spans="1:9">
      <c r="A234">
        <v>231</v>
      </c>
      <c r="B234" s="46">
        <v>44852</v>
      </c>
      <c r="C234" s="169">
        <v>13.979799504328817</v>
      </c>
      <c r="D234" s="169">
        <v>41.704179443866899</v>
      </c>
      <c r="E234" s="169">
        <f t="shared" si="14"/>
        <v>13.979799504328817</v>
      </c>
      <c r="F234" s="190" t="str">
        <f t="shared" si="13"/>
        <v/>
      </c>
      <c r="H234" t="str">
        <f t="shared" si="16"/>
        <v/>
      </c>
      <c r="I234" s="190" t="str">
        <f t="shared" si="15"/>
        <v/>
      </c>
    </row>
    <row r="235" spans="1:9">
      <c r="A235">
        <v>232</v>
      </c>
      <c r="B235" s="46">
        <v>44853</v>
      </c>
      <c r="C235" s="169">
        <v>36.042525623746585</v>
      </c>
      <c r="D235" s="169">
        <v>41.704179443866899</v>
      </c>
      <c r="E235" s="169">
        <f t="shared" si="14"/>
        <v>36.042525623746585</v>
      </c>
      <c r="F235" s="190" t="str">
        <f t="shared" si="13"/>
        <v/>
      </c>
      <c r="H235" t="str">
        <f t="shared" si="16"/>
        <v/>
      </c>
      <c r="I235" s="190" t="str">
        <f t="shared" si="15"/>
        <v/>
      </c>
    </row>
    <row r="236" spans="1:9">
      <c r="A236">
        <v>233</v>
      </c>
      <c r="B236" s="46">
        <v>44854</v>
      </c>
      <c r="C236" s="169">
        <v>41.862411023747526</v>
      </c>
      <c r="D236" s="169">
        <v>41.704179443866899</v>
      </c>
      <c r="E236" s="169">
        <f t="shared" si="14"/>
        <v>41.704179443866899</v>
      </c>
      <c r="F236" s="190" t="str">
        <f t="shared" si="13"/>
        <v/>
      </c>
      <c r="H236" t="str">
        <f t="shared" si="16"/>
        <v/>
      </c>
      <c r="I236" s="190" t="str">
        <f t="shared" si="15"/>
        <v/>
      </c>
    </row>
    <row r="237" spans="1:9">
      <c r="A237">
        <v>234</v>
      </c>
      <c r="B237" s="46">
        <v>44855</v>
      </c>
      <c r="C237" s="169">
        <v>48.232235227746592</v>
      </c>
      <c r="D237" s="169">
        <v>41.704179443866899</v>
      </c>
      <c r="E237" s="169">
        <f t="shared" si="14"/>
        <v>41.704179443866899</v>
      </c>
      <c r="F237" s="190" t="str">
        <f t="shared" si="13"/>
        <v/>
      </c>
      <c r="H237" t="str">
        <f t="shared" si="16"/>
        <v/>
      </c>
      <c r="I237" s="190" t="str">
        <f t="shared" si="15"/>
        <v/>
      </c>
    </row>
    <row r="238" spans="1:9">
      <c r="A238">
        <v>235</v>
      </c>
      <c r="B238" s="46">
        <v>44856</v>
      </c>
      <c r="C238" s="169">
        <v>42.953111683746592</v>
      </c>
      <c r="D238" s="169">
        <v>41.704179443866899</v>
      </c>
      <c r="E238" s="169">
        <f t="shared" si="14"/>
        <v>41.704179443866899</v>
      </c>
      <c r="F238" s="190" t="str">
        <f t="shared" si="13"/>
        <v/>
      </c>
      <c r="H238" t="str">
        <f t="shared" si="16"/>
        <v/>
      </c>
      <c r="I238" s="190" t="str">
        <f t="shared" si="15"/>
        <v/>
      </c>
    </row>
    <row r="239" spans="1:9">
      <c r="A239">
        <v>236</v>
      </c>
      <c r="B239" s="46">
        <v>44857</v>
      </c>
      <c r="C239" s="169">
        <v>43.362609591746583</v>
      </c>
      <c r="D239" s="169">
        <v>41.704179443866899</v>
      </c>
      <c r="E239" s="169">
        <f t="shared" si="14"/>
        <v>41.704179443866899</v>
      </c>
      <c r="F239" s="190" t="str">
        <f t="shared" si="13"/>
        <v/>
      </c>
      <c r="H239" t="str">
        <f t="shared" si="16"/>
        <v/>
      </c>
      <c r="I239" s="190" t="str">
        <f t="shared" si="15"/>
        <v/>
      </c>
    </row>
    <row r="240" spans="1:9">
      <c r="A240">
        <v>237</v>
      </c>
      <c r="B240" s="46">
        <v>44858</v>
      </c>
      <c r="C240" s="169">
        <v>55.478940703746588</v>
      </c>
      <c r="D240" s="169">
        <v>41.704179443866899</v>
      </c>
      <c r="E240" s="169">
        <f t="shared" si="14"/>
        <v>41.704179443866899</v>
      </c>
      <c r="F240" s="190" t="str">
        <f t="shared" si="13"/>
        <v/>
      </c>
      <c r="H240" t="str">
        <f t="shared" si="16"/>
        <v/>
      </c>
      <c r="I240" s="190" t="str">
        <f t="shared" si="15"/>
        <v/>
      </c>
    </row>
    <row r="241" spans="1:9">
      <c r="A241">
        <v>238</v>
      </c>
      <c r="B241" s="46">
        <v>44859</v>
      </c>
      <c r="C241" s="169">
        <v>44.782790679745652</v>
      </c>
      <c r="D241" s="169">
        <v>41.704179443866899</v>
      </c>
      <c r="E241" s="169">
        <f t="shared" si="14"/>
        <v>41.704179443866899</v>
      </c>
      <c r="F241" s="190" t="str">
        <f t="shared" si="13"/>
        <v/>
      </c>
      <c r="H241" t="str">
        <f t="shared" si="16"/>
        <v/>
      </c>
      <c r="I241" s="190" t="str">
        <f t="shared" si="15"/>
        <v/>
      </c>
    </row>
    <row r="242" spans="1:9">
      <c r="A242">
        <v>239</v>
      </c>
      <c r="B242" s="46">
        <v>44860</v>
      </c>
      <c r="C242" s="169">
        <v>65.213771026325347</v>
      </c>
      <c r="D242" s="169">
        <v>41.704179443866899</v>
      </c>
      <c r="E242" s="169">
        <f t="shared" si="14"/>
        <v>41.704179443866899</v>
      </c>
      <c r="F242" s="190" t="str">
        <f t="shared" si="13"/>
        <v/>
      </c>
      <c r="H242" t="str">
        <f t="shared" si="16"/>
        <v/>
      </c>
      <c r="I242" s="190" t="str">
        <f t="shared" si="15"/>
        <v/>
      </c>
    </row>
    <row r="243" spans="1:9">
      <c r="A243">
        <v>240</v>
      </c>
      <c r="B243" s="46">
        <v>44861</v>
      </c>
      <c r="C243" s="169">
        <v>50.209895595325349</v>
      </c>
      <c r="D243" s="169">
        <v>41.704179443866899</v>
      </c>
      <c r="E243" s="169">
        <f t="shared" si="14"/>
        <v>41.704179443866899</v>
      </c>
      <c r="F243" s="190" t="str">
        <f t="shared" si="13"/>
        <v/>
      </c>
      <c r="H243" t="str">
        <f t="shared" si="16"/>
        <v/>
      </c>
      <c r="I243" s="190" t="str">
        <f t="shared" si="15"/>
        <v/>
      </c>
    </row>
    <row r="244" spans="1:9">
      <c r="A244">
        <v>241</v>
      </c>
      <c r="B244" s="46">
        <v>44862</v>
      </c>
      <c r="C244" s="169">
        <v>53.048136565324413</v>
      </c>
      <c r="D244" s="169">
        <v>41.704179443866899</v>
      </c>
      <c r="E244" s="169">
        <f t="shared" si="14"/>
        <v>41.704179443866899</v>
      </c>
      <c r="F244" s="190" t="str">
        <f t="shared" si="13"/>
        <v/>
      </c>
      <c r="H244" t="str">
        <f t="shared" si="16"/>
        <v/>
      </c>
      <c r="I244" s="190" t="str">
        <f t="shared" si="15"/>
        <v/>
      </c>
    </row>
    <row r="245" spans="1:9">
      <c r="A245">
        <v>242</v>
      </c>
      <c r="B245" s="46">
        <v>44863</v>
      </c>
      <c r="C245" s="169">
        <v>54.221547558325341</v>
      </c>
      <c r="D245" s="169">
        <v>41.704179443866899</v>
      </c>
      <c r="E245" s="169">
        <f t="shared" si="14"/>
        <v>41.704179443866899</v>
      </c>
      <c r="F245" s="190" t="str">
        <f t="shared" si="13"/>
        <v/>
      </c>
      <c r="H245" t="str">
        <f t="shared" si="16"/>
        <v/>
      </c>
      <c r="I245" s="190" t="str">
        <f t="shared" si="15"/>
        <v/>
      </c>
    </row>
    <row r="246" spans="1:9">
      <c r="A246">
        <v>243</v>
      </c>
      <c r="B246" s="46">
        <v>44864</v>
      </c>
      <c r="C246" s="169">
        <v>56.44741686632441</v>
      </c>
      <c r="D246" s="169">
        <v>41.704179443866899</v>
      </c>
      <c r="E246" s="169">
        <f t="shared" si="14"/>
        <v>41.704179443866899</v>
      </c>
      <c r="F246" s="190" t="str">
        <f t="shared" si="13"/>
        <v/>
      </c>
      <c r="H246" t="str">
        <f t="shared" si="16"/>
        <v/>
      </c>
      <c r="I246" s="190" t="str">
        <f t="shared" si="15"/>
        <v/>
      </c>
    </row>
    <row r="247" spans="1:9">
      <c r="A247">
        <v>244</v>
      </c>
      <c r="B247" s="46">
        <v>44865</v>
      </c>
      <c r="C247" s="169">
        <v>56.191996070324414</v>
      </c>
      <c r="D247" s="169">
        <v>41.704179443866899</v>
      </c>
      <c r="E247" s="169">
        <f t="shared" si="14"/>
        <v>41.704179443866899</v>
      </c>
      <c r="F247" s="190" t="str">
        <f t="shared" si="13"/>
        <v/>
      </c>
      <c r="H247" t="str">
        <f t="shared" si="16"/>
        <v/>
      </c>
      <c r="I247" s="190" t="str">
        <f t="shared" si="15"/>
        <v/>
      </c>
    </row>
    <row r="248" spans="1:9">
      <c r="A248">
        <v>245</v>
      </c>
      <c r="B248" s="46">
        <v>44866</v>
      </c>
      <c r="C248" s="169">
        <v>55.130181238325342</v>
      </c>
      <c r="D248" s="169">
        <v>83.437278222405467</v>
      </c>
      <c r="E248" s="169">
        <f t="shared" si="14"/>
        <v>55.130181238325342</v>
      </c>
      <c r="F248" s="190" t="str">
        <f t="shared" si="13"/>
        <v/>
      </c>
      <c r="H248" t="str">
        <f t="shared" si="16"/>
        <v/>
      </c>
      <c r="I248" s="190" t="str">
        <f t="shared" si="15"/>
        <v/>
      </c>
    </row>
    <row r="249" spans="1:9">
      <c r="A249">
        <v>246</v>
      </c>
      <c r="B249" s="46">
        <v>44867</v>
      </c>
      <c r="C249" s="169">
        <v>48.506123542046467</v>
      </c>
      <c r="D249" s="169">
        <v>83.437278222405467</v>
      </c>
      <c r="E249" s="169">
        <f t="shared" si="14"/>
        <v>48.506123542046467</v>
      </c>
      <c r="F249" s="190" t="str">
        <f t="shared" si="13"/>
        <v/>
      </c>
      <c r="H249" t="str">
        <f t="shared" si="16"/>
        <v/>
      </c>
      <c r="I249" s="190" t="str">
        <f t="shared" si="15"/>
        <v/>
      </c>
    </row>
    <row r="250" spans="1:9">
      <c r="A250">
        <v>247</v>
      </c>
      <c r="B250" s="46">
        <v>44868</v>
      </c>
      <c r="C250" s="169">
        <v>49.718320378047402</v>
      </c>
      <c r="D250" s="169">
        <v>83.437278222405467</v>
      </c>
      <c r="E250" s="169">
        <f t="shared" si="14"/>
        <v>49.718320378047402</v>
      </c>
      <c r="F250" s="190" t="str">
        <f t="shared" si="13"/>
        <v/>
      </c>
      <c r="H250" t="str">
        <f t="shared" si="16"/>
        <v/>
      </c>
      <c r="I250" s="190" t="str">
        <f t="shared" si="15"/>
        <v/>
      </c>
    </row>
    <row r="251" spans="1:9">
      <c r="A251">
        <v>248</v>
      </c>
      <c r="B251" s="46">
        <v>44869</v>
      </c>
      <c r="C251" s="169">
        <v>46.650063326046464</v>
      </c>
      <c r="D251" s="169">
        <v>83.437278222405467</v>
      </c>
      <c r="E251" s="169">
        <f t="shared" si="14"/>
        <v>46.650063326046464</v>
      </c>
      <c r="F251" s="190" t="str">
        <f t="shared" si="13"/>
        <v/>
      </c>
      <c r="H251" t="str">
        <f t="shared" si="16"/>
        <v/>
      </c>
      <c r="I251" s="190" t="str">
        <f t="shared" si="15"/>
        <v/>
      </c>
    </row>
    <row r="252" spans="1:9">
      <c r="A252">
        <v>249</v>
      </c>
      <c r="B252" s="46">
        <v>44870</v>
      </c>
      <c r="C252" s="169">
        <v>40.67551791804739</v>
      </c>
      <c r="D252" s="169">
        <v>83.437278222405467</v>
      </c>
      <c r="E252" s="169">
        <f t="shared" si="14"/>
        <v>40.67551791804739</v>
      </c>
      <c r="F252" s="190" t="str">
        <f t="shared" si="13"/>
        <v/>
      </c>
      <c r="H252" t="str">
        <f t="shared" si="16"/>
        <v/>
      </c>
      <c r="I252" s="190" t="str">
        <f t="shared" si="15"/>
        <v/>
      </c>
    </row>
    <row r="253" spans="1:9">
      <c r="A253">
        <v>250</v>
      </c>
      <c r="B253" s="46">
        <v>44871</v>
      </c>
      <c r="C253" s="169">
        <v>40.382972262046458</v>
      </c>
      <c r="D253" s="169">
        <v>83.437278222405467</v>
      </c>
      <c r="E253" s="169">
        <f t="shared" si="14"/>
        <v>40.382972262046458</v>
      </c>
      <c r="F253" s="190" t="str">
        <f t="shared" si="13"/>
        <v/>
      </c>
      <c r="H253" t="str">
        <f t="shared" si="16"/>
        <v/>
      </c>
      <c r="I253" s="190" t="str">
        <f t="shared" si="15"/>
        <v/>
      </c>
    </row>
    <row r="254" spans="1:9">
      <c r="A254">
        <v>251</v>
      </c>
      <c r="B254" s="46">
        <v>44872</v>
      </c>
      <c r="C254" s="169">
        <v>48.894716262047396</v>
      </c>
      <c r="D254" s="169">
        <v>83.437278222405467</v>
      </c>
      <c r="E254" s="169">
        <f t="shared" si="14"/>
        <v>48.894716262047396</v>
      </c>
      <c r="F254" s="190" t="str">
        <f t="shared" si="13"/>
        <v/>
      </c>
      <c r="H254" t="str">
        <f t="shared" si="16"/>
        <v/>
      </c>
      <c r="I254" s="190" t="str">
        <f t="shared" si="15"/>
        <v/>
      </c>
    </row>
    <row r="255" spans="1:9">
      <c r="A255">
        <v>252</v>
      </c>
      <c r="B255" s="46">
        <v>44873</v>
      </c>
      <c r="C255" s="169">
        <v>44.898839198047398</v>
      </c>
      <c r="D255" s="169">
        <v>83.437278222405467</v>
      </c>
      <c r="E255" s="169">
        <f t="shared" si="14"/>
        <v>44.898839198047398</v>
      </c>
      <c r="F255" s="190" t="str">
        <f t="shared" si="13"/>
        <v/>
      </c>
      <c r="H255" t="str">
        <f t="shared" si="16"/>
        <v/>
      </c>
      <c r="I255" s="190" t="str">
        <f t="shared" si="15"/>
        <v/>
      </c>
    </row>
    <row r="256" spans="1:9">
      <c r="A256">
        <v>253</v>
      </c>
      <c r="B256" s="46">
        <v>44874</v>
      </c>
      <c r="C256" s="169">
        <v>40.248126950567581</v>
      </c>
      <c r="D256" s="169">
        <v>83.437278222405467</v>
      </c>
      <c r="E256" s="169">
        <f t="shared" si="14"/>
        <v>40.248126950567581</v>
      </c>
      <c r="F256" s="190" t="str">
        <f t="shared" si="13"/>
        <v/>
      </c>
      <c r="H256" t="str">
        <f t="shared" si="16"/>
        <v/>
      </c>
      <c r="I256" s="190" t="str">
        <f t="shared" si="15"/>
        <v/>
      </c>
    </row>
    <row r="257" spans="1:9">
      <c r="A257">
        <v>254</v>
      </c>
      <c r="B257" s="46">
        <v>44875</v>
      </c>
      <c r="C257" s="169">
        <v>42.249594190569447</v>
      </c>
      <c r="D257" s="169">
        <v>83.437278222405467</v>
      </c>
      <c r="E257" s="169">
        <f t="shared" si="14"/>
        <v>42.249594190569447</v>
      </c>
      <c r="F257" s="190" t="str">
        <f t="shared" si="13"/>
        <v/>
      </c>
      <c r="H257" t="str">
        <f t="shared" si="16"/>
        <v/>
      </c>
      <c r="I257" s="190" t="str">
        <f t="shared" si="15"/>
        <v/>
      </c>
    </row>
    <row r="258" spans="1:9">
      <c r="A258">
        <v>255</v>
      </c>
      <c r="B258" s="46">
        <v>44876</v>
      </c>
      <c r="C258" s="169">
        <v>35.319905954567588</v>
      </c>
      <c r="D258" s="169">
        <v>83.437278222405467</v>
      </c>
      <c r="E258" s="169">
        <f t="shared" si="14"/>
        <v>35.319905954567588</v>
      </c>
      <c r="F258" s="190" t="str">
        <f t="shared" si="13"/>
        <v/>
      </c>
      <c r="H258" t="str">
        <f t="shared" si="16"/>
        <v/>
      </c>
      <c r="I258" s="190" t="str">
        <f t="shared" si="15"/>
        <v/>
      </c>
    </row>
    <row r="259" spans="1:9">
      <c r="A259">
        <v>256</v>
      </c>
      <c r="B259" s="46">
        <v>44877</v>
      </c>
      <c r="C259" s="169">
        <v>33.268927706570381</v>
      </c>
      <c r="D259" s="169">
        <v>83.437278222405467</v>
      </c>
      <c r="E259" s="169">
        <f t="shared" si="14"/>
        <v>33.268927706570381</v>
      </c>
      <c r="F259" s="190" t="str">
        <f t="shared" ref="F259:F322" si="17">IF(DAY(B259)=15,IF(MONTH(B259)=1,"E",IF(MONTH(B259)=2,"F",IF(MONTH(B259)=3,"M",IF(MONTH(B259)=4,"A",IF(MONTH(B259)=5,"M",IF(MONTH(B259)=6,"J",IF(MONTH(B259)=7,"J",IF(MONTH(B259)=8,"A",IF(MONTH(B259)=9,"S",IF(MONTH(B259)=10,"O",IF(MONTH(B259)=11,"N",IF(MONTH(B259)=12,"D","")))))))))))),"")</f>
        <v/>
      </c>
      <c r="H259" t="str">
        <f t="shared" si="16"/>
        <v/>
      </c>
      <c r="I259" s="190" t="str">
        <f t="shared" si="15"/>
        <v/>
      </c>
    </row>
    <row r="260" spans="1:9">
      <c r="A260">
        <v>257</v>
      </c>
      <c r="B260" s="46">
        <v>44878</v>
      </c>
      <c r="C260" s="169">
        <v>36.046191154565719</v>
      </c>
      <c r="D260" s="169">
        <v>83.437278222405467</v>
      </c>
      <c r="E260" s="169">
        <f t="shared" ref="E260:E323" si="18">IF(C260&lt;D260,C260,D260)</f>
        <v>36.046191154565719</v>
      </c>
      <c r="F260" s="190" t="str">
        <f t="shared" si="17"/>
        <v/>
      </c>
      <c r="H260" t="str">
        <f t="shared" si="16"/>
        <v/>
      </c>
      <c r="I260" s="190" t="str">
        <f t="shared" ref="I260:I323" si="19">IF(DAY(B260)=15,IF(MONTH(B260)=1,"E",IF(MONTH(B260)=2,"F",IF(MONTH(B260)=3,"M",IF(MONTH(B260)=4,"A",IF(MONTH(B260)=5,"M",IF(MONTH(B260)=6,"J",IF(MONTH(B260)=7,"J",IF(MONTH(B260)=8,"A",IF(MONTH(B260)=9,"S",IF(MONTH(B260)=10,"O",IF(MONTH(B260)=11,"N",IF(MONTH(B260)=12,"D","")))))))))))),"")</f>
        <v/>
      </c>
    </row>
    <row r="261" spans="1:9">
      <c r="A261">
        <v>258</v>
      </c>
      <c r="B261" s="46">
        <v>44879</v>
      </c>
      <c r="C261" s="169">
        <v>40.401686802569451</v>
      </c>
      <c r="D261" s="169">
        <v>83.437278222405467</v>
      </c>
      <c r="E261" s="169">
        <f t="shared" si="18"/>
        <v>40.401686802569451</v>
      </c>
      <c r="F261" s="190" t="str">
        <f t="shared" si="17"/>
        <v/>
      </c>
      <c r="H261" t="str">
        <f t="shared" ref="H261:H324" si="20">IF(MONTH(B261)=1,IF(DAY(B261)=1,YEAR(B261),""),"")</f>
        <v/>
      </c>
      <c r="I261" s="190" t="str">
        <f t="shared" si="19"/>
        <v/>
      </c>
    </row>
    <row r="262" spans="1:9">
      <c r="A262">
        <v>259</v>
      </c>
      <c r="B262" s="46">
        <v>44880</v>
      </c>
      <c r="C262" s="169">
        <v>36.647924542569449</v>
      </c>
      <c r="D262" s="169">
        <v>83.437278222405467</v>
      </c>
      <c r="E262" s="169">
        <f t="shared" si="18"/>
        <v>36.647924542569449</v>
      </c>
      <c r="F262" s="190" t="str">
        <f t="shared" si="17"/>
        <v>N</v>
      </c>
      <c r="G262" s="191">
        <f>IF(DAY(B262)=15,D262,"")</f>
        <v>83.437278222405467</v>
      </c>
      <c r="H262" t="str">
        <f t="shared" si="20"/>
        <v/>
      </c>
      <c r="I262" s="190" t="str">
        <f t="shared" si="19"/>
        <v>N</v>
      </c>
    </row>
    <row r="263" spans="1:9">
      <c r="A263">
        <v>260</v>
      </c>
      <c r="B263" s="46">
        <v>44881</v>
      </c>
      <c r="C263" s="169">
        <v>50.92107846073597</v>
      </c>
      <c r="D263" s="169">
        <v>83.437278222405467</v>
      </c>
      <c r="E263" s="169">
        <f t="shared" si="18"/>
        <v>50.92107846073597</v>
      </c>
      <c r="F263" s="190" t="str">
        <f t="shared" si="17"/>
        <v/>
      </c>
      <c r="H263" t="str">
        <f t="shared" si="20"/>
        <v/>
      </c>
      <c r="I263" s="190" t="str">
        <f t="shared" si="19"/>
        <v/>
      </c>
    </row>
    <row r="264" spans="1:9">
      <c r="A264">
        <v>261</v>
      </c>
      <c r="B264" s="46">
        <v>44882</v>
      </c>
      <c r="C264" s="169">
        <v>54.079362809736899</v>
      </c>
      <c r="D264" s="169">
        <v>83.437278222405467</v>
      </c>
      <c r="E264" s="169">
        <f t="shared" si="18"/>
        <v>54.079362809736899</v>
      </c>
      <c r="F264" s="190" t="str">
        <f t="shared" si="17"/>
        <v/>
      </c>
      <c r="H264" t="str">
        <f t="shared" si="20"/>
        <v/>
      </c>
      <c r="I264" s="190" t="str">
        <f t="shared" si="19"/>
        <v/>
      </c>
    </row>
    <row r="265" spans="1:9">
      <c r="A265">
        <v>262</v>
      </c>
      <c r="B265" s="46">
        <v>44883</v>
      </c>
      <c r="C265" s="169">
        <v>62.311454867738767</v>
      </c>
      <c r="D265" s="169">
        <v>83.437278222405467</v>
      </c>
      <c r="E265" s="169">
        <f t="shared" si="18"/>
        <v>62.311454867738767</v>
      </c>
      <c r="F265" s="190" t="str">
        <f t="shared" si="17"/>
        <v/>
      </c>
      <c r="H265" t="str">
        <f t="shared" si="20"/>
        <v/>
      </c>
      <c r="I265" s="190" t="str">
        <f t="shared" si="19"/>
        <v/>
      </c>
    </row>
    <row r="266" spans="1:9">
      <c r="A266">
        <v>263</v>
      </c>
      <c r="B266" s="46">
        <v>44884</v>
      </c>
      <c r="C266" s="169">
        <v>54.486124876736902</v>
      </c>
      <c r="D266" s="169">
        <v>83.437278222405467</v>
      </c>
      <c r="E266" s="169">
        <f t="shared" si="18"/>
        <v>54.486124876736902</v>
      </c>
      <c r="F266" s="190" t="str">
        <f t="shared" si="17"/>
        <v/>
      </c>
      <c r="H266" t="str">
        <f t="shared" si="20"/>
        <v/>
      </c>
      <c r="I266" s="190" t="str">
        <f t="shared" si="19"/>
        <v/>
      </c>
    </row>
    <row r="267" spans="1:9">
      <c r="A267">
        <v>264</v>
      </c>
      <c r="B267" s="46">
        <v>44885</v>
      </c>
      <c r="C267" s="169">
        <v>53.590608580737836</v>
      </c>
      <c r="D267" s="169">
        <v>83.437278222405467</v>
      </c>
      <c r="E267" s="169">
        <f t="shared" si="18"/>
        <v>53.590608580737836</v>
      </c>
      <c r="F267" s="190" t="str">
        <f t="shared" si="17"/>
        <v/>
      </c>
      <c r="H267" t="str">
        <f t="shared" si="20"/>
        <v/>
      </c>
      <c r="I267" s="190" t="str">
        <f t="shared" si="19"/>
        <v/>
      </c>
    </row>
    <row r="268" spans="1:9">
      <c r="A268">
        <v>265</v>
      </c>
      <c r="B268" s="46">
        <v>44886</v>
      </c>
      <c r="C268" s="169">
        <v>62.19546324073783</v>
      </c>
      <c r="D268" s="169">
        <v>83.437278222405467</v>
      </c>
      <c r="E268" s="169">
        <f t="shared" si="18"/>
        <v>62.19546324073783</v>
      </c>
      <c r="F268" s="190" t="str">
        <f t="shared" si="17"/>
        <v/>
      </c>
      <c r="H268" t="str">
        <f t="shared" si="20"/>
        <v/>
      </c>
      <c r="I268" s="190" t="str">
        <f t="shared" si="19"/>
        <v/>
      </c>
    </row>
    <row r="269" spans="1:9">
      <c r="A269">
        <v>266</v>
      </c>
      <c r="B269" s="46">
        <v>44887</v>
      </c>
      <c r="C269" s="169">
        <v>73.662484316736894</v>
      </c>
      <c r="D269" s="169">
        <v>83.437278222405467</v>
      </c>
      <c r="E269" s="169">
        <f t="shared" si="18"/>
        <v>73.662484316736894</v>
      </c>
      <c r="F269" s="190" t="str">
        <f t="shared" si="17"/>
        <v/>
      </c>
      <c r="H269" t="str">
        <f t="shared" si="20"/>
        <v/>
      </c>
      <c r="I269" s="190" t="str">
        <f t="shared" si="19"/>
        <v/>
      </c>
    </row>
    <row r="270" spans="1:9">
      <c r="A270">
        <v>267</v>
      </c>
      <c r="B270" s="46">
        <v>44888</v>
      </c>
      <c r="C270" s="169">
        <v>133.01293763312782</v>
      </c>
      <c r="D270" s="169">
        <v>83.437278222405467</v>
      </c>
      <c r="E270" s="169">
        <f t="shared" si="18"/>
        <v>83.437278222405467</v>
      </c>
      <c r="F270" s="190" t="str">
        <f t="shared" si="17"/>
        <v/>
      </c>
      <c r="H270" t="str">
        <f t="shared" si="20"/>
        <v/>
      </c>
      <c r="I270" s="190" t="str">
        <f t="shared" si="19"/>
        <v/>
      </c>
    </row>
    <row r="271" spans="1:9">
      <c r="A271">
        <v>268</v>
      </c>
      <c r="B271" s="46">
        <v>44889</v>
      </c>
      <c r="C271" s="169">
        <v>146.37909403312969</v>
      </c>
      <c r="D271" s="169">
        <v>83.437278222405467</v>
      </c>
      <c r="E271" s="169">
        <f t="shared" si="18"/>
        <v>83.437278222405467</v>
      </c>
      <c r="F271" s="190" t="str">
        <f t="shared" si="17"/>
        <v/>
      </c>
      <c r="H271" t="str">
        <f t="shared" si="20"/>
        <v/>
      </c>
      <c r="I271" s="190" t="str">
        <f t="shared" si="19"/>
        <v/>
      </c>
    </row>
    <row r="272" spans="1:9">
      <c r="A272">
        <v>269</v>
      </c>
      <c r="B272" s="46">
        <v>44890</v>
      </c>
      <c r="C272" s="169">
        <v>139.10208684112686</v>
      </c>
      <c r="D272" s="169">
        <v>83.437278222405467</v>
      </c>
      <c r="E272" s="169">
        <f t="shared" si="18"/>
        <v>83.437278222405467</v>
      </c>
      <c r="F272" s="190" t="str">
        <f t="shared" si="17"/>
        <v/>
      </c>
      <c r="H272" t="str">
        <f t="shared" si="20"/>
        <v/>
      </c>
      <c r="I272" s="190" t="str">
        <f t="shared" si="19"/>
        <v/>
      </c>
    </row>
    <row r="273" spans="1:9">
      <c r="A273">
        <v>270</v>
      </c>
      <c r="B273" s="46">
        <v>44891</v>
      </c>
      <c r="C273" s="169">
        <v>145.09204238912872</v>
      </c>
      <c r="D273" s="169">
        <v>83.437278222405467</v>
      </c>
      <c r="E273" s="169">
        <f t="shared" si="18"/>
        <v>83.437278222405467</v>
      </c>
      <c r="F273" s="190" t="str">
        <f t="shared" si="17"/>
        <v/>
      </c>
      <c r="H273" t="str">
        <f t="shared" si="20"/>
        <v/>
      </c>
      <c r="I273" s="190" t="str">
        <f t="shared" si="19"/>
        <v/>
      </c>
    </row>
    <row r="274" spans="1:9">
      <c r="A274">
        <v>271</v>
      </c>
      <c r="B274" s="46">
        <v>44892</v>
      </c>
      <c r="C274" s="169">
        <v>137.68673816912781</v>
      </c>
      <c r="D274" s="169">
        <v>83.437278222405467</v>
      </c>
      <c r="E274" s="169">
        <f t="shared" si="18"/>
        <v>83.437278222405467</v>
      </c>
      <c r="F274" s="190" t="str">
        <f t="shared" si="17"/>
        <v/>
      </c>
      <c r="H274" t="str">
        <f t="shared" si="20"/>
        <v/>
      </c>
      <c r="I274" s="190" t="str">
        <f t="shared" si="19"/>
        <v/>
      </c>
    </row>
    <row r="275" spans="1:9">
      <c r="A275">
        <v>272</v>
      </c>
      <c r="B275" s="46">
        <v>44893</v>
      </c>
      <c r="C275" s="169">
        <v>124.79451112512781</v>
      </c>
      <c r="D275" s="169">
        <v>83.437278222405467</v>
      </c>
      <c r="E275" s="169">
        <f t="shared" si="18"/>
        <v>83.437278222405467</v>
      </c>
      <c r="F275" s="190" t="str">
        <f t="shared" si="17"/>
        <v/>
      </c>
      <c r="H275" t="str">
        <f t="shared" si="20"/>
        <v/>
      </c>
      <c r="I275" s="190" t="str">
        <f t="shared" si="19"/>
        <v/>
      </c>
    </row>
    <row r="276" spans="1:9">
      <c r="A276">
        <v>273</v>
      </c>
      <c r="B276" s="46">
        <v>44894</v>
      </c>
      <c r="C276" s="169">
        <v>157.05292319312778</v>
      </c>
      <c r="D276" s="169">
        <v>83.437278222405467</v>
      </c>
      <c r="E276" s="169">
        <f t="shared" si="18"/>
        <v>83.437278222405467</v>
      </c>
      <c r="F276" s="190" t="str">
        <f t="shared" si="17"/>
        <v/>
      </c>
      <c r="H276" t="str">
        <f t="shared" si="20"/>
        <v/>
      </c>
      <c r="I276" s="190" t="str">
        <f t="shared" si="19"/>
        <v/>
      </c>
    </row>
    <row r="277" spans="1:9">
      <c r="A277">
        <v>274</v>
      </c>
      <c r="B277" s="46">
        <v>44895</v>
      </c>
      <c r="C277" s="169">
        <v>78.135611493811084</v>
      </c>
      <c r="D277" s="169">
        <v>83.437278222405467</v>
      </c>
      <c r="E277" s="169">
        <f t="shared" si="18"/>
        <v>78.135611493811084</v>
      </c>
      <c r="F277" s="190" t="str">
        <f t="shared" si="17"/>
        <v/>
      </c>
      <c r="H277" t="str">
        <f t="shared" si="20"/>
        <v/>
      </c>
      <c r="I277" s="190" t="str">
        <f t="shared" si="19"/>
        <v/>
      </c>
    </row>
    <row r="278" spans="1:9">
      <c r="A278">
        <v>275</v>
      </c>
      <c r="B278" s="46">
        <v>44896</v>
      </c>
      <c r="C278" s="169">
        <v>70.928567722812019</v>
      </c>
      <c r="D278" s="169">
        <v>108.10243370537623</v>
      </c>
      <c r="E278" s="169">
        <f t="shared" si="18"/>
        <v>70.928567722812019</v>
      </c>
      <c r="F278" s="190" t="str">
        <f t="shared" si="17"/>
        <v/>
      </c>
      <c r="H278" t="str">
        <f t="shared" si="20"/>
        <v/>
      </c>
      <c r="I278" s="190" t="str">
        <f t="shared" si="19"/>
        <v/>
      </c>
    </row>
    <row r="279" spans="1:9">
      <c r="A279">
        <v>276</v>
      </c>
      <c r="B279" s="46">
        <v>44897</v>
      </c>
      <c r="C279" s="169">
        <v>76.552537708811087</v>
      </c>
      <c r="D279" s="169">
        <v>108.10243370537623</v>
      </c>
      <c r="E279" s="169">
        <f t="shared" si="18"/>
        <v>76.552537708811087</v>
      </c>
      <c r="F279" s="190" t="str">
        <f t="shared" si="17"/>
        <v/>
      </c>
      <c r="H279" t="str">
        <f t="shared" si="20"/>
        <v/>
      </c>
      <c r="I279" s="190" t="str">
        <f t="shared" si="19"/>
        <v/>
      </c>
    </row>
    <row r="280" spans="1:9">
      <c r="A280">
        <v>277</v>
      </c>
      <c r="B280" s="46">
        <v>44898</v>
      </c>
      <c r="C280" s="169">
        <v>79.19663666181016</v>
      </c>
      <c r="D280" s="169">
        <v>108.10243370537623</v>
      </c>
      <c r="E280" s="169">
        <f t="shared" si="18"/>
        <v>79.19663666181016</v>
      </c>
      <c r="F280" s="190" t="str">
        <f t="shared" si="17"/>
        <v/>
      </c>
      <c r="H280" t="str">
        <f t="shared" si="20"/>
        <v/>
      </c>
      <c r="I280" s="190" t="str">
        <f t="shared" si="19"/>
        <v/>
      </c>
    </row>
    <row r="281" spans="1:9">
      <c r="A281">
        <v>278</v>
      </c>
      <c r="B281" s="46">
        <v>44899</v>
      </c>
      <c r="C281" s="169">
        <v>77.386342661811085</v>
      </c>
      <c r="D281" s="169">
        <v>108.10243370537623</v>
      </c>
      <c r="E281" s="169">
        <f t="shared" si="18"/>
        <v>77.386342661811085</v>
      </c>
      <c r="F281" s="190" t="str">
        <f t="shared" si="17"/>
        <v/>
      </c>
      <c r="H281" t="str">
        <f t="shared" si="20"/>
        <v/>
      </c>
      <c r="I281" s="190" t="str">
        <f t="shared" si="19"/>
        <v/>
      </c>
    </row>
    <row r="282" spans="1:9">
      <c r="A282">
        <v>279</v>
      </c>
      <c r="B282" s="46">
        <v>44900</v>
      </c>
      <c r="C282" s="169">
        <v>74.9116890218111</v>
      </c>
      <c r="D282" s="169">
        <v>108.10243370537623</v>
      </c>
      <c r="E282" s="169">
        <f t="shared" si="18"/>
        <v>74.9116890218111</v>
      </c>
      <c r="F282" s="190" t="str">
        <f t="shared" si="17"/>
        <v/>
      </c>
      <c r="H282" t="str">
        <f t="shared" si="20"/>
        <v/>
      </c>
      <c r="I282" s="190" t="str">
        <f t="shared" si="19"/>
        <v/>
      </c>
    </row>
    <row r="283" spans="1:9">
      <c r="A283">
        <v>280</v>
      </c>
      <c r="B283" s="46">
        <v>44901</v>
      </c>
      <c r="C283" s="169">
        <v>73.992880701812012</v>
      </c>
      <c r="D283" s="169">
        <v>108.10243370537623</v>
      </c>
      <c r="E283" s="169">
        <f t="shared" si="18"/>
        <v>73.992880701812012</v>
      </c>
      <c r="F283" s="190" t="str">
        <f t="shared" si="17"/>
        <v/>
      </c>
      <c r="H283" t="str">
        <f t="shared" si="20"/>
        <v/>
      </c>
      <c r="I283" s="190" t="str">
        <f t="shared" si="19"/>
        <v/>
      </c>
    </row>
    <row r="284" spans="1:9">
      <c r="A284">
        <v>281</v>
      </c>
      <c r="B284" s="46">
        <v>44902</v>
      </c>
      <c r="C284" s="169">
        <v>83.487556462748103</v>
      </c>
      <c r="D284" s="169">
        <v>108.10243370537623</v>
      </c>
      <c r="E284" s="169">
        <f t="shared" si="18"/>
        <v>83.487556462748103</v>
      </c>
      <c r="F284" s="190" t="str">
        <f t="shared" si="17"/>
        <v/>
      </c>
      <c r="H284" t="str">
        <f t="shared" si="20"/>
        <v/>
      </c>
      <c r="I284" s="190" t="str">
        <f t="shared" si="19"/>
        <v/>
      </c>
    </row>
    <row r="285" spans="1:9">
      <c r="A285">
        <v>282</v>
      </c>
      <c r="B285" s="46">
        <v>44903</v>
      </c>
      <c r="C285" s="169">
        <v>78.386562502751829</v>
      </c>
      <c r="D285" s="169">
        <v>108.10243370537623</v>
      </c>
      <c r="E285" s="169">
        <f t="shared" si="18"/>
        <v>78.386562502751829</v>
      </c>
      <c r="F285" s="190" t="str">
        <f t="shared" si="17"/>
        <v/>
      </c>
      <c r="H285" t="str">
        <f t="shared" si="20"/>
        <v/>
      </c>
      <c r="I285" s="190" t="str">
        <f t="shared" si="19"/>
        <v/>
      </c>
    </row>
    <row r="286" spans="1:9">
      <c r="A286">
        <v>283</v>
      </c>
      <c r="B286" s="46">
        <v>44904</v>
      </c>
      <c r="C286" s="169">
        <v>81.364727742749963</v>
      </c>
      <c r="D286" s="169">
        <v>108.10243370537623</v>
      </c>
      <c r="E286" s="169">
        <f t="shared" si="18"/>
        <v>81.364727742749963</v>
      </c>
      <c r="F286" s="190" t="str">
        <f t="shared" si="17"/>
        <v/>
      </c>
      <c r="H286" t="str">
        <f t="shared" si="20"/>
        <v/>
      </c>
      <c r="I286" s="190" t="str">
        <f t="shared" si="19"/>
        <v/>
      </c>
    </row>
    <row r="287" spans="1:9">
      <c r="A287">
        <v>284</v>
      </c>
      <c r="B287" s="46">
        <v>44905</v>
      </c>
      <c r="C287" s="169">
        <v>65.846046131749958</v>
      </c>
      <c r="D287" s="169">
        <v>108.10243370537623</v>
      </c>
      <c r="E287" s="169">
        <f t="shared" si="18"/>
        <v>65.846046131749958</v>
      </c>
      <c r="F287" s="190" t="str">
        <f t="shared" si="17"/>
        <v/>
      </c>
      <c r="H287" t="str">
        <f t="shared" si="20"/>
        <v/>
      </c>
      <c r="I287" s="190" t="str">
        <f t="shared" si="19"/>
        <v/>
      </c>
    </row>
    <row r="288" spans="1:9">
      <c r="A288">
        <v>285</v>
      </c>
      <c r="B288" s="46">
        <v>44906</v>
      </c>
      <c r="C288" s="169">
        <v>67.880276181749039</v>
      </c>
      <c r="D288" s="169">
        <v>108.10243370537623</v>
      </c>
      <c r="E288" s="169">
        <f t="shared" si="18"/>
        <v>67.880276181749039</v>
      </c>
      <c r="F288" s="190" t="str">
        <f t="shared" si="17"/>
        <v/>
      </c>
      <c r="H288" t="str">
        <f t="shared" si="20"/>
        <v/>
      </c>
      <c r="I288" s="190" t="str">
        <f t="shared" si="19"/>
        <v/>
      </c>
    </row>
    <row r="289" spans="1:9">
      <c r="A289">
        <v>286</v>
      </c>
      <c r="B289" s="46">
        <v>44907</v>
      </c>
      <c r="C289" s="169">
        <v>74.291155034749977</v>
      </c>
      <c r="D289" s="169">
        <v>108.10243370537623</v>
      </c>
      <c r="E289" s="169">
        <f t="shared" si="18"/>
        <v>74.291155034749977</v>
      </c>
      <c r="F289" s="190" t="str">
        <f t="shared" si="17"/>
        <v/>
      </c>
      <c r="H289" t="str">
        <f t="shared" si="20"/>
        <v/>
      </c>
      <c r="I289" s="190" t="str">
        <f t="shared" si="19"/>
        <v/>
      </c>
    </row>
    <row r="290" spans="1:9">
      <c r="A290">
        <v>287</v>
      </c>
      <c r="B290" s="46">
        <v>44908</v>
      </c>
      <c r="C290" s="169">
        <v>101.93849131074995</v>
      </c>
      <c r="D290" s="169">
        <v>108.10243370537623</v>
      </c>
      <c r="E290" s="169">
        <f t="shared" si="18"/>
        <v>101.93849131074995</v>
      </c>
      <c r="F290" s="190" t="str">
        <f t="shared" si="17"/>
        <v/>
      </c>
      <c r="H290" t="str">
        <f t="shared" si="20"/>
        <v/>
      </c>
      <c r="I290" s="190" t="str">
        <f t="shared" si="19"/>
        <v/>
      </c>
    </row>
    <row r="291" spans="1:9">
      <c r="A291">
        <v>288</v>
      </c>
      <c r="B291" s="46">
        <v>44909</v>
      </c>
      <c r="C291" s="169">
        <v>289.97392061030251</v>
      </c>
      <c r="D291" s="169">
        <v>108.10243370537623</v>
      </c>
      <c r="E291" s="169">
        <f t="shared" si="18"/>
        <v>108.10243370537623</v>
      </c>
      <c r="F291" s="190" t="str">
        <f t="shared" si="17"/>
        <v/>
      </c>
      <c r="H291" t="str">
        <f t="shared" si="20"/>
        <v/>
      </c>
      <c r="I291" s="190" t="str">
        <f t="shared" si="19"/>
        <v/>
      </c>
    </row>
    <row r="292" spans="1:9">
      <c r="A292">
        <v>289</v>
      </c>
      <c r="B292" s="46">
        <v>44910</v>
      </c>
      <c r="C292" s="169">
        <v>284.73792954630437</v>
      </c>
      <c r="D292" s="169">
        <v>108.10243370537623</v>
      </c>
      <c r="E292" s="169">
        <f t="shared" si="18"/>
        <v>108.10243370537623</v>
      </c>
      <c r="F292" s="190" t="str">
        <f t="shared" si="17"/>
        <v>D</v>
      </c>
      <c r="G292" s="191">
        <f>IF(DAY(B292)=15,D292,"")</f>
        <v>108.10243370537623</v>
      </c>
      <c r="H292" t="str">
        <f t="shared" si="20"/>
        <v/>
      </c>
      <c r="I292" s="190" t="str">
        <f t="shared" si="19"/>
        <v>D</v>
      </c>
    </row>
    <row r="293" spans="1:9">
      <c r="A293">
        <v>290</v>
      </c>
      <c r="B293" s="46">
        <v>44911</v>
      </c>
      <c r="C293" s="169">
        <v>307.97685631430346</v>
      </c>
      <c r="D293" s="169">
        <v>108.10243370537623</v>
      </c>
      <c r="E293" s="169">
        <f t="shared" si="18"/>
        <v>108.10243370537623</v>
      </c>
      <c r="F293" s="190" t="str">
        <f t="shared" si="17"/>
        <v/>
      </c>
      <c r="H293" t="str">
        <f t="shared" si="20"/>
        <v/>
      </c>
      <c r="I293" s="190" t="str">
        <f t="shared" si="19"/>
        <v/>
      </c>
    </row>
    <row r="294" spans="1:9">
      <c r="A294">
        <v>291</v>
      </c>
      <c r="B294" s="46">
        <v>44912</v>
      </c>
      <c r="C294" s="169">
        <v>302.26623228230346</v>
      </c>
      <c r="D294" s="169">
        <v>108.10243370537623</v>
      </c>
      <c r="E294" s="169">
        <f t="shared" si="18"/>
        <v>108.10243370537623</v>
      </c>
      <c r="F294" s="190" t="str">
        <f t="shared" si="17"/>
        <v/>
      </c>
      <c r="H294" t="str">
        <f t="shared" si="20"/>
        <v/>
      </c>
      <c r="I294" s="190" t="str">
        <f t="shared" si="19"/>
        <v/>
      </c>
    </row>
    <row r="295" spans="1:9">
      <c r="A295">
        <v>292</v>
      </c>
      <c r="B295" s="46">
        <v>44913</v>
      </c>
      <c r="C295" s="169">
        <v>247.9712209903025</v>
      </c>
      <c r="D295" s="169">
        <v>108.10243370537623</v>
      </c>
      <c r="E295" s="169">
        <f t="shared" si="18"/>
        <v>108.10243370537623</v>
      </c>
      <c r="F295" s="190" t="str">
        <f t="shared" si="17"/>
        <v/>
      </c>
      <c r="H295" t="str">
        <f t="shared" si="20"/>
        <v/>
      </c>
      <c r="I295" s="190" t="str">
        <f t="shared" si="19"/>
        <v/>
      </c>
    </row>
    <row r="296" spans="1:9">
      <c r="A296">
        <v>293</v>
      </c>
      <c r="B296" s="46">
        <v>44914</v>
      </c>
      <c r="C296" s="169">
        <v>269.60022292630441</v>
      </c>
      <c r="D296" s="169">
        <v>108.10243370537623</v>
      </c>
      <c r="E296" s="169">
        <f t="shared" si="18"/>
        <v>108.10243370537623</v>
      </c>
      <c r="F296" s="190" t="str">
        <f t="shared" si="17"/>
        <v/>
      </c>
      <c r="H296" t="str">
        <f t="shared" si="20"/>
        <v/>
      </c>
      <c r="I296" s="190" t="str">
        <f t="shared" si="19"/>
        <v/>
      </c>
    </row>
    <row r="297" spans="1:9">
      <c r="A297">
        <v>294</v>
      </c>
      <c r="B297" s="46">
        <v>44915</v>
      </c>
      <c r="C297" s="169">
        <v>283.5932388583044</v>
      </c>
      <c r="D297" s="169">
        <v>108.10243370537623</v>
      </c>
      <c r="E297" s="169">
        <f t="shared" si="18"/>
        <v>108.10243370537623</v>
      </c>
      <c r="F297" s="190" t="str">
        <f t="shared" si="17"/>
        <v/>
      </c>
      <c r="H297" t="str">
        <f t="shared" si="20"/>
        <v/>
      </c>
      <c r="I297" s="190" t="str">
        <f t="shared" si="19"/>
        <v/>
      </c>
    </row>
    <row r="298" spans="1:9">
      <c r="A298">
        <v>295</v>
      </c>
      <c r="B298" s="46">
        <v>44916</v>
      </c>
      <c r="C298" s="169">
        <v>216.41231130322751</v>
      </c>
      <c r="D298" s="169">
        <v>108.10243370537623</v>
      </c>
      <c r="E298" s="169">
        <f t="shared" si="18"/>
        <v>108.10243370537623</v>
      </c>
      <c r="F298" s="190" t="str">
        <f t="shared" si="17"/>
        <v/>
      </c>
      <c r="H298" t="str">
        <f t="shared" si="20"/>
        <v/>
      </c>
      <c r="I298" s="190" t="str">
        <f t="shared" si="19"/>
        <v/>
      </c>
    </row>
    <row r="299" spans="1:9">
      <c r="A299">
        <v>296</v>
      </c>
      <c r="B299" s="46">
        <v>44917</v>
      </c>
      <c r="C299" s="169">
        <v>231.06819202322563</v>
      </c>
      <c r="D299" s="169">
        <v>108.10243370537623</v>
      </c>
      <c r="E299" s="169">
        <f t="shared" si="18"/>
        <v>108.10243370537623</v>
      </c>
      <c r="F299" s="190" t="str">
        <f t="shared" si="17"/>
        <v/>
      </c>
      <c r="H299" t="str">
        <f t="shared" si="20"/>
        <v/>
      </c>
      <c r="I299" s="190" t="str">
        <f t="shared" si="19"/>
        <v/>
      </c>
    </row>
    <row r="300" spans="1:9">
      <c r="A300">
        <v>297</v>
      </c>
      <c r="B300" s="46">
        <v>44918</v>
      </c>
      <c r="C300" s="169">
        <v>208.50973759122655</v>
      </c>
      <c r="D300" s="169">
        <v>108.10243370537623</v>
      </c>
      <c r="E300" s="169">
        <f t="shared" si="18"/>
        <v>108.10243370537623</v>
      </c>
      <c r="F300" s="190" t="str">
        <f t="shared" si="17"/>
        <v/>
      </c>
      <c r="H300" t="str">
        <f t="shared" si="20"/>
        <v/>
      </c>
      <c r="I300" s="190" t="str">
        <f t="shared" si="19"/>
        <v/>
      </c>
    </row>
    <row r="301" spans="1:9">
      <c r="A301">
        <v>298</v>
      </c>
      <c r="B301" s="46">
        <v>44919</v>
      </c>
      <c r="C301" s="169">
        <v>181.46844320322654</v>
      </c>
      <c r="D301" s="169">
        <v>108.10243370537623</v>
      </c>
      <c r="E301" s="169">
        <f t="shared" si="18"/>
        <v>108.10243370537623</v>
      </c>
      <c r="F301" s="190" t="str">
        <f t="shared" si="17"/>
        <v/>
      </c>
      <c r="H301" t="str">
        <f t="shared" si="20"/>
        <v/>
      </c>
      <c r="I301" s="190" t="str">
        <f t="shared" si="19"/>
        <v/>
      </c>
    </row>
    <row r="302" spans="1:9">
      <c r="A302">
        <v>299</v>
      </c>
      <c r="B302" s="46">
        <v>44920</v>
      </c>
      <c r="C302" s="169">
        <v>167.11491751522655</v>
      </c>
      <c r="D302" s="169">
        <v>108.10243370537623</v>
      </c>
      <c r="E302" s="169">
        <f t="shared" si="18"/>
        <v>108.10243370537623</v>
      </c>
      <c r="F302" s="190" t="str">
        <f t="shared" si="17"/>
        <v/>
      </c>
      <c r="H302" t="str">
        <f t="shared" si="20"/>
        <v/>
      </c>
      <c r="I302" s="190" t="str">
        <f t="shared" si="19"/>
        <v/>
      </c>
    </row>
    <row r="303" spans="1:9">
      <c r="A303">
        <v>300</v>
      </c>
      <c r="B303" s="46">
        <v>44921</v>
      </c>
      <c r="C303" s="169">
        <v>204.13234757522562</v>
      </c>
      <c r="D303" s="169">
        <v>108.10243370537623</v>
      </c>
      <c r="E303" s="169">
        <f t="shared" si="18"/>
        <v>108.10243370537623</v>
      </c>
      <c r="F303" s="190" t="str">
        <f t="shared" si="17"/>
        <v/>
      </c>
      <c r="H303" t="str">
        <f t="shared" si="20"/>
        <v/>
      </c>
      <c r="I303" s="190" t="str">
        <f t="shared" si="19"/>
        <v/>
      </c>
    </row>
    <row r="304" spans="1:9">
      <c r="A304">
        <v>301</v>
      </c>
      <c r="B304" s="46">
        <v>44922</v>
      </c>
      <c r="C304" s="169">
        <v>234.34795938322748</v>
      </c>
      <c r="D304" s="169">
        <v>108.10243370537623</v>
      </c>
      <c r="E304" s="169">
        <f t="shared" si="18"/>
        <v>108.10243370537623</v>
      </c>
      <c r="F304" s="190" t="str">
        <f t="shared" si="17"/>
        <v/>
      </c>
      <c r="H304" t="str">
        <f t="shared" si="20"/>
        <v/>
      </c>
      <c r="I304" s="190" t="str">
        <f t="shared" si="19"/>
        <v/>
      </c>
    </row>
    <row r="305" spans="1:9">
      <c r="A305">
        <v>302</v>
      </c>
      <c r="B305" s="46">
        <v>44923</v>
      </c>
      <c r="C305" s="169">
        <v>193.8002134387624</v>
      </c>
      <c r="D305" s="169">
        <v>108.10243370537623</v>
      </c>
      <c r="E305" s="169">
        <f t="shared" si="18"/>
        <v>108.10243370537623</v>
      </c>
      <c r="F305" s="190" t="str">
        <f t="shared" si="17"/>
        <v/>
      </c>
      <c r="H305" t="str">
        <f t="shared" si="20"/>
        <v/>
      </c>
      <c r="I305" s="190" t="str">
        <f t="shared" si="19"/>
        <v/>
      </c>
    </row>
    <row r="306" spans="1:9">
      <c r="A306">
        <v>303</v>
      </c>
      <c r="B306" s="46">
        <v>44924</v>
      </c>
      <c r="C306" s="169">
        <v>196.19100491875963</v>
      </c>
      <c r="D306" s="169">
        <v>108.10243370537623</v>
      </c>
      <c r="E306" s="169">
        <f t="shared" si="18"/>
        <v>108.10243370537623</v>
      </c>
      <c r="F306" s="190" t="str">
        <f t="shared" si="17"/>
        <v/>
      </c>
      <c r="H306" t="str">
        <f t="shared" si="20"/>
        <v/>
      </c>
      <c r="I306" s="190" t="str">
        <f t="shared" si="19"/>
        <v/>
      </c>
    </row>
    <row r="307" spans="1:9">
      <c r="A307">
        <v>304</v>
      </c>
      <c r="B307" s="46">
        <v>44925</v>
      </c>
      <c r="C307" s="169">
        <v>181.06590471476241</v>
      </c>
      <c r="D307" s="169">
        <v>108.10243370537623</v>
      </c>
      <c r="E307" s="169">
        <f t="shared" si="18"/>
        <v>108.10243370537623</v>
      </c>
      <c r="F307" s="190" t="str">
        <f t="shared" si="17"/>
        <v/>
      </c>
      <c r="H307" t="str">
        <f t="shared" si="20"/>
        <v/>
      </c>
      <c r="I307" s="190" t="str">
        <f t="shared" si="19"/>
        <v/>
      </c>
    </row>
    <row r="308" spans="1:9">
      <c r="A308">
        <v>305</v>
      </c>
      <c r="B308" s="46">
        <v>44926</v>
      </c>
      <c r="C308" s="169">
        <v>181.0535762667615</v>
      </c>
      <c r="D308" s="169">
        <v>108.10243370537623</v>
      </c>
      <c r="E308" s="169">
        <f t="shared" si="18"/>
        <v>108.10243370537623</v>
      </c>
      <c r="F308" s="190" t="str">
        <f t="shared" si="17"/>
        <v/>
      </c>
      <c r="H308" t="str">
        <f t="shared" si="20"/>
        <v/>
      </c>
      <c r="I308" s="190" t="str">
        <f t="shared" si="19"/>
        <v/>
      </c>
    </row>
    <row r="309" spans="1:9">
      <c r="A309">
        <v>306</v>
      </c>
      <c r="B309" s="46">
        <v>44927</v>
      </c>
      <c r="C309" s="169">
        <v>184.75735599076242</v>
      </c>
      <c r="D309" s="169">
        <v>119.44455644829111</v>
      </c>
      <c r="E309" s="169">
        <f t="shared" si="18"/>
        <v>119.44455644829111</v>
      </c>
      <c r="F309" s="190" t="str">
        <f t="shared" si="17"/>
        <v/>
      </c>
      <c r="H309">
        <f t="shared" si="20"/>
        <v>2023</v>
      </c>
      <c r="I309" s="190" t="str">
        <f t="shared" si="19"/>
        <v/>
      </c>
    </row>
    <row r="310" spans="1:9">
      <c r="A310">
        <v>307</v>
      </c>
      <c r="B310" s="46">
        <v>44928</v>
      </c>
      <c r="C310" s="169">
        <v>244.67985851076057</v>
      </c>
      <c r="D310" s="169">
        <v>119.44455644829111</v>
      </c>
      <c r="E310" s="169">
        <f t="shared" si="18"/>
        <v>119.44455644829111</v>
      </c>
      <c r="F310" s="190" t="str">
        <f t="shared" si="17"/>
        <v/>
      </c>
      <c r="H310" t="str">
        <f t="shared" si="20"/>
        <v/>
      </c>
      <c r="I310" s="190" t="str">
        <f t="shared" si="19"/>
        <v/>
      </c>
    </row>
    <row r="311" spans="1:9">
      <c r="A311">
        <v>308</v>
      </c>
      <c r="B311" s="46">
        <v>44929</v>
      </c>
      <c r="C311" s="169">
        <v>261.87291061476151</v>
      </c>
      <c r="D311" s="169">
        <v>119.44455644829111</v>
      </c>
      <c r="E311" s="169">
        <f t="shared" si="18"/>
        <v>119.44455644829111</v>
      </c>
      <c r="F311" s="190" t="str">
        <f t="shared" si="17"/>
        <v/>
      </c>
      <c r="H311" t="str">
        <f t="shared" si="20"/>
        <v/>
      </c>
      <c r="I311" s="190" t="str">
        <f t="shared" si="19"/>
        <v/>
      </c>
    </row>
    <row r="312" spans="1:9">
      <c r="A312">
        <v>309</v>
      </c>
      <c r="B312" s="46">
        <v>44930</v>
      </c>
      <c r="C312" s="169">
        <v>209.71860584719701</v>
      </c>
      <c r="D312" s="169">
        <v>119.44455644829111</v>
      </c>
      <c r="E312" s="169">
        <f t="shared" si="18"/>
        <v>119.44455644829111</v>
      </c>
      <c r="F312" s="190" t="str">
        <f t="shared" si="17"/>
        <v/>
      </c>
      <c r="H312" t="str">
        <f t="shared" si="20"/>
        <v/>
      </c>
      <c r="I312" s="190" t="str">
        <f t="shared" si="19"/>
        <v/>
      </c>
    </row>
    <row r="313" spans="1:9">
      <c r="A313">
        <v>310</v>
      </c>
      <c r="B313" s="46">
        <v>44931</v>
      </c>
      <c r="C313" s="169">
        <v>214.68212655219702</v>
      </c>
      <c r="D313" s="169">
        <v>119.44455644829111</v>
      </c>
      <c r="E313" s="169">
        <f t="shared" si="18"/>
        <v>119.44455644829111</v>
      </c>
      <c r="F313" s="190" t="str">
        <f t="shared" si="17"/>
        <v/>
      </c>
      <c r="H313" t="str">
        <f t="shared" si="20"/>
        <v/>
      </c>
      <c r="I313" s="190" t="str">
        <f t="shared" si="19"/>
        <v/>
      </c>
    </row>
    <row r="314" spans="1:9">
      <c r="A314">
        <v>311</v>
      </c>
      <c r="B314" s="46">
        <v>44932</v>
      </c>
      <c r="C314" s="169">
        <v>202.65080127619512</v>
      </c>
      <c r="D314" s="169">
        <v>119.44455644829111</v>
      </c>
      <c r="E314" s="169">
        <f t="shared" si="18"/>
        <v>119.44455644829111</v>
      </c>
      <c r="F314" s="190" t="str">
        <f t="shared" si="17"/>
        <v/>
      </c>
      <c r="H314" t="str">
        <f t="shared" si="20"/>
        <v/>
      </c>
      <c r="I314" s="190" t="str">
        <f t="shared" si="19"/>
        <v/>
      </c>
    </row>
    <row r="315" spans="1:9">
      <c r="A315">
        <v>312</v>
      </c>
      <c r="B315" s="46">
        <v>44933</v>
      </c>
      <c r="C315" s="169">
        <v>146.04670680019515</v>
      </c>
      <c r="D315" s="169">
        <v>119.44455644829111</v>
      </c>
      <c r="E315" s="169">
        <f t="shared" si="18"/>
        <v>119.44455644829111</v>
      </c>
      <c r="F315" s="190" t="str">
        <f t="shared" si="17"/>
        <v/>
      </c>
      <c r="H315" t="str">
        <f t="shared" si="20"/>
        <v/>
      </c>
      <c r="I315" s="190" t="str">
        <f t="shared" si="19"/>
        <v/>
      </c>
    </row>
    <row r="316" spans="1:9">
      <c r="A316">
        <v>313</v>
      </c>
      <c r="B316" s="46">
        <v>44934</v>
      </c>
      <c r="C316" s="169">
        <v>152.47383951619699</v>
      </c>
      <c r="D316" s="169">
        <v>119.44455644829111</v>
      </c>
      <c r="E316" s="169">
        <f t="shared" si="18"/>
        <v>119.44455644829111</v>
      </c>
      <c r="F316" s="190" t="str">
        <f t="shared" si="17"/>
        <v/>
      </c>
      <c r="H316" t="str">
        <f t="shared" si="20"/>
        <v/>
      </c>
      <c r="I316" s="190" t="str">
        <f t="shared" si="19"/>
        <v/>
      </c>
    </row>
    <row r="317" spans="1:9">
      <c r="A317">
        <v>314</v>
      </c>
      <c r="B317" s="46">
        <v>44935</v>
      </c>
      <c r="C317" s="169">
        <v>173.76520320419701</v>
      </c>
      <c r="D317" s="169">
        <v>119.44455644829111</v>
      </c>
      <c r="E317" s="169">
        <f t="shared" si="18"/>
        <v>119.44455644829111</v>
      </c>
      <c r="F317" s="190" t="str">
        <f t="shared" si="17"/>
        <v/>
      </c>
      <c r="H317" t="str">
        <f t="shared" si="20"/>
        <v/>
      </c>
      <c r="I317" s="190" t="str">
        <f t="shared" si="19"/>
        <v/>
      </c>
    </row>
    <row r="318" spans="1:9">
      <c r="A318">
        <v>315</v>
      </c>
      <c r="B318" s="46">
        <v>44936</v>
      </c>
      <c r="C318" s="169">
        <v>220.39382234819513</v>
      </c>
      <c r="D318" s="169">
        <v>119.44455644829111</v>
      </c>
      <c r="E318" s="169">
        <f t="shared" si="18"/>
        <v>119.44455644829111</v>
      </c>
      <c r="F318" s="190" t="str">
        <f t="shared" si="17"/>
        <v/>
      </c>
      <c r="H318" t="str">
        <f t="shared" si="20"/>
        <v/>
      </c>
      <c r="I318" s="190" t="str">
        <f t="shared" si="19"/>
        <v/>
      </c>
    </row>
    <row r="319" spans="1:9">
      <c r="A319">
        <v>316</v>
      </c>
      <c r="B319" s="46">
        <v>44937</v>
      </c>
      <c r="C319" s="169">
        <v>192.80566395746041</v>
      </c>
      <c r="D319" s="169">
        <v>119.44455644829111</v>
      </c>
      <c r="E319" s="169">
        <f t="shared" si="18"/>
        <v>119.44455644829111</v>
      </c>
      <c r="F319" s="190" t="str">
        <f t="shared" si="17"/>
        <v/>
      </c>
      <c r="H319" t="str">
        <f t="shared" si="20"/>
        <v/>
      </c>
      <c r="I319" s="190" t="str">
        <f t="shared" si="19"/>
        <v/>
      </c>
    </row>
    <row r="320" spans="1:9">
      <c r="A320">
        <v>317</v>
      </c>
      <c r="B320" s="46">
        <v>44938</v>
      </c>
      <c r="C320" s="169">
        <v>204.73352045346039</v>
      </c>
      <c r="D320" s="169">
        <v>119.44455644829111</v>
      </c>
      <c r="E320" s="169">
        <f t="shared" si="18"/>
        <v>119.44455644829111</v>
      </c>
      <c r="F320" s="190" t="str">
        <f t="shared" si="17"/>
        <v/>
      </c>
      <c r="H320" t="str">
        <f t="shared" si="20"/>
        <v/>
      </c>
      <c r="I320" s="190" t="str">
        <f t="shared" si="19"/>
        <v/>
      </c>
    </row>
    <row r="321" spans="1:9">
      <c r="A321">
        <v>318</v>
      </c>
      <c r="B321" s="46">
        <v>44939</v>
      </c>
      <c r="C321" s="169">
        <v>208.52852887346043</v>
      </c>
      <c r="D321" s="169">
        <v>119.44455644829111</v>
      </c>
      <c r="E321" s="169">
        <f t="shared" si="18"/>
        <v>119.44455644829111</v>
      </c>
      <c r="F321" s="190" t="str">
        <f t="shared" si="17"/>
        <v/>
      </c>
      <c r="H321" t="str">
        <f t="shared" si="20"/>
        <v/>
      </c>
      <c r="I321" s="190" t="str">
        <f t="shared" si="19"/>
        <v/>
      </c>
    </row>
    <row r="322" spans="1:9">
      <c r="A322">
        <v>319</v>
      </c>
      <c r="B322" s="46">
        <v>44940</v>
      </c>
      <c r="C322" s="169">
        <v>185.32112553746228</v>
      </c>
      <c r="D322" s="169">
        <v>119.44455644829111</v>
      </c>
      <c r="E322" s="169">
        <f t="shared" si="18"/>
        <v>119.44455644829111</v>
      </c>
      <c r="F322" s="190" t="str">
        <f t="shared" si="17"/>
        <v/>
      </c>
      <c r="H322" t="str">
        <f t="shared" si="20"/>
        <v/>
      </c>
      <c r="I322" s="190" t="str">
        <f t="shared" si="19"/>
        <v/>
      </c>
    </row>
    <row r="323" spans="1:9">
      <c r="A323">
        <v>320</v>
      </c>
      <c r="B323" s="46">
        <v>44941</v>
      </c>
      <c r="C323" s="169">
        <v>125.24761058545855</v>
      </c>
      <c r="D323" s="169">
        <v>119.44455644829111</v>
      </c>
      <c r="E323" s="169">
        <f t="shared" si="18"/>
        <v>119.44455644829111</v>
      </c>
      <c r="F323" s="190" t="str">
        <f t="shared" ref="F323" si="21">IF(DAY(B323)=15,IF(MONTH(B323)=1,"E",IF(MONTH(B323)=2,"F",IF(MONTH(B323)=3,"M",IF(MONTH(B323)=4,"A",IF(MONTH(B323)=5,"M",IF(MONTH(B323)=6,"J",IF(MONTH(B323)=7,"J",IF(MONTH(B323)=8,"A",IF(MONTH(B323)=9,"S",IF(MONTH(B323)=10,"O",IF(MONTH(B323)=11,"N",IF(MONTH(B323)=12,"D","")))))))))))),"")</f>
        <v>E</v>
      </c>
      <c r="G323" s="191">
        <f>IF(DAY(B323)=15,D323,"")</f>
        <v>119.44455644829111</v>
      </c>
      <c r="H323" t="str">
        <f t="shared" si="20"/>
        <v/>
      </c>
      <c r="I323" s="190" t="str">
        <f t="shared" si="19"/>
        <v>E</v>
      </c>
    </row>
    <row r="324" spans="1:9">
      <c r="A324">
        <v>321</v>
      </c>
      <c r="B324" s="46">
        <v>44942</v>
      </c>
      <c r="C324" s="169">
        <v>143.21331817346228</v>
      </c>
      <c r="D324" s="169">
        <v>119.44455644829111</v>
      </c>
      <c r="E324" s="169">
        <f t="shared" ref="E324:E387" si="22">IF(C324&lt;D324,C324,D324)</f>
        <v>119.44455644829111</v>
      </c>
      <c r="F324" s="190" t="str">
        <f t="shared" ref="F324:F386" si="23">IF(DAY(B324)=15,IF(MONTH(B324)=1,"E",IF(MONTH(B324)=2,"F",IF(MONTH(B324)=3,"M",IF(MONTH(B324)=4,"A",IF(MONTH(B324)=5,"M",IF(MONTH(B324)=6,"J",IF(MONTH(B324)=7,"J",IF(MONTH(B324)=8,"A",IF(MONTH(B324)=9,"S",IF(MONTH(B324)=10,"O",IF(MONTH(B324)=11,"N",IF(MONTH(B324)=12,"D","")))))))))))),"")</f>
        <v/>
      </c>
      <c r="H324" t="str">
        <f t="shared" si="20"/>
        <v/>
      </c>
      <c r="I324" s="190" t="str">
        <f t="shared" ref="I324:I387" si="24">IF(DAY(B324)=15,IF(MONTH(B324)=1,"E",IF(MONTH(B324)=2,"F",IF(MONTH(B324)=3,"M",IF(MONTH(B324)=4,"A",IF(MONTH(B324)=5,"M",IF(MONTH(B324)=6,"J",IF(MONTH(B324)=7,"J",IF(MONTH(B324)=8,"A",IF(MONTH(B324)=9,"S",IF(MONTH(B324)=10,"O",IF(MONTH(B324)=11,"N",IF(MONTH(B324)=12,"D","")))))))))))),"")</f>
        <v/>
      </c>
    </row>
    <row r="325" spans="1:9">
      <c r="A325">
        <v>322</v>
      </c>
      <c r="B325" s="46">
        <v>44943</v>
      </c>
      <c r="C325" s="169">
        <v>139.81863649845857</v>
      </c>
      <c r="D325" s="169">
        <v>119.44455644829111</v>
      </c>
      <c r="E325" s="169">
        <f t="shared" si="22"/>
        <v>119.44455644829111</v>
      </c>
      <c r="F325" s="190" t="str">
        <f t="shared" si="23"/>
        <v/>
      </c>
      <c r="H325" t="str">
        <f t="shared" ref="H325:H388" si="25">IF(MONTH(B325)=1,IF(DAY(B325)=1,YEAR(B325),""),"")</f>
        <v/>
      </c>
      <c r="I325" s="190" t="str">
        <f t="shared" si="24"/>
        <v/>
      </c>
    </row>
    <row r="326" spans="1:9">
      <c r="A326">
        <v>323</v>
      </c>
      <c r="B326" s="46">
        <v>44944</v>
      </c>
      <c r="C326" s="169">
        <v>210.31799327556047</v>
      </c>
      <c r="D326" s="169">
        <v>119.44455644829111</v>
      </c>
      <c r="E326" s="169">
        <f t="shared" si="22"/>
        <v>119.44455644829111</v>
      </c>
      <c r="F326" s="190" t="str">
        <f t="shared" si="23"/>
        <v/>
      </c>
      <c r="H326" t="str">
        <f t="shared" si="25"/>
        <v/>
      </c>
      <c r="I326" s="190" t="str">
        <f t="shared" si="24"/>
        <v/>
      </c>
    </row>
    <row r="327" spans="1:9">
      <c r="A327">
        <v>324</v>
      </c>
      <c r="B327" s="46">
        <v>44945</v>
      </c>
      <c r="C327" s="169">
        <v>212.85371273355861</v>
      </c>
      <c r="D327" s="169">
        <v>119.44455644829111</v>
      </c>
      <c r="E327" s="169">
        <f t="shared" si="22"/>
        <v>119.44455644829111</v>
      </c>
      <c r="F327" s="190" t="str">
        <f t="shared" si="23"/>
        <v/>
      </c>
      <c r="H327" t="str">
        <f t="shared" si="25"/>
        <v/>
      </c>
      <c r="I327" s="190" t="str">
        <f t="shared" si="24"/>
        <v/>
      </c>
    </row>
    <row r="328" spans="1:9">
      <c r="A328">
        <v>325</v>
      </c>
      <c r="B328" s="46">
        <v>44946</v>
      </c>
      <c r="C328" s="169">
        <v>233.69651104555675</v>
      </c>
      <c r="D328" s="169">
        <v>119.44455644829111</v>
      </c>
      <c r="E328" s="169">
        <f t="shared" si="22"/>
        <v>119.44455644829111</v>
      </c>
      <c r="F328" s="190" t="str">
        <f t="shared" si="23"/>
        <v/>
      </c>
      <c r="H328" t="str">
        <f t="shared" si="25"/>
        <v/>
      </c>
      <c r="I328" s="190" t="str">
        <f t="shared" si="24"/>
        <v/>
      </c>
    </row>
    <row r="329" spans="1:9">
      <c r="A329">
        <v>326</v>
      </c>
      <c r="B329" s="46">
        <v>44947</v>
      </c>
      <c r="C329" s="169">
        <v>216.74085348956049</v>
      </c>
      <c r="D329" s="169">
        <v>119.44455644829111</v>
      </c>
      <c r="E329" s="169">
        <f t="shared" si="22"/>
        <v>119.44455644829111</v>
      </c>
      <c r="F329" s="190" t="str">
        <f t="shared" si="23"/>
        <v/>
      </c>
      <c r="H329" t="str">
        <f t="shared" si="25"/>
        <v/>
      </c>
      <c r="I329" s="190" t="str">
        <f t="shared" si="24"/>
        <v/>
      </c>
    </row>
    <row r="330" spans="1:9">
      <c r="A330">
        <v>327</v>
      </c>
      <c r="B330" s="46">
        <v>44948</v>
      </c>
      <c r="C330" s="169">
        <v>209.38934882955857</v>
      </c>
      <c r="D330" s="169">
        <v>119.44455644829111</v>
      </c>
      <c r="E330" s="169">
        <f t="shared" si="22"/>
        <v>119.44455644829111</v>
      </c>
      <c r="F330" s="190" t="str">
        <f t="shared" si="23"/>
        <v/>
      </c>
      <c r="H330" t="str">
        <f t="shared" si="25"/>
        <v/>
      </c>
      <c r="I330" s="190" t="str">
        <f t="shared" si="24"/>
        <v/>
      </c>
    </row>
    <row r="331" spans="1:9">
      <c r="A331">
        <v>328</v>
      </c>
      <c r="B331" s="46">
        <v>44949</v>
      </c>
      <c r="C331" s="169">
        <v>236.63857497755674</v>
      </c>
      <c r="D331" s="169">
        <v>119.44455644829111</v>
      </c>
      <c r="E331" s="169">
        <f t="shared" si="22"/>
        <v>119.44455644829111</v>
      </c>
      <c r="F331" s="190" t="str">
        <f t="shared" si="23"/>
        <v/>
      </c>
      <c r="H331" t="str">
        <f t="shared" si="25"/>
        <v/>
      </c>
      <c r="I331" s="190" t="str">
        <f t="shared" si="24"/>
        <v/>
      </c>
    </row>
    <row r="332" spans="1:9">
      <c r="A332">
        <v>329</v>
      </c>
      <c r="B332" s="46">
        <v>44950</v>
      </c>
      <c r="C332" s="169">
        <v>265.77015223356045</v>
      </c>
      <c r="D332" s="169">
        <v>119.44455644829111</v>
      </c>
      <c r="E332" s="169">
        <f t="shared" si="22"/>
        <v>119.44455644829111</v>
      </c>
      <c r="F332" s="190" t="str">
        <f t="shared" si="23"/>
        <v/>
      </c>
      <c r="H332" t="str">
        <f t="shared" si="25"/>
        <v/>
      </c>
      <c r="I332" s="190" t="str">
        <f t="shared" si="24"/>
        <v/>
      </c>
    </row>
    <row r="333" spans="1:9">
      <c r="A333">
        <v>330</v>
      </c>
      <c r="B333" s="46">
        <v>44951</v>
      </c>
      <c r="C333" s="169">
        <v>175.43269650291603</v>
      </c>
      <c r="D333" s="169">
        <v>119.44455644829111</v>
      </c>
      <c r="E333" s="169">
        <f t="shared" si="22"/>
        <v>119.44455644829111</v>
      </c>
      <c r="F333" s="190" t="str">
        <f t="shared" si="23"/>
        <v/>
      </c>
      <c r="H333" t="str">
        <f t="shared" si="25"/>
        <v/>
      </c>
      <c r="I333" s="190" t="str">
        <f t="shared" si="24"/>
        <v/>
      </c>
    </row>
    <row r="334" spans="1:9">
      <c r="A334">
        <v>331</v>
      </c>
      <c r="B334" s="46">
        <v>44952</v>
      </c>
      <c r="C334" s="169">
        <v>171.15210955092161</v>
      </c>
      <c r="D334" s="169">
        <v>119.44455644829111</v>
      </c>
      <c r="E334" s="169">
        <f t="shared" si="22"/>
        <v>119.44455644829111</v>
      </c>
      <c r="F334" s="190" t="str">
        <f t="shared" si="23"/>
        <v/>
      </c>
      <c r="H334" t="str">
        <f t="shared" si="25"/>
        <v/>
      </c>
      <c r="I334" s="190" t="str">
        <f t="shared" si="24"/>
        <v/>
      </c>
    </row>
    <row r="335" spans="1:9">
      <c r="A335">
        <v>332</v>
      </c>
      <c r="B335" s="46">
        <v>44953</v>
      </c>
      <c r="C335" s="169">
        <v>152.50442946691788</v>
      </c>
      <c r="D335" s="169">
        <v>119.44455644829111</v>
      </c>
      <c r="E335" s="169">
        <f t="shared" si="22"/>
        <v>119.44455644829111</v>
      </c>
      <c r="F335" s="190" t="str">
        <f t="shared" si="23"/>
        <v/>
      </c>
      <c r="H335" t="str">
        <f t="shared" si="25"/>
        <v/>
      </c>
      <c r="I335" s="190" t="str">
        <f t="shared" si="24"/>
        <v/>
      </c>
    </row>
    <row r="336" spans="1:9">
      <c r="A336">
        <v>333</v>
      </c>
      <c r="B336" s="46">
        <v>44954</v>
      </c>
      <c r="C336" s="169">
        <v>118.75098253891976</v>
      </c>
      <c r="D336" s="169">
        <v>119.44455644829111</v>
      </c>
      <c r="E336" s="169">
        <f t="shared" si="22"/>
        <v>118.75098253891976</v>
      </c>
      <c r="F336" s="190" t="str">
        <f t="shared" si="23"/>
        <v/>
      </c>
      <c r="H336" t="str">
        <f t="shared" si="25"/>
        <v/>
      </c>
      <c r="I336" s="190" t="str">
        <f t="shared" si="24"/>
        <v/>
      </c>
    </row>
    <row r="337" spans="1:9">
      <c r="A337">
        <v>334</v>
      </c>
      <c r="B337" s="46">
        <v>44955</v>
      </c>
      <c r="C337" s="169">
        <v>117.44109541892162</v>
      </c>
      <c r="D337" s="169">
        <v>119.44455644829111</v>
      </c>
      <c r="E337" s="169">
        <f t="shared" si="22"/>
        <v>117.44109541892162</v>
      </c>
      <c r="F337" s="190" t="str">
        <f t="shared" si="23"/>
        <v/>
      </c>
      <c r="H337" t="str">
        <f t="shared" si="25"/>
        <v/>
      </c>
      <c r="I337" s="190" t="str">
        <f t="shared" si="24"/>
        <v/>
      </c>
    </row>
    <row r="338" spans="1:9">
      <c r="A338">
        <v>335</v>
      </c>
      <c r="B338" s="46">
        <v>44956</v>
      </c>
      <c r="C338" s="169">
        <v>167.47841404691789</v>
      </c>
      <c r="D338" s="169">
        <v>119.44455644829111</v>
      </c>
      <c r="E338" s="169">
        <f t="shared" si="22"/>
        <v>119.44455644829111</v>
      </c>
      <c r="F338" s="190" t="str">
        <f t="shared" si="23"/>
        <v/>
      </c>
      <c r="H338" t="str">
        <f t="shared" si="25"/>
        <v/>
      </c>
      <c r="I338" s="190" t="str">
        <f t="shared" si="24"/>
        <v/>
      </c>
    </row>
    <row r="339" spans="1:9">
      <c r="A339">
        <v>336</v>
      </c>
      <c r="B339" s="46">
        <v>44957</v>
      </c>
      <c r="C339" s="169">
        <v>157.44045010691602</v>
      </c>
      <c r="D339" s="169">
        <v>119.44455644829111</v>
      </c>
      <c r="E339" s="169">
        <f t="shared" si="22"/>
        <v>119.44455644829111</v>
      </c>
      <c r="F339" s="190" t="str">
        <f t="shared" si="23"/>
        <v/>
      </c>
      <c r="H339" t="str">
        <f t="shared" si="25"/>
        <v/>
      </c>
      <c r="I339" s="190" t="str">
        <f t="shared" si="24"/>
        <v/>
      </c>
    </row>
    <row r="340" spans="1:9">
      <c r="A340">
        <v>337</v>
      </c>
      <c r="B340" s="46">
        <v>44958</v>
      </c>
      <c r="C340" s="169">
        <v>109.69644377138364</v>
      </c>
      <c r="D340" s="169">
        <v>127.90897946252304</v>
      </c>
      <c r="E340" s="169">
        <f t="shared" si="22"/>
        <v>109.69644377138364</v>
      </c>
      <c r="F340" s="190" t="str">
        <f t="shared" si="23"/>
        <v/>
      </c>
      <c r="H340" t="str">
        <f t="shared" si="25"/>
        <v/>
      </c>
      <c r="I340" s="190" t="str">
        <f t="shared" si="24"/>
        <v/>
      </c>
    </row>
    <row r="341" spans="1:9">
      <c r="A341">
        <v>338</v>
      </c>
      <c r="B341" s="46">
        <v>44959</v>
      </c>
      <c r="C341" s="169">
        <v>110.93907483538176</v>
      </c>
      <c r="D341" s="169">
        <v>127.90897946252304</v>
      </c>
      <c r="E341" s="169">
        <f t="shared" si="22"/>
        <v>110.93907483538176</v>
      </c>
      <c r="F341" s="190" t="str">
        <f t="shared" si="23"/>
        <v/>
      </c>
      <c r="H341" t="str">
        <f t="shared" si="25"/>
        <v/>
      </c>
      <c r="I341" s="190" t="str">
        <f t="shared" si="24"/>
        <v/>
      </c>
    </row>
    <row r="342" spans="1:9">
      <c r="A342">
        <v>339</v>
      </c>
      <c r="B342" s="46">
        <v>44960</v>
      </c>
      <c r="C342" s="169">
        <v>115.45928817137805</v>
      </c>
      <c r="D342" s="169">
        <v>127.90897946252304</v>
      </c>
      <c r="E342" s="169">
        <f t="shared" si="22"/>
        <v>115.45928817137805</v>
      </c>
      <c r="F342" s="190" t="str">
        <f t="shared" si="23"/>
        <v/>
      </c>
      <c r="H342" t="str">
        <f t="shared" si="25"/>
        <v/>
      </c>
      <c r="I342" s="190" t="str">
        <f t="shared" si="24"/>
        <v/>
      </c>
    </row>
    <row r="343" spans="1:9">
      <c r="A343">
        <v>340</v>
      </c>
      <c r="B343" s="46">
        <v>44961</v>
      </c>
      <c r="C343" s="169">
        <v>67.379530903383639</v>
      </c>
      <c r="D343" s="169">
        <v>127.90897946252304</v>
      </c>
      <c r="E343" s="169">
        <f t="shared" si="22"/>
        <v>67.379530903383639</v>
      </c>
      <c r="F343" s="190" t="str">
        <f t="shared" si="23"/>
        <v/>
      </c>
      <c r="H343" t="str">
        <f t="shared" si="25"/>
        <v/>
      </c>
      <c r="I343" s="190" t="str">
        <f t="shared" si="24"/>
        <v/>
      </c>
    </row>
    <row r="344" spans="1:9">
      <c r="A344">
        <v>341</v>
      </c>
      <c r="B344" s="46">
        <v>44962</v>
      </c>
      <c r="C344" s="169">
        <v>35.286046567381774</v>
      </c>
      <c r="D344" s="169">
        <v>127.90897946252304</v>
      </c>
      <c r="E344" s="169">
        <f t="shared" si="22"/>
        <v>35.286046567381774</v>
      </c>
      <c r="F344" s="190" t="str">
        <f t="shared" si="23"/>
        <v/>
      </c>
      <c r="H344" t="str">
        <f t="shared" si="25"/>
        <v/>
      </c>
      <c r="I344" s="190" t="str">
        <f t="shared" si="24"/>
        <v/>
      </c>
    </row>
    <row r="345" spans="1:9">
      <c r="A345">
        <v>342</v>
      </c>
      <c r="B345" s="46">
        <v>44963</v>
      </c>
      <c r="C345" s="169">
        <v>54.936889847379902</v>
      </c>
      <c r="D345" s="169">
        <v>127.90897946252304</v>
      </c>
      <c r="E345" s="169">
        <f t="shared" si="22"/>
        <v>54.936889847379902</v>
      </c>
      <c r="F345" s="190" t="str">
        <f t="shared" si="23"/>
        <v/>
      </c>
      <c r="H345" t="str">
        <f t="shared" si="25"/>
        <v/>
      </c>
      <c r="I345" s="190" t="str">
        <f t="shared" si="24"/>
        <v/>
      </c>
    </row>
    <row r="346" spans="1:9">
      <c r="A346">
        <v>343</v>
      </c>
      <c r="B346" s="46">
        <v>44964</v>
      </c>
      <c r="C346" s="169">
        <v>98.663010611379917</v>
      </c>
      <c r="D346" s="169">
        <v>127.90897946252304</v>
      </c>
      <c r="E346" s="169">
        <f t="shared" si="22"/>
        <v>98.663010611379917</v>
      </c>
      <c r="F346" s="190" t="str">
        <f t="shared" si="23"/>
        <v/>
      </c>
      <c r="H346" t="str">
        <f t="shared" si="25"/>
        <v/>
      </c>
      <c r="I346" s="190" t="str">
        <f t="shared" si="24"/>
        <v/>
      </c>
    </row>
    <row r="347" spans="1:9">
      <c r="A347">
        <v>344</v>
      </c>
      <c r="B347" s="46">
        <v>44965</v>
      </c>
      <c r="C347" s="169">
        <v>105.74671553278</v>
      </c>
      <c r="D347" s="169">
        <v>127.90897946252304</v>
      </c>
      <c r="E347" s="169">
        <f t="shared" si="22"/>
        <v>105.74671553278</v>
      </c>
      <c r="F347" s="190" t="str">
        <f t="shared" si="23"/>
        <v/>
      </c>
      <c r="H347" t="str">
        <f t="shared" si="25"/>
        <v/>
      </c>
      <c r="I347" s="190" t="str">
        <f t="shared" si="24"/>
        <v/>
      </c>
    </row>
    <row r="348" spans="1:9">
      <c r="A348">
        <v>345</v>
      </c>
      <c r="B348" s="46">
        <v>44966</v>
      </c>
      <c r="C348" s="169">
        <v>90.159075136778128</v>
      </c>
      <c r="D348" s="169">
        <v>127.90897946252304</v>
      </c>
      <c r="E348" s="169">
        <f t="shared" si="22"/>
        <v>90.159075136778128</v>
      </c>
      <c r="F348" s="190" t="str">
        <f t="shared" si="23"/>
        <v/>
      </c>
      <c r="H348" t="str">
        <f t="shared" si="25"/>
        <v/>
      </c>
      <c r="I348" s="190" t="str">
        <f t="shared" si="24"/>
        <v/>
      </c>
    </row>
    <row r="349" spans="1:9">
      <c r="A349">
        <v>346</v>
      </c>
      <c r="B349" s="46">
        <v>44967</v>
      </c>
      <c r="C349" s="169">
        <v>92.669122980778141</v>
      </c>
      <c r="D349" s="169">
        <v>127.90897946252304</v>
      </c>
      <c r="E349" s="169">
        <f t="shared" si="22"/>
        <v>92.669122980778141</v>
      </c>
      <c r="F349" s="190" t="str">
        <f t="shared" si="23"/>
        <v/>
      </c>
      <c r="H349" t="str">
        <f t="shared" si="25"/>
        <v/>
      </c>
      <c r="I349" s="190" t="str">
        <f t="shared" si="24"/>
        <v/>
      </c>
    </row>
    <row r="350" spans="1:9">
      <c r="A350">
        <v>347</v>
      </c>
      <c r="B350" s="46">
        <v>44968</v>
      </c>
      <c r="C350" s="169">
        <v>63.645498124776275</v>
      </c>
      <c r="D350" s="169">
        <v>127.90897946252304</v>
      </c>
      <c r="E350" s="169">
        <f t="shared" si="22"/>
        <v>63.645498124776275</v>
      </c>
      <c r="F350" s="190" t="str">
        <f t="shared" si="23"/>
        <v/>
      </c>
      <c r="H350" t="str">
        <f t="shared" si="25"/>
        <v/>
      </c>
      <c r="I350" s="190" t="str">
        <f t="shared" si="24"/>
        <v/>
      </c>
    </row>
    <row r="351" spans="1:9">
      <c r="A351">
        <v>348</v>
      </c>
      <c r="B351" s="46">
        <v>44969</v>
      </c>
      <c r="C351" s="169">
        <v>58.624108388780002</v>
      </c>
      <c r="D351" s="169">
        <v>127.90897946252304</v>
      </c>
      <c r="E351" s="169">
        <f t="shared" si="22"/>
        <v>58.624108388780002</v>
      </c>
      <c r="F351" s="190" t="str">
        <f t="shared" si="23"/>
        <v/>
      </c>
      <c r="H351" t="str">
        <f t="shared" si="25"/>
        <v/>
      </c>
      <c r="I351" s="190" t="str">
        <f t="shared" si="24"/>
        <v/>
      </c>
    </row>
    <row r="352" spans="1:9">
      <c r="A352">
        <v>349</v>
      </c>
      <c r="B352" s="46">
        <v>44970</v>
      </c>
      <c r="C352" s="169">
        <v>73.806724304778143</v>
      </c>
      <c r="D352" s="169">
        <v>127.90897946252304</v>
      </c>
      <c r="E352" s="169">
        <f t="shared" si="22"/>
        <v>73.806724304778143</v>
      </c>
      <c r="F352" s="190" t="str">
        <f t="shared" si="23"/>
        <v/>
      </c>
      <c r="H352" t="str">
        <f t="shared" si="25"/>
        <v/>
      </c>
      <c r="I352" s="190" t="str">
        <f t="shared" si="24"/>
        <v/>
      </c>
    </row>
    <row r="353" spans="1:9">
      <c r="A353">
        <v>350</v>
      </c>
      <c r="B353" s="46">
        <v>44971</v>
      </c>
      <c r="C353" s="169">
        <v>62.580834532776279</v>
      </c>
      <c r="D353" s="169">
        <v>127.90897946252304</v>
      </c>
      <c r="E353" s="169">
        <f t="shared" si="22"/>
        <v>62.580834532776279</v>
      </c>
      <c r="F353" s="190" t="str">
        <f t="shared" si="23"/>
        <v/>
      </c>
      <c r="H353" t="str">
        <f t="shared" si="25"/>
        <v/>
      </c>
      <c r="I353" s="190" t="str">
        <f t="shared" si="24"/>
        <v/>
      </c>
    </row>
    <row r="354" spans="1:9">
      <c r="A354">
        <v>351</v>
      </c>
      <c r="B354" s="46">
        <v>44972</v>
      </c>
      <c r="C354" s="169">
        <v>73.77204675838793</v>
      </c>
      <c r="D354" s="169">
        <v>127.90897946252304</v>
      </c>
      <c r="E354" s="169">
        <f t="shared" si="22"/>
        <v>73.77204675838793</v>
      </c>
      <c r="F354" s="190" t="str">
        <f t="shared" si="23"/>
        <v>F</v>
      </c>
      <c r="G354" s="191">
        <f>IF(DAY(B354)=15,D354,"")</f>
        <v>127.90897946252304</v>
      </c>
      <c r="H354" t="str">
        <f t="shared" si="25"/>
        <v/>
      </c>
      <c r="I354" s="190" t="str">
        <f t="shared" si="24"/>
        <v>F</v>
      </c>
    </row>
    <row r="355" spans="1:9">
      <c r="A355">
        <v>352</v>
      </c>
      <c r="B355" s="46">
        <v>44973</v>
      </c>
      <c r="C355" s="169">
        <v>76.179004566387931</v>
      </c>
      <c r="D355" s="169">
        <v>127.90897946252304</v>
      </c>
      <c r="E355" s="169">
        <f t="shared" si="22"/>
        <v>76.179004566387931</v>
      </c>
      <c r="F355" s="190" t="str">
        <f t="shared" si="23"/>
        <v/>
      </c>
      <c r="H355" t="str">
        <f t="shared" si="25"/>
        <v/>
      </c>
      <c r="I355" s="190" t="str">
        <f t="shared" si="24"/>
        <v/>
      </c>
    </row>
    <row r="356" spans="1:9">
      <c r="A356">
        <v>353</v>
      </c>
      <c r="B356" s="46">
        <v>44974</v>
      </c>
      <c r="C356" s="169">
        <v>60.705458206387938</v>
      </c>
      <c r="D356" s="169">
        <v>127.90897946252304</v>
      </c>
      <c r="E356" s="169">
        <f t="shared" si="22"/>
        <v>60.705458206387938</v>
      </c>
      <c r="F356" s="190" t="str">
        <f t="shared" si="23"/>
        <v/>
      </c>
      <c r="H356" t="str">
        <f t="shared" si="25"/>
        <v/>
      </c>
      <c r="I356" s="190" t="str">
        <f t="shared" si="24"/>
        <v/>
      </c>
    </row>
    <row r="357" spans="1:9">
      <c r="A357">
        <v>354</v>
      </c>
      <c r="B357" s="46">
        <v>44975</v>
      </c>
      <c r="C357" s="169">
        <v>55.492423114384202</v>
      </c>
      <c r="D357" s="169">
        <v>127.90897946252304</v>
      </c>
      <c r="E357" s="169">
        <f t="shared" si="22"/>
        <v>55.492423114384202</v>
      </c>
      <c r="F357" s="190" t="str">
        <f t="shared" si="23"/>
        <v/>
      </c>
      <c r="H357" t="str">
        <f t="shared" si="25"/>
        <v/>
      </c>
      <c r="I357" s="190" t="str">
        <f t="shared" si="24"/>
        <v/>
      </c>
    </row>
    <row r="358" spans="1:9">
      <c r="A358">
        <v>355</v>
      </c>
      <c r="B358" s="46">
        <v>44976</v>
      </c>
      <c r="C358" s="169">
        <v>47.155717002386076</v>
      </c>
      <c r="D358" s="169">
        <v>127.90897946252304</v>
      </c>
      <c r="E358" s="169">
        <f t="shared" si="22"/>
        <v>47.155717002386076</v>
      </c>
      <c r="F358" s="190" t="str">
        <f t="shared" si="23"/>
        <v/>
      </c>
      <c r="H358" t="str">
        <f t="shared" si="25"/>
        <v/>
      </c>
      <c r="I358" s="190" t="str">
        <f t="shared" si="24"/>
        <v/>
      </c>
    </row>
    <row r="359" spans="1:9">
      <c r="A359">
        <v>356</v>
      </c>
      <c r="B359" s="46">
        <v>44977</v>
      </c>
      <c r="C359" s="169">
        <v>55.316829946389802</v>
      </c>
      <c r="D359" s="169">
        <v>127.90897946252304</v>
      </c>
      <c r="E359" s="169">
        <f t="shared" si="22"/>
        <v>55.316829946389802</v>
      </c>
      <c r="F359" s="190" t="str">
        <f t="shared" si="23"/>
        <v/>
      </c>
      <c r="H359" t="str">
        <f t="shared" si="25"/>
        <v/>
      </c>
      <c r="I359" s="190" t="str">
        <f t="shared" si="24"/>
        <v/>
      </c>
    </row>
    <row r="360" spans="1:9">
      <c r="A360">
        <v>357</v>
      </c>
      <c r="B360" s="46">
        <v>44978</v>
      </c>
      <c r="C360" s="169">
        <v>69.958321530386073</v>
      </c>
      <c r="D360" s="169">
        <v>127.90897946252304</v>
      </c>
      <c r="E360" s="169">
        <f t="shared" si="22"/>
        <v>69.958321530386073</v>
      </c>
      <c r="F360" s="190" t="str">
        <f t="shared" si="23"/>
        <v/>
      </c>
      <c r="H360" t="str">
        <f t="shared" si="25"/>
        <v/>
      </c>
      <c r="I360" s="190" t="str">
        <f t="shared" si="24"/>
        <v/>
      </c>
    </row>
    <row r="361" spans="1:9">
      <c r="A361">
        <v>358</v>
      </c>
      <c r="B361" s="46">
        <v>44979</v>
      </c>
      <c r="C361" s="169">
        <v>79.308118382491884</v>
      </c>
      <c r="D361" s="169">
        <v>127.90897946252304</v>
      </c>
      <c r="E361" s="169">
        <f t="shared" si="22"/>
        <v>79.308118382491884</v>
      </c>
      <c r="F361" s="190" t="str">
        <f t="shared" si="23"/>
        <v/>
      </c>
      <c r="H361" t="str">
        <f t="shared" si="25"/>
        <v/>
      </c>
      <c r="I361" s="190" t="str">
        <f t="shared" si="24"/>
        <v/>
      </c>
    </row>
    <row r="362" spans="1:9">
      <c r="A362">
        <v>359</v>
      </c>
      <c r="B362" s="46">
        <v>44980</v>
      </c>
      <c r="C362" s="169">
        <v>71.608538294493741</v>
      </c>
      <c r="D362" s="169">
        <v>127.90897946252304</v>
      </c>
      <c r="E362" s="169">
        <f t="shared" si="22"/>
        <v>71.608538294493741</v>
      </c>
      <c r="F362" s="190" t="str">
        <f t="shared" si="23"/>
        <v/>
      </c>
      <c r="H362" t="str">
        <f t="shared" si="25"/>
        <v/>
      </c>
      <c r="I362" s="190" t="str">
        <f t="shared" si="24"/>
        <v/>
      </c>
    </row>
    <row r="363" spans="1:9">
      <c r="A363">
        <v>360</v>
      </c>
      <c r="B363" s="46">
        <v>44981</v>
      </c>
      <c r="C363" s="169">
        <v>87.803712022493741</v>
      </c>
      <c r="D363" s="169">
        <v>127.90897946252304</v>
      </c>
      <c r="E363" s="169">
        <f t="shared" si="22"/>
        <v>87.803712022493741</v>
      </c>
      <c r="F363" s="190" t="str">
        <f t="shared" si="23"/>
        <v/>
      </c>
      <c r="H363" t="str">
        <f t="shared" si="25"/>
        <v/>
      </c>
      <c r="I363" s="190" t="str">
        <f t="shared" si="24"/>
        <v/>
      </c>
    </row>
    <row r="364" spans="1:9">
      <c r="A364">
        <v>361</v>
      </c>
      <c r="B364" s="46">
        <v>44982</v>
      </c>
      <c r="C364" s="169">
        <v>79.125568238490018</v>
      </c>
      <c r="D364" s="169">
        <v>127.90897946252304</v>
      </c>
      <c r="E364" s="169">
        <f t="shared" si="22"/>
        <v>79.125568238490018</v>
      </c>
      <c r="F364" s="190" t="str">
        <f t="shared" si="23"/>
        <v/>
      </c>
      <c r="H364" t="str">
        <f t="shared" si="25"/>
        <v/>
      </c>
      <c r="I364" s="190" t="str">
        <f t="shared" si="24"/>
        <v/>
      </c>
    </row>
    <row r="365" spans="1:9">
      <c r="A365">
        <v>362</v>
      </c>
      <c r="B365" s="46">
        <v>44983</v>
      </c>
      <c r="C365" s="169">
        <v>40.344502714493743</v>
      </c>
      <c r="D365" s="169">
        <v>127.90897946252304</v>
      </c>
      <c r="E365" s="169">
        <f t="shared" si="22"/>
        <v>40.344502714493743</v>
      </c>
      <c r="F365" s="190" t="str">
        <f t="shared" si="23"/>
        <v/>
      </c>
      <c r="H365" t="str">
        <f t="shared" si="25"/>
        <v/>
      </c>
      <c r="I365" s="190" t="str">
        <f t="shared" si="24"/>
        <v/>
      </c>
    </row>
    <row r="366" spans="1:9">
      <c r="A366">
        <v>363</v>
      </c>
      <c r="B366" s="46">
        <v>44984</v>
      </c>
      <c r="C366" s="169">
        <v>42.078752766493743</v>
      </c>
      <c r="D366" s="169">
        <v>127.90897946252304</v>
      </c>
      <c r="E366" s="169">
        <f t="shared" si="22"/>
        <v>42.078752766493743</v>
      </c>
      <c r="F366" s="190" t="str">
        <f t="shared" si="23"/>
        <v/>
      </c>
      <c r="H366" t="str">
        <f t="shared" si="25"/>
        <v/>
      </c>
      <c r="I366" s="190" t="str">
        <f t="shared" si="24"/>
        <v/>
      </c>
    </row>
    <row r="367" spans="1:9">
      <c r="A367">
        <v>364</v>
      </c>
      <c r="B367" s="46">
        <v>44985</v>
      </c>
      <c r="C367" s="169">
        <v>59.996479074493742</v>
      </c>
      <c r="D367" s="169">
        <v>127.90897946252304</v>
      </c>
      <c r="E367" s="169">
        <f t="shared" si="22"/>
        <v>59.996479074493742</v>
      </c>
      <c r="F367" s="190" t="str">
        <f t="shared" si="23"/>
        <v/>
      </c>
      <c r="H367" t="str">
        <f t="shared" si="25"/>
        <v/>
      </c>
      <c r="I367" s="190" t="str">
        <f t="shared" si="24"/>
        <v/>
      </c>
    </row>
    <row r="368" spans="1:9">
      <c r="A368">
        <v>365</v>
      </c>
      <c r="B368" s="46">
        <v>44986</v>
      </c>
      <c r="C368" s="169">
        <v>64.091979240687394</v>
      </c>
      <c r="D368" s="169">
        <v>128.18908398701601</v>
      </c>
      <c r="E368" s="169">
        <f t="shared" si="22"/>
        <v>64.091979240687394</v>
      </c>
      <c r="F368" s="190" t="str">
        <f t="shared" si="23"/>
        <v/>
      </c>
      <c r="H368" t="str">
        <f t="shared" si="25"/>
        <v/>
      </c>
      <c r="I368" s="190" t="str">
        <f t="shared" si="24"/>
        <v/>
      </c>
    </row>
    <row r="369" spans="1:9">
      <c r="A369">
        <v>366</v>
      </c>
      <c r="B369" s="46">
        <v>44987</v>
      </c>
      <c r="C369" s="169">
        <v>65.819765584685541</v>
      </c>
      <c r="D369" s="169">
        <v>128.18908398701601</v>
      </c>
      <c r="E369" s="169">
        <f t="shared" si="22"/>
        <v>65.819765584685541</v>
      </c>
      <c r="F369" s="190" t="str">
        <f t="shared" si="23"/>
        <v/>
      </c>
      <c r="H369" t="str">
        <f t="shared" si="25"/>
        <v/>
      </c>
      <c r="I369" s="190" t="str">
        <f t="shared" si="24"/>
        <v/>
      </c>
    </row>
    <row r="370" spans="1:9">
      <c r="A370">
        <v>367</v>
      </c>
      <c r="B370" s="46">
        <v>44988</v>
      </c>
      <c r="C370" s="169">
        <v>63.845628172687398</v>
      </c>
      <c r="D370" s="169">
        <v>128.18908398701601</v>
      </c>
      <c r="E370" s="169">
        <f t="shared" si="22"/>
        <v>63.845628172687398</v>
      </c>
      <c r="F370" s="190" t="str">
        <f t="shared" si="23"/>
        <v/>
      </c>
      <c r="H370" t="str">
        <f t="shared" si="25"/>
        <v/>
      </c>
      <c r="I370" s="190" t="str">
        <f t="shared" si="24"/>
        <v/>
      </c>
    </row>
    <row r="371" spans="1:9">
      <c r="A371">
        <v>368</v>
      </c>
      <c r="B371" s="46">
        <v>44989</v>
      </c>
      <c r="C371" s="169">
        <v>68.848843408687387</v>
      </c>
      <c r="D371" s="169">
        <v>128.18908398701601</v>
      </c>
      <c r="E371" s="169">
        <f t="shared" si="22"/>
        <v>68.848843408687387</v>
      </c>
      <c r="F371" s="190" t="str">
        <f t="shared" si="23"/>
        <v/>
      </c>
      <c r="H371" t="str">
        <f t="shared" si="25"/>
        <v/>
      </c>
      <c r="I371" s="190" t="str">
        <f t="shared" si="24"/>
        <v/>
      </c>
    </row>
    <row r="372" spans="1:9">
      <c r="A372">
        <v>369</v>
      </c>
      <c r="B372" s="46">
        <v>44990</v>
      </c>
      <c r="C372" s="169">
        <v>73.285303176687393</v>
      </c>
      <c r="D372" s="169">
        <v>128.18908398701601</v>
      </c>
      <c r="E372" s="169">
        <f t="shared" si="22"/>
        <v>73.285303176687393</v>
      </c>
      <c r="F372" s="190" t="str">
        <f t="shared" si="23"/>
        <v/>
      </c>
      <c r="H372" t="str">
        <f t="shared" si="25"/>
        <v/>
      </c>
      <c r="I372" s="190" t="str">
        <f t="shared" si="24"/>
        <v/>
      </c>
    </row>
    <row r="373" spans="1:9">
      <c r="A373">
        <v>370</v>
      </c>
      <c r="B373" s="46">
        <v>44991</v>
      </c>
      <c r="C373" s="169">
        <v>65.150454980683676</v>
      </c>
      <c r="D373" s="169">
        <v>128.18908398701601</v>
      </c>
      <c r="E373" s="169">
        <f t="shared" si="22"/>
        <v>65.150454980683676</v>
      </c>
      <c r="F373" s="190" t="str">
        <f t="shared" si="23"/>
        <v/>
      </c>
      <c r="H373" t="str">
        <f t="shared" si="25"/>
        <v/>
      </c>
      <c r="I373" s="190" t="str">
        <f t="shared" si="24"/>
        <v/>
      </c>
    </row>
    <row r="374" spans="1:9">
      <c r="A374">
        <v>371</v>
      </c>
      <c r="B374" s="46">
        <v>44992</v>
      </c>
      <c r="C374" s="169">
        <v>29.726404709689255</v>
      </c>
      <c r="D374" s="169">
        <v>128.18908398701601</v>
      </c>
      <c r="E374" s="169">
        <f t="shared" si="22"/>
        <v>29.726404709689255</v>
      </c>
      <c r="F374" s="190" t="str">
        <f t="shared" si="23"/>
        <v/>
      </c>
      <c r="H374" t="str">
        <f t="shared" si="25"/>
        <v/>
      </c>
      <c r="I374" s="190" t="str">
        <f t="shared" si="24"/>
        <v/>
      </c>
    </row>
    <row r="375" spans="1:9">
      <c r="A375">
        <v>372</v>
      </c>
      <c r="B375" s="46">
        <v>44993</v>
      </c>
      <c r="C375" s="169">
        <v>84.360668918236271</v>
      </c>
      <c r="D375" s="169">
        <v>128.18908398701601</v>
      </c>
      <c r="E375" s="169">
        <f t="shared" si="22"/>
        <v>84.360668918236271</v>
      </c>
      <c r="F375" s="190" t="str">
        <f t="shared" si="23"/>
        <v/>
      </c>
      <c r="H375" t="str">
        <f t="shared" si="25"/>
        <v/>
      </c>
      <c r="I375" s="190" t="str">
        <f t="shared" si="24"/>
        <v/>
      </c>
    </row>
    <row r="376" spans="1:9">
      <c r="A376">
        <v>373</v>
      </c>
      <c r="B376" s="46">
        <v>44994</v>
      </c>
      <c r="C376" s="169">
        <v>81.907544380236274</v>
      </c>
      <c r="D376" s="169">
        <v>128.18908398701601</v>
      </c>
      <c r="E376" s="169">
        <f t="shared" si="22"/>
        <v>81.907544380236274</v>
      </c>
      <c r="F376" s="190" t="str">
        <f t="shared" si="23"/>
        <v/>
      </c>
      <c r="H376" t="str">
        <f t="shared" si="25"/>
        <v/>
      </c>
      <c r="I376" s="190" t="str">
        <f t="shared" si="24"/>
        <v/>
      </c>
    </row>
    <row r="377" spans="1:9">
      <c r="A377">
        <v>374</v>
      </c>
      <c r="B377" s="46">
        <v>44995</v>
      </c>
      <c r="C377" s="169">
        <v>75.485651818238139</v>
      </c>
      <c r="D377" s="169">
        <v>128.18908398701601</v>
      </c>
      <c r="E377" s="169">
        <f t="shared" si="22"/>
        <v>75.485651818238139</v>
      </c>
      <c r="F377" s="190" t="str">
        <f t="shared" si="23"/>
        <v/>
      </c>
      <c r="H377" t="str">
        <f t="shared" si="25"/>
        <v/>
      </c>
      <c r="I377" s="190" t="str">
        <f t="shared" si="24"/>
        <v/>
      </c>
    </row>
    <row r="378" spans="1:9">
      <c r="A378">
        <v>375</v>
      </c>
      <c r="B378" s="46">
        <v>44996</v>
      </c>
      <c r="C378" s="169">
        <v>73.822267547238127</v>
      </c>
      <c r="D378" s="169">
        <v>128.18908398701601</v>
      </c>
      <c r="E378" s="169">
        <f t="shared" si="22"/>
        <v>73.822267547238127</v>
      </c>
      <c r="F378" s="190" t="str">
        <f t="shared" si="23"/>
        <v/>
      </c>
      <c r="H378" t="str">
        <f t="shared" si="25"/>
        <v/>
      </c>
      <c r="I378" s="190" t="str">
        <f t="shared" si="24"/>
        <v/>
      </c>
    </row>
    <row r="379" spans="1:9">
      <c r="A379">
        <v>376</v>
      </c>
      <c r="B379" s="46">
        <v>44997</v>
      </c>
      <c r="C379" s="169">
        <v>92.400156339236275</v>
      </c>
      <c r="D379" s="169">
        <v>128.18908398701601</v>
      </c>
      <c r="E379" s="169">
        <f t="shared" si="22"/>
        <v>92.400156339236275</v>
      </c>
      <c r="F379" s="190" t="str">
        <f t="shared" si="23"/>
        <v/>
      </c>
      <c r="H379" t="str">
        <f t="shared" si="25"/>
        <v/>
      </c>
      <c r="I379" s="190" t="str">
        <f t="shared" si="24"/>
        <v/>
      </c>
    </row>
    <row r="380" spans="1:9">
      <c r="A380">
        <v>377</v>
      </c>
      <c r="B380" s="46">
        <v>44998</v>
      </c>
      <c r="C380" s="169">
        <v>82.96517933123441</v>
      </c>
      <c r="D380" s="169">
        <v>128.18908398701601</v>
      </c>
      <c r="E380" s="169">
        <f t="shared" si="22"/>
        <v>82.96517933123441</v>
      </c>
      <c r="F380" s="190" t="str">
        <f t="shared" si="23"/>
        <v/>
      </c>
      <c r="H380" t="str">
        <f t="shared" si="25"/>
        <v/>
      </c>
      <c r="I380" s="190" t="str">
        <f t="shared" si="24"/>
        <v/>
      </c>
    </row>
    <row r="381" spans="1:9">
      <c r="A381">
        <v>378</v>
      </c>
      <c r="B381" s="46">
        <v>44999</v>
      </c>
      <c r="C381" s="169">
        <v>92.232445647236275</v>
      </c>
      <c r="D381" s="169">
        <v>128.18908398701601</v>
      </c>
      <c r="E381" s="169">
        <f t="shared" si="22"/>
        <v>92.232445647236275</v>
      </c>
      <c r="F381" s="190" t="str">
        <f t="shared" si="23"/>
        <v/>
      </c>
      <c r="H381" t="str">
        <f t="shared" si="25"/>
        <v/>
      </c>
      <c r="I381" s="190" t="str">
        <f t="shared" si="24"/>
        <v/>
      </c>
    </row>
    <row r="382" spans="1:9">
      <c r="A382">
        <v>379</v>
      </c>
      <c r="B382" s="46">
        <v>45000</v>
      </c>
      <c r="C382" s="169">
        <v>124.43187104481936</v>
      </c>
      <c r="D382" s="169">
        <v>128.18908398701601</v>
      </c>
      <c r="E382" s="169">
        <f t="shared" si="22"/>
        <v>124.43187104481936</v>
      </c>
      <c r="F382" s="190" t="str">
        <f t="shared" si="23"/>
        <v>M</v>
      </c>
      <c r="G382" s="191">
        <f>IF(DAY(B382)=15,D382,"")</f>
        <v>128.18908398701601</v>
      </c>
      <c r="H382" t="str">
        <f t="shared" si="25"/>
        <v/>
      </c>
      <c r="I382" s="190" t="str">
        <f t="shared" si="24"/>
        <v>M</v>
      </c>
    </row>
    <row r="383" spans="1:9">
      <c r="A383">
        <v>380</v>
      </c>
      <c r="B383" s="46">
        <v>45001</v>
      </c>
      <c r="C383" s="169">
        <v>96.044287556819356</v>
      </c>
      <c r="D383" s="169">
        <v>128.18908398701601</v>
      </c>
      <c r="E383" s="169">
        <f t="shared" si="22"/>
        <v>96.044287556819356</v>
      </c>
      <c r="F383" s="190" t="str">
        <f t="shared" si="23"/>
        <v/>
      </c>
      <c r="H383" t="str">
        <f t="shared" si="25"/>
        <v/>
      </c>
      <c r="I383" s="190" t="str">
        <f t="shared" si="24"/>
        <v/>
      </c>
    </row>
    <row r="384" spans="1:9">
      <c r="A384">
        <v>381</v>
      </c>
      <c r="B384" s="46">
        <v>45002</v>
      </c>
      <c r="C384" s="169">
        <v>91.691753812819371</v>
      </c>
      <c r="D384" s="169">
        <v>128.18908398701601</v>
      </c>
      <c r="E384" s="169">
        <f t="shared" si="22"/>
        <v>91.691753812819371</v>
      </c>
      <c r="F384" s="190" t="str">
        <f t="shared" si="23"/>
        <v/>
      </c>
      <c r="H384" t="str">
        <f t="shared" si="25"/>
        <v/>
      </c>
      <c r="I384" s="190" t="str">
        <f t="shared" si="24"/>
        <v/>
      </c>
    </row>
    <row r="385" spans="1:9">
      <c r="A385">
        <v>382</v>
      </c>
      <c r="B385" s="46">
        <v>45003</v>
      </c>
      <c r="C385" s="169">
        <v>103.27007991681936</v>
      </c>
      <c r="D385" s="169">
        <v>128.18908398701601</v>
      </c>
      <c r="E385" s="169">
        <f t="shared" si="22"/>
        <v>103.27007991681936</v>
      </c>
      <c r="F385" s="190" t="str">
        <f t="shared" si="23"/>
        <v/>
      </c>
      <c r="H385" t="str">
        <f t="shared" si="25"/>
        <v/>
      </c>
      <c r="I385" s="190" t="str">
        <f t="shared" si="24"/>
        <v/>
      </c>
    </row>
    <row r="386" spans="1:9">
      <c r="A386">
        <v>383</v>
      </c>
      <c r="B386" s="46">
        <v>45004</v>
      </c>
      <c r="C386" s="169">
        <v>95.511306064821227</v>
      </c>
      <c r="D386" s="169">
        <v>128.18908398701601</v>
      </c>
      <c r="E386" s="169">
        <f t="shared" si="22"/>
        <v>95.511306064821227</v>
      </c>
      <c r="F386" s="190" t="str">
        <f t="shared" si="23"/>
        <v/>
      </c>
      <c r="H386" t="str">
        <f t="shared" si="25"/>
        <v/>
      </c>
      <c r="I386" s="190" t="str">
        <f t="shared" si="24"/>
        <v/>
      </c>
    </row>
    <row r="387" spans="1:9">
      <c r="A387">
        <v>384</v>
      </c>
      <c r="B387" s="46">
        <v>45005</v>
      </c>
      <c r="C387" s="169">
        <v>113.3886712728175</v>
      </c>
      <c r="D387" s="169">
        <v>128.18908398701601</v>
      </c>
      <c r="E387" s="169">
        <f t="shared" si="22"/>
        <v>113.3886712728175</v>
      </c>
      <c r="F387" s="190" t="str">
        <f t="shared" ref="F387:F450" si="26">IF(DAY(B387)=15,IF(MONTH(B387)=1,"E",IF(MONTH(B387)=2,"F",IF(MONTH(B387)=3,"M",IF(MONTH(B387)=4,"A",IF(MONTH(B387)=5,"M",IF(MONTH(B387)=6,"J",IF(MONTH(B387)=7,"J",IF(MONTH(B387)=8,"A",IF(MONTH(B387)=9,"S",IF(MONTH(B387)=10,"O",IF(MONTH(B387)=11,"N",IF(MONTH(B387)=12,"D","")))))))))))),"")</f>
        <v/>
      </c>
      <c r="H387" t="str">
        <f t="shared" si="25"/>
        <v/>
      </c>
      <c r="I387" s="190" t="str">
        <f t="shared" si="24"/>
        <v/>
      </c>
    </row>
    <row r="388" spans="1:9">
      <c r="A388">
        <v>385</v>
      </c>
      <c r="B388" s="46">
        <v>45006</v>
      </c>
      <c r="C388" s="169">
        <v>112.87991530081936</v>
      </c>
      <c r="D388" s="169">
        <v>128.18908398701601</v>
      </c>
      <c r="E388" s="169">
        <f t="shared" ref="E388:E395" si="27">IF(C388&lt;D388,C388,D388)</f>
        <v>112.87991530081936</v>
      </c>
      <c r="F388" s="190" t="str">
        <f t="shared" si="26"/>
        <v/>
      </c>
      <c r="H388" t="str">
        <f t="shared" si="25"/>
        <v/>
      </c>
      <c r="I388" s="190" t="str">
        <f t="shared" ref="I388:I451" si="28">IF(DAY(B388)=15,IF(MONTH(B388)=1,"E",IF(MONTH(B388)=2,"F",IF(MONTH(B388)=3,"M",IF(MONTH(B388)=4,"A",IF(MONTH(B388)=5,"M",IF(MONTH(B388)=6,"J",IF(MONTH(B388)=7,"J",IF(MONTH(B388)=8,"A",IF(MONTH(B388)=9,"S",IF(MONTH(B388)=10,"O",IF(MONTH(B388)=11,"N",IF(MONTH(B388)=12,"D","")))))))))))),"")</f>
        <v/>
      </c>
    </row>
    <row r="389" spans="1:9">
      <c r="A389">
        <v>386</v>
      </c>
      <c r="B389" s="46">
        <v>45007</v>
      </c>
      <c r="C389" s="169">
        <v>85.663567835179578</v>
      </c>
      <c r="D389" s="169">
        <v>128.18908398701601</v>
      </c>
      <c r="E389" s="169">
        <f t="shared" si="27"/>
        <v>85.663567835179578</v>
      </c>
      <c r="F389" s="190" t="str">
        <f t="shared" si="26"/>
        <v/>
      </c>
      <c r="H389" t="str">
        <f t="shared" ref="H389:H452" si="29">IF(MONTH(B389)=1,IF(DAY(B389)=1,YEAR(B389),""),"")</f>
        <v/>
      </c>
      <c r="I389" s="190" t="str">
        <f t="shared" si="28"/>
        <v/>
      </c>
    </row>
    <row r="390" spans="1:9">
      <c r="A390">
        <v>387</v>
      </c>
      <c r="B390" s="46">
        <v>45008</v>
      </c>
      <c r="C390" s="169">
        <v>75.502702003183316</v>
      </c>
      <c r="D390" s="169">
        <v>128.18908398701601</v>
      </c>
      <c r="E390" s="169">
        <f t="shared" si="27"/>
        <v>75.502702003183316</v>
      </c>
      <c r="F390" s="190" t="str">
        <f t="shared" si="26"/>
        <v/>
      </c>
      <c r="H390" t="str">
        <f t="shared" si="29"/>
        <v/>
      </c>
      <c r="I390" s="190" t="str">
        <f t="shared" si="28"/>
        <v/>
      </c>
    </row>
    <row r="391" spans="1:9">
      <c r="A391">
        <v>388</v>
      </c>
      <c r="B391" s="46">
        <v>45009</v>
      </c>
      <c r="C391" s="169">
        <v>72.755112667177713</v>
      </c>
      <c r="D391" s="169">
        <v>128.18908398701601</v>
      </c>
      <c r="E391" s="169">
        <f t="shared" si="27"/>
        <v>72.755112667177713</v>
      </c>
      <c r="F391" s="190" t="str">
        <f t="shared" si="26"/>
        <v/>
      </c>
      <c r="H391" t="str">
        <f t="shared" si="29"/>
        <v/>
      </c>
      <c r="I391" s="190" t="str">
        <f t="shared" si="28"/>
        <v/>
      </c>
    </row>
    <row r="392" spans="1:9">
      <c r="A392">
        <v>389</v>
      </c>
      <c r="B392" s="46">
        <v>45010</v>
      </c>
      <c r="C392" s="169">
        <v>62.116361844181441</v>
      </c>
      <c r="D392" s="169">
        <v>128.18908398701601</v>
      </c>
      <c r="E392" s="169">
        <f t="shared" si="27"/>
        <v>62.116361844181441</v>
      </c>
      <c r="F392" s="190" t="str">
        <f t="shared" si="26"/>
        <v/>
      </c>
      <c r="H392" t="str">
        <f t="shared" si="29"/>
        <v/>
      </c>
      <c r="I392" s="190" t="str">
        <f t="shared" si="28"/>
        <v/>
      </c>
    </row>
    <row r="393" spans="1:9">
      <c r="A393">
        <v>390</v>
      </c>
      <c r="B393" s="46">
        <v>45011</v>
      </c>
      <c r="C393" s="169">
        <v>47.913730123179569</v>
      </c>
      <c r="D393" s="169">
        <v>128.18908398701601</v>
      </c>
      <c r="E393" s="169">
        <f t="shared" si="27"/>
        <v>47.913730123179569</v>
      </c>
      <c r="F393" s="190" t="str">
        <f t="shared" si="26"/>
        <v/>
      </c>
      <c r="H393" t="str">
        <f t="shared" si="29"/>
        <v/>
      </c>
      <c r="I393" s="190" t="str">
        <f t="shared" si="28"/>
        <v/>
      </c>
    </row>
    <row r="394" spans="1:9">
      <c r="A394">
        <v>391</v>
      </c>
      <c r="B394" s="46">
        <v>45012</v>
      </c>
      <c r="C394" s="169">
        <v>85.26875574318143</v>
      </c>
      <c r="D394" s="169">
        <v>128.18908398701601</v>
      </c>
      <c r="E394" s="169">
        <f t="shared" si="27"/>
        <v>85.26875574318143</v>
      </c>
      <c r="F394" s="190" t="str">
        <f t="shared" si="26"/>
        <v/>
      </c>
      <c r="H394" t="str">
        <f t="shared" si="29"/>
        <v/>
      </c>
      <c r="I394" s="190" t="str">
        <f t="shared" si="28"/>
        <v/>
      </c>
    </row>
    <row r="395" spans="1:9">
      <c r="A395">
        <v>392</v>
      </c>
      <c r="B395" s="46">
        <v>45013</v>
      </c>
      <c r="C395" s="169">
        <v>98.424402666181436</v>
      </c>
      <c r="D395" s="169">
        <v>128.18908398701601</v>
      </c>
      <c r="E395" s="169">
        <f t="shared" si="27"/>
        <v>98.424402666181436</v>
      </c>
      <c r="F395" s="190" t="str">
        <f t="shared" si="26"/>
        <v/>
      </c>
      <c r="H395" t="str">
        <f t="shared" si="29"/>
        <v/>
      </c>
      <c r="I395" s="190" t="str">
        <f t="shared" si="28"/>
        <v/>
      </c>
    </row>
    <row r="396" spans="1:9">
      <c r="A396">
        <v>393</v>
      </c>
      <c r="B396" s="46">
        <v>45014</v>
      </c>
      <c r="C396" s="169">
        <v>64.691698202706135</v>
      </c>
      <c r="D396" s="169">
        <v>128.18908398701601</v>
      </c>
      <c r="E396" s="169">
        <f t="shared" ref="E396:E398" si="30">IF(C396&lt;D396,C396,D396)</f>
        <v>64.691698202706135</v>
      </c>
      <c r="F396" s="190" t="str">
        <f t="shared" si="26"/>
        <v/>
      </c>
      <c r="H396" t="str">
        <f t="shared" si="29"/>
        <v/>
      </c>
      <c r="I396" s="190" t="str">
        <f t="shared" si="28"/>
        <v/>
      </c>
    </row>
    <row r="397" spans="1:9">
      <c r="A397">
        <v>394</v>
      </c>
      <c r="B397" s="46">
        <v>45015</v>
      </c>
      <c r="C397" s="169">
        <v>59.011945382707992</v>
      </c>
      <c r="D397" s="169">
        <v>128.18908398701601</v>
      </c>
      <c r="E397" s="169">
        <f t="shared" si="30"/>
        <v>59.011945382707992</v>
      </c>
      <c r="F397" s="190" t="str">
        <f t="shared" si="26"/>
        <v/>
      </c>
      <c r="H397" t="str">
        <f t="shared" si="29"/>
        <v/>
      </c>
      <c r="I397" s="190" t="str">
        <f t="shared" si="28"/>
        <v/>
      </c>
    </row>
    <row r="398" spans="1:9">
      <c r="A398">
        <v>395</v>
      </c>
      <c r="B398" s="46">
        <v>45016</v>
      </c>
      <c r="C398" s="169">
        <v>53.312698355709855</v>
      </c>
      <c r="D398" s="169">
        <v>128.18908398701601</v>
      </c>
      <c r="E398" s="169">
        <f t="shared" si="30"/>
        <v>53.312698355709855</v>
      </c>
      <c r="F398" s="190" t="str">
        <f t="shared" si="26"/>
        <v/>
      </c>
      <c r="H398" t="str">
        <f t="shared" si="29"/>
        <v/>
      </c>
      <c r="I398" s="190" t="str">
        <f t="shared" si="28"/>
        <v/>
      </c>
    </row>
    <row r="399" spans="1:9">
      <c r="A399">
        <v>396</v>
      </c>
      <c r="B399" s="46">
        <v>45017</v>
      </c>
      <c r="C399" s="169">
        <v>42.493725209706128</v>
      </c>
      <c r="D399" s="169">
        <v>125.90182729691037</v>
      </c>
      <c r="E399" s="169">
        <f t="shared" ref="E399:E462" si="31">IF(C399&lt;D399,C399,D399)</f>
        <v>42.493725209706128</v>
      </c>
      <c r="F399" s="190" t="str">
        <f t="shared" si="26"/>
        <v/>
      </c>
      <c r="H399" t="str">
        <f t="shared" si="29"/>
        <v/>
      </c>
      <c r="I399" s="190" t="str">
        <f t="shared" si="28"/>
        <v/>
      </c>
    </row>
    <row r="400" spans="1:9">
      <c r="A400">
        <v>397</v>
      </c>
      <c r="B400" s="46">
        <v>45018</v>
      </c>
      <c r="C400" s="169">
        <v>36.462962470707993</v>
      </c>
      <c r="D400" s="169">
        <v>125.90182729691037</v>
      </c>
      <c r="E400" s="169">
        <f t="shared" si="31"/>
        <v>36.462962470707993</v>
      </c>
      <c r="F400" s="190" t="str">
        <f t="shared" si="26"/>
        <v/>
      </c>
      <c r="H400" t="str">
        <f t="shared" si="29"/>
        <v/>
      </c>
      <c r="I400" s="190" t="str">
        <f t="shared" si="28"/>
        <v/>
      </c>
    </row>
    <row r="401" spans="1:9">
      <c r="A401">
        <v>398</v>
      </c>
      <c r="B401" s="46">
        <v>45019</v>
      </c>
      <c r="C401" s="169">
        <v>71.586927515707998</v>
      </c>
      <c r="D401" s="169">
        <v>125.90182729691037</v>
      </c>
      <c r="E401" s="169">
        <f t="shared" si="31"/>
        <v>71.586927515707998</v>
      </c>
      <c r="F401" s="190" t="str">
        <f t="shared" si="26"/>
        <v/>
      </c>
      <c r="H401" t="str">
        <f t="shared" si="29"/>
        <v/>
      </c>
      <c r="I401" s="190" t="str">
        <f t="shared" si="28"/>
        <v/>
      </c>
    </row>
    <row r="402" spans="1:9">
      <c r="A402">
        <v>399</v>
      </c>
      <c r="B402" s="46">
        <v>45020</v>
      </c>
      <c r="C402" s="169">
        <v>57.255484254709863</v>
      </c>
      <c r="D402" s="169">
        <v>125.90182729691037</v>
      </c>
      <c r="E402" s="169">
        <f t="shared" si="31"/>
        <v>57.255484254709863</v>
      </c>
      <c r="F402" s="190" t="str">
        <f t="shared" si="26"/>
        <v/>
      </c>
      <c r="H402" t="str">
        <f t="shared" si="29"/>
        <v/>
      </c>
      <c r="I402" s="190" t="str">
        <f t="shared" si="28"/>
        <v/>
      </c>
    </row>
    <row r="403" spans="1:9">
      <c r="A403">
        <v>400</v>
      </c>
      <c r="B403" s="46">
        <v>45021</v>
      </c>
      <c r="C403" s="169">
        <v>64.599635284221606</v>
      </c>
      <c r="D403" s="169">
        <v>125.90182729691037</v>
      </c>
      <c r="E403" s="169">
        <f t="shared" si="31"/>
        <v>64.599635284221606</v>
      </c>
      <c r="F403" s="190" t="str">
        <f t="shared" si="26"/>
        <v/>
      </c>
      <c r="H403" t="str">
        <f t="shared" si="29"/>
        <v/>
      </c>
      <c r="I403" s="190" t="str">
        <f t="shared" si="28"/>
        <v/>
      </c>
    </row>
    <row r="404" spans="1:9">
      <c r="A404">
        <v>401</v>
      </c>
      <c r="B404" s="46">
        <v>45022</v>
      </c>
      <c r="C404" s="169">
        <v>46.730263355221595</v>
      </c>
      <c r="D404" s="169">
        <v>125.90182729691037</v>
      </c>
      <c r="E404" s="169">
        <f t="shared" si="31"/>
        <v>46.730263355221595</v>
      </c>
      <c r="F404" s="190" t="str">
        <f t="shared" si="26"/>
        <v/>
      </c>
      <c r="H404" t="str">
        <f t="shared" si="29"/>
        <v/>
      </c>
      <c r="I404" s="190" t="str">
        <f t="shared" si="28"/>
        <v/>
      </c>
    </row>
    <row r="405" spans="1:9">
      <c r="A405">
        <v>402</v>
      </c>
      <c r="B405" s="46">
        <v>45023</v>
      </c>
      <c r="C405" s="169">
        <v>37.4792726572216</v>
      </c>
      <c r="D405" s="169">
        <v>125.90182729691037</v>
      </c>
      <c r="E405" s="169">
        <f t="shared" si="31"/>
        <v>37.4792726572216</v>
      </c>
      <c r="F405" s="190" t="str">
        <f t="shared" si="26"/>
        <v/>
      </c>
      <c r="H405" t="str">
        <f t="shared" si="29"/>
        <v/>
      </c>
      <c r="I405" s="190" t="str">
        <f t="shared" si="28"/>
        <v/>
      </c>
    </row>
    <row r="406" spans="1:9">
      <c r="A406">
        <v>403</v>
      </c>
      <c r="B406" s="46">
        <v>45024</v>
      </c>
      <c r="C406" s="169">
        <v>46.00130915122346</v>
      </c>
      <c r="D406" s="169">
        <v>125.90182729691037</v>
      </c>
      <c r="E406" s="169">
        <f t="shared" si="31"/>
        <v>46.00130915122346</v>
      </c>
      <c r="F406" s="190" t="str">
        <f t="shared" si="26"/>
        <v/>
      </c>
      <c r="H406" t="str">
        <f t="shared" si="29"/>
        <v/>
      </c>
      <c r="I406" s="190" t="str">
        <f t="shared" si="28"/>
        <v/>
      </c>
    </row>
    <row r="407" spans="1:9">
      <c r="A407">
        <v>404</v>
      </c>
      <c r="B407" s="46">
        <v>45025</v>
      </c>
      <c r="C407" s="169">
        <v>35.098987776223453</v>
      </c>
      <c r="D407" s="169">
        <v>125.90182729691037</v>
      </c>
      <c r="E407" s="169">
        <f t="shared" si="31"/>
        <v>35.098987776223453</v>
      </c>
      <c r="F407" s="190" t="str">
        <f t="shared" si="26"/>
        <v/>
      </c>
      <c r="H407" t="str">
        <f t="shared" si="29"/>
        <v/>
      </c>
      <c r="I407" s="190" t="str">
        <f t="shared" si="28"/>
        <v/>
      </c>
    </row>
    <row r="408" spans="1:9">
      <c r="A408">
        <v>405</v>
      </c>
      <c r="B408" s="46">
        <v>45026</v>
      </c>
      <c r="C408" s="169">
        <v>30.006082424221596</v>
      </c>
      <c r="D408" s="169">
        <v>125.90182729691037</v>
      </c>
      <c r="E408" s="169">
        <f t="shared" si="31"/>
        <v>30.006082424221596</v>
      </c>
      <c r="F408" s="190" t="str">
        <f t="shared" si="26"/>
        <v/>
      </c>
      <c r="H408" t="str">
        <f t="shared" si="29"/>
        <v/>
      </c>
      <c r="I408" s="190" t="str">
        <f t="shared" si="28"/>
        <v/>
      </c>
    </row>
    <row r="409" spans="1:9">
      <c r="A409">
        <v>406</v>
      </c>
      <c r="B409" s="46">
        <v>45027</v>
      </c>
      <c r="C409" s="169">
        <v>50.322251453221597</v>
      </c>
      <c r="D409" s="169">
        <v>125.90182729691037</v>
      </c>
      <c r="E409" s="169">
        <f t="shared" si="31"/>
        <v>50.322251453221597</v>
      </c>
      <c r="F409" s="190" t="str">
        <f t="shared" si="26"/>
        <v/>
      </c>
      <c r="H409" t="str">
        <f t="shared" si="29"/>
        <v/>
      </c>
      <c r="I409" s="190" t="str">
        <f t="shared" si="28"/>
        <v/>
      </c>
    </row>
    <row r="410" spans="1:9">
      <c r="A410">
        <v>407</v>
      </c>
      <c r="B410" s="46">
        <v>45028</v>
      </c>
      <c r="C410" s="169">
        <v>26.62239486300227</v>
      </c>
      <c r="D410" s="169">
        <v>125.90182729691037</v>
      </c>
      <c r="E410" s="169">
        <f t="shared" si="31"/>
        <v>26.62239486300227</v>
      </c>
      <c r="F410" s="190" t="str">
        <f t="shared" si="26"/>
        <v/>
      </c>
      <c r="H410" t="str">
        <f t="shared" si="29"/>
        <v/>
      </c>
      <c r="I410" s="190" t="str">
        <f t="shared" si="28"/>
        <v/>
      </c>
    </row>
    <row r="411" spans="1:9">
      <c r="A411">
        <v>408</v>
      </c>
      <c r="B411" s="46">
        <v>45029</v>
      </c>
      <c r="C411" s="169">
        <v>33.460726938004143</v>
      </c>
      <c r="D411" s="169">
        <v>125.90182729691037</v>
      </c>
      <c r="E411" s="169">
        <f t="shared" si="31"/>
        <v>33.460726938004143</v>
      </c>
      <c r="F411" s="190" t="str">
        <f t="shared" si="26"/>
        <v/>
      </c>
      <c r="H411" t="str">
        <f t="shared" si="29"/>
        <v/>
      </c>
      <c r="I411" s="190" t="str">
        <f t="shared" si="28"/>
        <v/>
      </c>
    </row>
    <row r="412" spans="1:9">
      <c r="A412">
        <v>409</v>
      </c>
      <c r="B412" s="46">
        <v>45030</v>
      </c>
      <c r="C412" s="169">
        <v>32.087652683002275</v>
      </c>
      <c r="D412" s="169">
        <v>125.90182729691037</v>
      </c>
      <c r="E412" s="169">
        <f t="shared" si="31"/>
        <v>32.087652683002275</v>
      </c>
      <c r="F412" s="190" t="str">
        <f t="shared" si="26"/>
        <v/>
      </c>
      <c r="H412" t="str">
        <f t="shared" si="29"/>
        <v/>
      </c>
      <c r="I412" s="190" t="str">
        <f t="shared" si="28"/>
        <v/>
      </c>
    </row>
    <row r="413" spans="1:9">
      <c r="A413">
        <v>410</v>
      </c>
      <c r="B413" s="46">
        <v>45031</v>
      </c>
      <c r="C413" s="169">
        <v>26.979100495002275</v>
      </c>
      <c r="D413" s="169">
        <v>125.90182729691037</v>
      </c>
      <c r="E413" s="169">
        <f t="shared" si="31"/>
        <v>26.979100495002275</v>
      </c>
      <c r="F413" s="190" t="str">
        <f t="shared" si="26"/>
        <v>A</v>
      </c>
      <c r="G413" s="191">
        <f>IF(DAY(B413)=15,D413,"")</f>
        <v>125.90182729691037</v>
      </c>
      <c r="H413" t="str">
        <f t="shared" si="29"/>
        <v/>
      </c>
      <c r="I413" s="190" t="str">
        <f t="shared" si="28"/>
        <v>A</v>
      </c>
    </row>
    <row r="414" spans="1:9">
      <c r="A414">
        <v>411</v>
      </c>
      <c r="B414" s="46">
        <v>45032</v>
      </c>
      <c r="C414" s="169">
        <v>23.588325971002277</v>
      </c>
      <c r="D414" s="169">
        <v>125.90182729691037</v>
      </c>
      <c r="E414" s="169">
        <f t="shared" si="31"/>
        <v>23.588325971002277</v>
      </c>
      <c r="F414" s="190" t="str">
        <f t="shared" si="26"/>
        <v/>
      </c>
      <c r="H414" t="str">
        <f t="shared" si="29"/>
        <v/>
      </c>
      <c r="I414" s="190" t="str">
        <f t="shared" si="28"/>
        <v/>
      </c>
    </row>
    <row r="415" spans="1:9">
      <c r="A415">
        <v>412</v>
      </c>
      <c r="B415" s="46">
        <v>45033</v>
      </c>
      <c r="C415" s="169">
        <v>40.381294851002274</v>
      </c>
      <c r="D415" s="169">
        <v>125.90182729691037</v>
      </c>
      <c r="E415" s="169">
        <f t="shared" si="31"/>
        <v>40.381294851002274</v>
      </c>
      <c r="F415" s="190" t="str">
        <f t="shared" si="26"/>
        <v/>
      </c>
      <c r="H415" t="str">
        <f t="shared" si="29"/>
        <v/>
      </c>
      <c r="I415" s="190" t="str">
        <f t="shared" si="28"/>
        <v/>
      </c>
    </row>
    <row r="416" spans="1:9">
      <c r="A416">
        <v>413</v>
      </c>
      <c r="B416" s="46">
        <v>45034</v>
      </c>
      <c r="C416" s="169">
        <v>41.698311407002272</v>
      </c>
      <c r="D416" s="169">
        <v>125.90182729691037</v>
      </c>
      <c r="E416" s="169">
        <f t="shared" si="31"/>
        <v>41.698311407002272</v>
      </c>
      <c r="F416" s="190" t="str">
        <f t="shared" si="26"/>
        <v/>
      </c>
      <c r="H416" t="str">
        <f t="shared" si="29"/>
        <v/>
      </c>
      <c r="I416" s="190" t="str">
        <f t="shared" si="28"/>
        <v/>
      </c>
    </row>
    <row r="417" spans="1:9">
      <c r="A417">
        <v>414</v>
      </c>
      <c r="B417" s="46">
        <v>45035</v>
      </c>
      <c r="C417" s="169">
        <v>38.459751478523017</v>
      </c>
      <c r="D417" s="169">
        <v>125.90182729691037</v>
      </c>
      <c r="E417" s="169">
        <f t="shared" si="31"/>
        <v>38.459751478523017</v>
      </c>
      <c r="F417" s="190" t="str">
        <f t="shared" si="26"/>
        <v/>
      </c>
      <c r="H417" t="str">
        <f t="shared" si="29"/>
        <v/>
      </c>
      <c r="I417" s="190" t="str">
        <f t="shared" si="28"/>
        <v/>
      </c>
    </row>
    <row r="418" spans="1:9">
      <c r="A418">
        <v>415</v>
      </c>
      <c r="B418" s="46">
        <v>45036</v>
      </c>
      <c r="C418" s="169">
        <v>44.606724438528602</v>
      </c>
      <c r="D418" s="169">
        <v>125.90182729691037</v>
      </c>
      <c r="E418" s="169">
        <f t="shared" si="31"/>
        <v>44.606724438528602</v>
      </c>
      <c r="F418" s="190" t="str">
        <f t="shared" si="26"/>
        <v/>
      </c>
      <c r="H418" t="str">
        <f t="shared" si="29"/>
        <v/>
      </c>
      <c r="I418" s="190" t="str">
        <f t="shared" si="28"/>
        <v/>
      </c>
    </row>
    <row r="419" spans="1:9">
      <c r="A419">
        <v>416</v>
      </c>
      <c r="B419" s="46">
        <v>45037</v>
      </c>
      <c r="C419" s="169">
        <v>42.978956294528601</v>
      </c>
      <c r="D419" s="169">
        <v>125.90182729691037</v>
      </c>
      <c r="E419" s="169">
        <f t="shared" si="31"/>
        <v>42.978956294528601</v>
      </c>
      <c r="F419" s="190" t="str">
        <f t="shared" si="26"/>
        <v/>
      </c>
      <c r="H419" t="str">
        <f t="shared" si="29"/>
        <v/>
      </c>
      <c r="I419" s="190" t="str">
        <f t="shared" si="28"/>
        <v/>
      </c>
    </row>
    <row r="420" spans="1:9">
      <c r="A420">
        <v>417</v>
      </c>
      <c r="B420" s="46">
        <v>45038</v>
      </c>
      <c r="C420" s="169">
        <v>32.30674932252488</v>
      </c>
      <c r="D420" s="169">
        <v>125.90182729691037</v>
      </c>
      <c r="E420" s="169">
        <f t="shared" si="31"/>
        <v>32.30674932252488</v>
      </c>
      <c r="F420" s="190" t="str">
        <f t="shared" si="26"/>
        <v/>
      </c>
      <c r="H420" t="str">
        <f t="shared" si="29"/>
        <v/>
      </c>
      <c r="I420" s="190" t="str">
        <f t="shared" si="28"/>
        <v/>
      </c>
    </row>
    <row r="421" spans="1:9">
      <c r="A421">
        <v>418</v>
      </c>
      <c r="B421" s="46">
        <v>45039</v>
      </c>
      <c r="C421" s="169">
        <v>16.129574974524875</v>
      </c>
      <c r="D421" s="169">
        <v>125.90182729691037</v>
      </c>
      <c r="E421" s="169">
        <f t="shared" si="31"/>
        <v>16.129574974524875</v>
      </c>
      <c r="F421" s="190" t="str">
        <f t="shared" si="26"/>
        <v/>
      </c>
      <c r="H421" t="str">
        <f t="shared" si="29"/>
        <v/>
      </c>
      <c r="I421" s="190" t="str">
        <f t="shared" si="28"/>
        <v/>
      </c>
    </row>
    <row r="422" spans="1:9">
      <c r="A422">
        <v>419</v>
      </c>
      <c r="B422" s="46">
        <v>45040</v>
      </c>
      <c r="C422" s="169">
        <v>33.781601114526737</v>
      </c>
      <c r="D422" s="169">
        <v>125.90182729691037</v>
      </c>
      <c r="E422" s="169">
        <f t="shared" si="31"/>
        <v>33.781601114526737</v>
      </c>
      <c r="F422" s="190" t="str">
        <f t="shared" si="26"/>
        <v/>
      </c>
      <c r="H422" t="str">
        <f t="shared" si="29"/>
        <v/>
      </c>
      <c r="I422" s="190" t="str">
        <f t="shared" si="28"/>
        <v/>
      </c>
    </row>
    <row r="423" spans="1:9">
      <c r="A423">
        <v>420</v>
      </c>
      <c r="B423" s="46">
        <v>45041</v>
      </c>
      <c r="C423" s="169">
        <v>34.263615814526737</v>
      </c>
      <c r="D423" s="169">
        <v>125.90182729691037</v>
      </c>
      <c r="E423" s="169">
        <f t="shared" si="31"/>
        <v>34.263615814526737</v>
      </c>
      <c r="F423" s="190" t="str">
        <f t="shared" si="26"/>
        <v/>
      </c>
      <c r="H423" t="str">
        <f t="shared" si="29"/>
        <v/>
      </c>
      <c r="I423" s="190" t="str">
        <f t="shared" si="28"/>
        <v/>
      </c>
    </row>
    <row r="424" spans="1:9">
      <c r="A424">
        <v>421</v>
      </c>
      <c r="B424" s="46">
        <v>45042</v>
      </c>
      <c r="C424" s="169">
        <v>47.822112063296359</v>
      </c>
      <c r="D424" s="169">
        <v>125.90182729691037</v>
      </c>
      <c r="E424" s="169">
        <f t="shared" si="31"/>
        <v>47.822112063296359</v>
      </c>
      <c r="F424" s="190" t="str">
        <f t="shared" si="26"/>
        <v/>
      </c>
      <c r="H424" t="str">
        <f t="shared" si="29"/>
        <v/>
      </c>
      <c r="I424" s="190" t="str">
        <f t="shared" si="28"/>
        <v/>
      </c>
    </row>
    <row r="425" spans="1:9">
      <c r="A425">
        <v>422</v>
      </c>
      <c r="B425" s="46">
        <v>45043</v>
      </c>
      <c r="C425" s="169">
        <v>51.846013083296363</v>
      </c>
      <c r="D425" s="169">
        <v>125.90182729691037</v>
      </c>
      <c r="E425" s="169">
        <f t="shared" si="31"/>
        <v>51.846013083296363</v>
      </c>
      <c r="F425" s="190" t="str">
        <f t="shared" si="26"/>
        <v/>
      </c>
      <c r="H425" t="str">
        <f t="shared" si="29"/>
        <v/>
      </c>
      <c r="I425" s="190" t="str">
        <f t="shared" si="28"/>
        <v/>
      </c>
    </row>
    <row r="426" spans="1:9">
      <c r="A426">
        <v>423</v>
      </c>
      <c r="B426" s="46">
        <v>45044</v>
      </c>
      <c r="C426" s="169">
        <v>52.039187827300076</v>
      </c>
      <c r="D426" s="169">
        <v>125.90182729691037</v>
      </c>
      <c r="E426" s="169">
        <f t="shared" si="31"/>
        <v>52.039187827300076</v>
      </c>
      <c r="F426" s="190" t="str">
        <f t="shared" si="26"/>
        <v/>
      </c>
      <c r="H426" t="str">
        <f t="shared" si="29"/>
        <v/>
      </c>
      <c r="I426" s="190" t="str">
        <f t="shared" si="28"/>
        <v/>
      </c>
    </row>
    <row r="427" spans="1:9">
      <c r="A427">
        <v>424</v>
      </c>
      <c r="B427" s="46">
        <v>45045</v>
      </c>
      <c r="C427" s="169">
        <v>40.590203135296363</v>
      </c>
      <c r="D427" s="169">
        <v>125.90182729691037</v>
      </c>
      <c r="E427" s="169">
        <f t="shared" si="31"/>
        <v>40.590203135296363</v>
      </c>
      <c r="F427" s="190" t="str">
        <f t="shared" si="26"/>
        <v/>
      </c>
      <c r="H427" t="str">
        <f t="shared" si="29"/>
        <v/>
      </c>
      <c r="I427" s="190" t="str">
        <f t="shared" si="28"/>
        <v/>
      </c>
    </row>
    <row r="428" spans="1:9">
      <c r="A428">
        <v>425</v>
      </c>
      <c r="B428" s="46">
        <v>45046</v>
      </c>
      <c r="C428" s="169">
        <v>28.058505235298224</v>
      </c>
      <c r="D428" s="169">
        <v>125.90182729691037</v>
      </c>
      <c r="E428" s="169">
        <f t="shared" si="31"/>
        <v>28.058505235298224</v>
      </c>
      <c r="F428" s="190" t="str">
        <f t="shared" si="26"/>
        <v/>
      </c>
      <c r="H428" t="str">
        <f t="shared" si="29"/>
        <v/>
      </c>
      <c r="I428" s="190" t="str">
        <f t="shared" si="28"/>
        <v/>
      </c>
    </row>
    <row r="429" spans="1:9">
      <c r="A429">
        <v>426</v>
      </c>
      <c r="B429" s="46">
        <v>45047</v>
      </c>
      <c r="C429" s="169">
        <v>19.094722231298221</v>
      </c>
      <c r="D429" s="169">
        <v>98.741424078570617</v>
      </c>
      <c r="E429" s="169">
        <f t="shared" si="31"/>
        <v>19.094722231298221</v>
      </c>
      <c r="F429" s="190" t="str">
        <f t="shared" si="26"/>
        <v/>
      </c>
      <c r="H429" t="str">
        <f t="shared" si="29"/>
        <v/>
      </c>
      <c r="I429" s="190" t="str">
        <f t="shared" si="28"/>
        <v/>
      </c>
    </row>
    <row r="430" spans="1:9">
      <c r="A430">
        <v>427</v>
      </c>
      <c r="B430" s="46">
        <v>45048</v>
      </c>
      <c r="C430" s="169">
        <v>39.405765023296354</v>
      </c>
      <c r="D430" s="169">
        <v>98.741424078570617</v>
      </c>
      <c r="E430" s="169">
        <f t="shared" si="31"/>
        <v>39.405765023296354</v>
      </c>
      <c r="F430" s="190" t="str">
        <f t="shared" si="26"/>
        <v/>
      </c>
      <c r="H430" t="str">
        <f t="shared" si="29"/>
        <v/>
      </c>
      <c r="I430" s="190" t="str">
        <f t="shared" si="28"/>
        <v/>
      </c>
    </row>
    <row r="431" spans="1:9">
      <c r="A431">
        <v>428</v>
      </c>
      <c r="B431" s="46">
        <v>45049</v>
      </c>
      <c r="C431" s="169">
        <v>24.253473117605893</v>
      </c>
      <c r="D431" s="169">
        <v>98.741424078570617</v>
      </c>
      <c r="E431" s="169">
        <f t="shared" si="31"/>
        <v>24.253473117605893</v>
      </c>
      <c r="F431" s="190" t="str">
        <f t="shared" si="26"/>
        <v/>
      </c>
      <c r="H431" t="str">
        <f t="shared" si="29"/>
        <v/>
      </c>
      <c r="I431" s="190" t="str">
        <f t="shared" si="28"/>
        <v/>
      </c>
    </row>
    <row r="432" spans="1:9">
      <c r="A432">
        <v>429</v>
      </c>
      <c r="B432" s="46">
        <v>45050</v>
      </c>
      <c r="C432" s="169">
        <v>29.789511705604031</v>
      </c>
      <c r="D432" s="169">
        <v>98.741424078570617</v>
      </c>
      <c r="E432" s="169">
        <f t="shared" si="31"/>
        <v>29.789511705604031</v>
      </c>
      <c r="F432" s="190" t="str">
        <f t="shared" si="26"/>
        <v/>
      </c>
      <c r="H432" t="str">
        <f t="shared" si="29"/>
        <v/>
      </c>
      <c r="I432" s="190" t="str">
        <f t="shared" si="28"/>
        <v/>
      </c>
    </row>
    <row r="433" spans="1:9">
      <c r="A433">
        <v>430</v>
      </c>
      <c r="B433" s="46">
        <v>45051</v>
      </c>
      <c r="C433" s="169">
        <v>35.531756725605895</v>
      </c>
      <c r="D433" s="169">
        <v>98.741424078570617</v>
      </c>
      <c r="E433" s="169">
        <f t="shared" si="31"/>
        <v>35.531756725605895</v>
      </c>
      <c r="F433" s="190" t="str">
        <f t="shared" si="26"/>
        <v/>
      </c>
      <c r="H433" t="str">
        <f t="shared" si="29"/>
        <v/>
      </c>
      <c r="I433" s="190" t="str">
        <f t="shared" si="28"/>
        <v/>
      </c>
    </row>
    <row r="434" spans="1:9">
      <c r="A434">
        <v>431</v>
      </c>
      <c r="B434" s="46">
        <v>45052</v>
      </c>
      <c r="C434" s="169">
        <v>22.35288369360217</v>
      </c>
      <c r="D434" s="169">
        <v>98.741424078570617</v>
      </c>
      <c r="E434" s="169">
        <f t="shared" si="31"/>
        <v>22.35288369360217</v>
      </c>
      <c r="F434" s="190" t="str">
        <f t="shared" si="26"/>
        <v/>
      </c>
      <c r="H434" t="str">
        <f t="shared" si="29"/>
        <v/>
      </c>
      <c r="I434" s="190" t="str">
        <f t="shared" si="28"/>
        <v/>
      </c>
    </row>
    <row r="435" spans="1:9">
      <c r="A435">
        <v>432</v>
      </c>
      <c r="B435" s="46">
        <v>45053</v>
      </c>
      <c r="C435" s="169">
        <v>20.947856357607758</v>
      </c>
      <c r="D435" s="169">
        <v>98.741424078570617</v>
      </c>
      <c r="E435" s="169">
        <f t="shared" si="31"/>
        <v>20.947856357607758</v>
      </c>
      <c r="F435" s="190" t="str">
        <f t="shared" si="26"/>
        <v/>
      </c>
      <c r="H435" t="str">
        <f t="shared" si="29"/>
        <v/>
      </c>
      <c r="I435" s="190" t="str">
        <f t="shared" si="28"/>
        <v/>
      </c>
    </row>
    <row r="436" spans="1:9">
      <c r="A436">
        <v>433</v>
      </c>
      <c r="B436" s="46">
        <v>45054</v>
      </c>
      <c r="C436" s="169">
        <v>34.689995977604035</v>
      </c>
      <c r="D436" s="169">
        <v>98.741424078570617</v>
      </c>
      <c r="E436" s="169">
        <f t="shared" si="31"/>
        <v>34.689995977604035</v>
      </c>
      <c r="F436" s="190" t="str">
        <f t="shared" si="26"/>
        <v/>
      </c>
      <c r="H436" t="str">
        <f t="shared" si="29"/>
        <v/>
      </c>
      <c r="I436" s="190" t="str">
        <f t="shared" si="28"/>
        <v/>
      </c>
    </row>
    <row r="437" spans="1:9">
      <c r="A437">
        <v>434</v>
      </c>
      <c r="B437" s="46">
        <v>45055</v>
      </c>
      <c r="C437" s="169">
        <v>23.200321058604029</v>
      </c>
      <c r="D437" s="169">
        <v>98.741424078570617</v>
      </c>
      <c r="E437" s="169">
        <f t="shared" si="31"/>
        <v>23.200321058604029</v>
      </c>
      <c r="F437" s="190" t="str">
        <f t="shared" si="26"/>
        <v/>
      </c>
      <c r="H437" t="str">
        <f t="shared" si="29"/>
        <v/>
      </c>
      <c r="I437" s="190" t="str">
        <f t="shared" si="28"/>
        <v/>
      </c>
    </row>
    <row r="438" spans="1:9">
      <c r="A438">
        <v>435</v>
      </c>
      <c r="B438" s="46">
        <v>45056</v>
      </c>
      <c r="C438" s="169">
        <v>30.85524472361184</v>
      </c>
      <c r="D438" s="169">
        <v>98.741424078570617</v>
      </c>
      <c r="E438" s="169">
        <f t="shared" si="31"/>
        <v>30.85524472361184</v>
      </c>
      <c r="F438" s="190" t="str">
        <f t="shared" si="26"/>
        <v/>
      </c>
      <c r="H438" t="str">
        <f t="shared" si="29"/>
        <v/>
      </c>
      <c r="I438" s="190" t="str">
        <f t="shared" si="28"/>
        <v/>
      </c>
    </row>
    <row r="439" spans="1:9">
      <c r="A439">
        <v>436</v>
      </c>
      <c r="B439" s="46">
        <v>45057</v>
      </c>
      <c r="C439" s="169">
        <v>26.687434412613701</v>
      </c>
      <c r="D439" s="169">
        <v>98.741424078570617</v>
      </c>
      <c r="E439" s="169">
        <f t="shared" si="31"/>
        <v>26.687434412613701</v>
      </c>
      <c r="F439" s="190" t="str">
        <f t="shared" si="26"/>
        <v/>
      </c>
      <c r="H439" t="str">
        <f t="shared" si="29"/>
        <v/>
      </c>
      <c r="I439" s="190" t="str">
        <f t="shared" si="28"/>
        <v/>
      </c>
    </row>
    <row r="440" spans="1:9">
      <c r="A440">
        <v>437</v>
      </c>
      <c r="B440" s="46">
        <v>45058</v>
      </c>
      <c r="C440" s="169">
        <v>24.748296420613705</v>
      </c>
      <c r="D440" s="169">
        <v>98.741424078570617</v>
      </c>
      <c r="E440" s="169">
        <f t="shared" si="31"/>
        <v>24.748296420613705</v>
      </c>
      <c r="F440" s="190" t="str">
        <f t="shared" si="26"/>
        <v/>
      </c>
      <c r="H440" t="str">
        <f t="shared" si="29"/>
        <v/>
      </c>
      <c r="I440" s="190" t="str">
        <f t="shared" si="28"/>
        <v/>
      </c>
    </row>
    <row r="441" spans="1:9">
      <c r="A441">
        <v>438</v>
      </c>
      <c r="B441" s="46">
        <v>45059</v>
      </c>
      <c r="C441" s="169">
        <v>14.840623304609981</v>
      </c>
      <c r="D441" s="169">
        <v>98.741424078570617</v>
      </c>
      <c r="E441" s="169">
        <f t="shared" si="31"/>
        <v>14.840623304609981</v>
      </c>
      <c r="F441" s="190" t="str">
        <f t="shared" si="26"/>
        <v/>
      </c>
      <c r="H441" t="str">
        <f t="shared" si="29"/>
        <v/>
      </c>
      <c r="I441" s="190" t="str">
        <f t="shared" si="28"/>
        <v/>
      </c>
    </row>
    <row r="442" spans="1:9">
      <c r="A442">
        <v>439</v>
      </c>
      <c r="B442" s="46">
        <v>45060</v>
      </c>
      <c r="C442" s="169">
        <v>12.583411300613701</v>
      </c>
      <c r="D442" s="169">
        <v>98.741424078570617</v>
      </c>
      <c r="E442" s="169">
        <f t="shared" si="31"/>
        <v>12.583411300613701</v>
      </c>
      <c r="F442" s="190" t="str">
        <f t="shared" si="26"/>
        <v/>
      </c>
      <c r="H442" t="str">
        <f t="shared" si="29"/>
        <v/>
      </c>
      <c r="I442" s="190" t="str">
        <f t="shared" si="28"/>
        <v/>
      </c>
    </row>
    <row r="443" spans="1:9">
      <c r="A443">
        <v>440</v>
      </c>
      <c r="B443" s="46">
        <v>45061</v>
      </c>
      <c r="C443" s="169">
        <v>19.699402096613703</v>
      </c>
      <c r="D443" s="169">
        <v>98.741424078570617</v>
      </c>
      <c r="E443" s="169">
        <f t="shared" si="31"/>
        <v>19.699402096613703</v>
      </c>
      <c r="F443" s="190" t="str">
        <f t="shared" si="26"/>
        <v>M</v>
      </c>
      <c r="G443" s="191">
        <f>IF(DAY(B443)=15,D443,"")</f>
        <v>98.741424078570617</v>
      </c>
      <c r="H443" t="str">
        <f t="shared" si="29"/>
        <v/>
      </c>
      <c r="I443" s="190" t="str">
        <f t="shared" si="28"/>
        <v>M</v>
      </c>
    </row>
    <row r="444" spans="1:9">
      <c r="A444">
        <v>441</v>
      </c>
      <c r="B444" s="46">
        <v>45062</v>
      </c>
      <c r="C444" s="169">
        <v>16.314681832609974</v>
      </c>
      <c r="D444" s="169">
        <v>98.741424078570617</v>
      </c>
      <c r="E444" s="169">
        <f t="shared" si="31"/>
        <v>16.314681832609974</v>
      </c>
      <c r="F444" s="190" t="str">
        <f t="shared" si="26"/>
        <v/>
      </c>
      <c r="H444" t="str">
        <f t="shared" si="29"/>
        <v/>
      </c>
      <c r="I444" s="190" t="str">
        <f t="shared" si="28"/>
        <v/>
      </c>
    </row>
    <row r="445" spans="1:9">
      <c r="A445">
        <v>442</v>
      </c>
      <c r="B445" s="46">
        <v>45063</v>
      </c>
      <c r="C445" s="169">
        <v>12.384628724485975</v>
      </c>
      <c r="D445" s="169">
        <v>98.741424078570617</v>
      </c>
      <c r="E445" s="169">
        <f t="shared" si="31"/>
        <v>12.384628724485975</v>
      </c>
      <c r="F445" s="190" t="str">
        <f t="shared" si="26"/>
        <v/>
      </c>
      <c r="H445" t="str">
        <f t="shared" si="29"/>
        <v/>
      </c>
      <c r="I445" s="190" t="str">
        <f t="shared" si="28"/>
        <v/>
      </c>
    </row>
    <row r="446" spans="1:9">
      <c r="A446">
        <v>443</v>
      </c>
      <c r="B446" s="46">
        <v>45064</v>
      </c>
      <c r="C446" s="169">
        <v>16.360547560484111</v>
      </c>
      <c r="D446" s="169">
        <v>98.741424078570617</v>
      </c>
      <c r="E446" s="169">
        <f t="shared" si="31"/>
        <v>16.360547560484111</v>
      </c>
      <c r="F446" s="190" t="str">
        <f t="shared" si="26"/>
        <v/>
      </c>
      <c r="H446" t="str">
        <f t="shared" si="29"/>
        <v/>
      </c>
      <c r="I446" s="190" t="str">
        <f t="shared" si="28"/>
        <v/>
      </c>
    </row>
    <row r="447" spans="1:9">
      <c r="A447">
        <v>444</v>
      </c>
      <c r="B447" s="46">
        <v>45065</v>
      </c>
      <c r="C447" s="169">
        <v>22.062701252485976</v>
      </c>
      <c r="D447" s="169">
        <v>98.741424078570617</v>
      </c>
      <c r="E447" s="169">
        <f t="shared" si="31"/>
        <v>22.062701252485976</v>
      </c>
      <c r="F447" s="190" t="str">
        <f t="shared" si="26"/>
        <v/>
      </c>
      <c r="H447" t="str">
        <f t="shared" si="29"/>
        <v/>
      </c>
      <c r="I447" s="190" t="str">
        <f t="shared" si="28"/>
        <v/>
      </c>
    </row>
    <row r="448" spans="1:9">
      <c r="A448">
        <v>445</v>
      </c>
      <c r="B448" s="46">
        <v>45066</v>
      </c>
      <c r="C448" s="169">
        <v>20.187922392484115</v>
      </c>
      <c r="D448" s="169">
        <v>98.741424078570617</v>
      </c>
      <c r="E448" s="169">
        <f t="shared" si="31"/>
        <v>20.187922392484115</v>
      </c>
      <c r="F448" s="190" t="str">
        <f t="shared" si="26"/>
        <v/>
      </c>
      <c r="H448" t="str">
        <f t="shared" si="29"/>
        <v/>
      </c>
      <c r="I448" s="190" t="str">
        <f t="shared" si="28"/>
        <v/>
      </c>
    </row>
    <row r="449" spans="1:9">
      <c r="A449">
        <v>446</v>
      </c>
      <c r="B449" s="46">
        <v>45067</v>
      </c>
      <c r="C449" s="169">
        <v>23.558985800484109</v>
      </c>
      <c r="D449" s="169">
        <v>98.741424078570617</v>
      </c>
      <c r="E449" s="169">
        <f t="shared" si="31"/>
        <v>23.558985800484109</v>
      </c>
      <c r="F449" s="190" t="str">
        <f t="shared" si="26"/>
        <v/>
      </c>
      <c r="H449" t="str">
        <f t="shared" si="29"/>
        <v/>
      </c>
      <c r="I449" s="190" t="str">
        <f t="shared" si="28"/>
        <v/>
      </c>
    </row>
    <row r="450" spans="1:9">
      <c r="A450">
        <v>447</v>
      </c>
      <c r="B450" s="46">
        <v>45068</v>
      </c>
      <c r="C450" s="169">
        <v>46.20527082448784</v>
      </c>
      <c r="D450" s="169">
        <v>98.741424078570617</v>
      </c>
      <c r="E450" s="169">
        <f t="shared" si="31"/>
        <v>46.20527082448784</v>
      </c>
      <c r="F450" s="190" t="str">
        <f t="shared" si="26"/>
        <v/>
      </c>
      <c r="H450" t="str">
        <f t="shared" si="29"/>
        <v/>
      </c>
      <c r="I450" s="190" t="str">
        <f t="shared" si="28"/>
        <v/>
      </c>
    </row>
    <row r="451" spans="1:9">
      <c r="A451">
        <v>448</v>
      </c>
      <c r="B451" s="46">
        <v>45069</v>
      </c>
      <c r="C451" s="169">
        <v>35.948164148484111</v>
      </c>
      <c r="D451" s="169">
        <v>98.741424078570617</v>
      </c>
      <c r="E451" s="169">
        <f t="shared" si="31"/>
        <v>35.948164148484111</v>
      </c>
      <c r="F451" s="190" t="str">
        <f t="shared" ref="F451:F514" si="32">IF(DAY(B451)=15,IF(MONTH(B451)=1,"E",IF(MONTH(B451)=2,"F",IF(MONTH(B451)=3,"M",IF(MONTH(B451)=4,"A",IF(MONTH(B451)=5,"M",IF(MONTH(B451)=6,"J",IF(MONTH(B451)=7,"J",IF(MONTH(B451)=8,"A",IF(MONTH(B451)=9,"S",IF(MONTH(B451)=10,"O",IF(MONTH(B451)=11,"N",IF(MONTH(B451)=12,"D","")))))))))))),"")</f>
        <v/>
      </c>
      <c r="H451" t="str">
        <f t="shared" si="29"/>
        <v/>
      </c>
      <c r="I451" s="190" t="str">
        <f t="shared" si="28"/>
        <v/>
      </c>
    </row>
    <row r="452" spans="1:9">
      <c r="A452">
        <v>449</v>
      </c>
      <c r="B452" s="46">
        <v>45070</v>
      </c>
      <c r="C452" s="169">
        <v>37.116430182011072</v>
      </c>
      <c r="D452" s="169">
        <v>98.741424078570617</v>
      </c>
      <c r="E452" s="169">
        <f t="shared" si="31"/>
        <v>37.116430182011072</v>
      </c>
      <c r="F452" s="190" t="str">
        <f t="shared" si="32"/>
        <v/>
      </c>
      <c r="H452" t="str">
        <f t="shared" si="29"/>
        <v/>
      </c>
      <c r="I452" s="190" t="str">
        <f t="shared" ref="I452:I515" si="33">IF(DAY(B452)=15,IF(MONTH(B452)=1,"E",IF(MONTH(B452)=2,"F",IF(MONTH(B452)=3,"M",IF(MONTH(B452)=4,"A",IF(MONTH(B452)=5,"M",IF(MONTH(B452)=6,"J",IF(MONTH(B452)=7,"J",IF(MONTH(B452)=8,"A",IF(MONTH(B452)=9,"S",IF(MONTH(B452)=10,"O",IF(MONTH(B452)=11,"N",IF(MONTH(B452)=12,"D","")))))))))))),"")</f>
        <v/>
      </c>
    </row>
    <row r="453" spans="1:9">
      <c r="A453">
        <v>450</v>
      </c>
      <c r="B453" s="46">
        <v>45071</v>
      </c>
      <c r="C453" s="169">
        <v>31.226979650009206</v>
      </c>
      <c r="D453" s="169">
        <v>98.741424078570617</v>
      </c>
      <c r="E453" s="169">
        <f t="shared" si="31"/>
        <v>31.226979650009206</v>
      </c>
      <c r="F453" s="190" t="str">
        <f t="shared" si="32"/>
        <v/>
      </c>
      <c r="H453" t="str">
        <f t="shared" ref="H453:H516" si="34">IF(MONTH(B453)=1,IF(DAY(B453)=1,YEAR(B453),""),"")</f>
        <v/>
      </c>
      <c r="I453" s="190" t="str">
        <f t="shared" si="33"/>
        <v/>
      </c>
    </row>
    <row r="454" spans="1:9">
      <c r="A454">
        <v>451</v>
      </c>
      <c r="B454" s="46">
        <v>45072</v>
      </c>
      <c r="C454" s="169">
        <v>26.447559566012934</v>
      </c>
      <c r="D454" s="169">
        <v>98.741424078570617</v>
      </c>
      <c r="E454" s="169">
        <f t="shared" si="31"/>
        <v>26.447559566012934</v>
      </c>
      <c r="F454" s="190" t="str">
        <f t="shared" si="32"/>
        <v/>
      </c>
      <c r="H454" t="str">
        <f t="shared" si="34"/>
        <v/>
      </c>
      <c r="I454" s="190" t="str">
        <f t="shared" si="33"/>
        <v/>
      </c>
    </row>
    <row r="455" spans="1:9">
      <c r="A455">
        <v>452</v>
      </c>
      <c r="B455" s="46">
        <v>45073</v>
      </c>
      <c r="C455" s="169">
        <v>36.083278978012935</v>
      </c>
      <c r="D455" s="169">
        <v>98.741424078570617</v>
      </c>
      <c r="E455" s="169">
        <f t="shared" si="31"/>
        <v>36.083278978012935</v>
      </c>
      <c r="F455" s="190" t="str">
        <f t="shared" si="32"/>
        <v/>
      </c>
      <c r="H455" t="str">
        <f t="shared" si="34"/>
        <v/>
      </c>
      <c r="I455" s="190" t="str">
        <f t="shared" si="33"/>
        <v/>
      </c>
    </row>
    <row r="456" spans="1:9">
      <c r="A456">
        <v>453</v>
      </c>
      <c r="B456" s="46">
        <v>45074</v>
      </c>
      <c r="C456" s="169">
        <v>27.348481378011069</v>
      </c>
      <c r="D456" s="169">
        <v>98.741424078570617</v>
      </c>
      <c r="E456" s="169">
        <f t="shared" si="31"/>
        <v>27.348481378011069</v>
      </c>
      <c r="F456" s="190" t="str">
        <f t="shared" si="32"/>
        <v/>
      </c>
      <c r="H456" t="str">
        <f t="shared" si="34"/>
        <v/>
      </c>
      <c r="I456" s="190" t="str">
        <f t="shared" si="33"/>
        <v/>
      </c>
    </row>
    <row r="457" spans="1:9">
      <c r="A457">
        <v>454</v>
      </c>
      <c r="B457" s="46">
        <v>45075</v>
      </c>
      <c r="C457" s="169">
        <v>37.985107738009212</v>
      </c>
      <c r="D457" s="169">
        <v>98.741424078570617</v>
      </c>
      <c r="E457" s="169">
        <f t="shared" si="31"/>
        <v>37.985107738009212</v>
      </c>
      <c r="F457" s="190" t="str">
        <f t="shared" si="32"/>
        <v/>
      </c>
      <c r="H457" t="str">
        <f t="shared" si="34"/>
        <v/>
      </c>
      <c r="I457" s="190" t="str">
        <f t="shared" si="33"/>
        <v/>
      </c>
    </row>
    <row r="458" spans="1:9">
      <c r="A458">
        <v>455</v>
      </c>
      <c r="B458" s="46">
        <v>45076</v>
      </c>
      <c r="C458" s="169">
        <v>53.444317844011074</v>
      </c>
      <c r="D458" s="169">
        <v>98.741424078570617</v>
      </c>
      <c r="E458" s="169">
        <f t="shared" si="31"/>
        <v>53.444317844011074</v>
      </c>
      <c r="F458" s="190" t="str">
        <f t="shared" si="32"/>
        <v/>
      </c>
      <c r="H458" t="str">
        <f t="shared" si="34"/>
        <v/>
      </c>
      <c r="I458" s="190" t="str">
        <f t="shared" si="33"/>
        <v/>
      </c>
    </row>
    <row r="459" spans="1:9">
      <c r="A459">
        <v>456</v>
      </c>
      <c r="B459" s="46">
        <v>45077</v>
      </c>
      <c r="C459" s="169">
        <v>50.229088330899209</v>
      </c>
      <c r="D459" s="169">
        <v>98.741424078570617</v>
      </c>
      <c r="E459" s="169">
        <f t="shared" si="31"/>
        <v>50.229088330899209</v>
      </c>
      <c r="F459" s="190" t="str">
        <f t="shared" si="32"/>
        <v/>
      </c>
      <c r="H459" t="str">
        <f t="shared" si="34"/>
        <v/>
      </c>
      <c r="I459" s="190" t="str">
        <f t="shared" si="33"/>
        <v/>
      </c>
    </row>
    <row r="460" spans="1:9">
      <c r="A460">
        <v>457</v>
      </c>
      <c r="B460" s="46">
        <v>45078</v>
      </c>
      <c r="C460" s="169">
        <v>60.779131178901082</v>
      </c>
      <c r="D460" s="169">
        <v>62.091495991055417</v>
      </c>
      <c r="E460" s="169">
        <f t="shared" si="31"/>
        <v>60.779131178901082</v>
      </c>
      <c r="F460" s="190" t="str">
        <f t="shared" si="32"/>
        <v/>
      </c>
      <c r="H460" t="str">
        <f t="shared" si="34"/>
        <v/>
      </c>
      <c r="I460" s="190" t="str">
        <f t="shared" si="33"/>
        <v/>
      </c>
    </row>
    <row r="461" spans="1:9">
      <c r="A461">
        <v>458</v>
      </c>
      <c r="B461" s="46">
        <v>45079</v>
      </c>
      <c r="C461" s="169">
        <v>61.613809250901078</v>
      </c>
      <c r="D461" s="169">
        <v>62.091495991055417</v>
      </c>
      <c r="E461" s="169">
        <f t="shared" si="31"/>
        <v>61.613809250901078</v>
      </c>
      <c r="F461" s="190" t="str">
        <f t="shared" si="32"/>
        <v/>
      </c>
      <c r="H461" t="str">
        <f t="shared" si="34"/>
        <v/>
      </c>
      <c r="I461" s="190" t="str">
        <f t="shared" si="33"/>
        <v/>
      </c>
    </row>
    <row r="462" spans="1:9">
      <c r="A462">
        <v>459</v>
      </c>
      <c r="B462" s="46">
        <v>45080</v>
      </c>
      <c r="C462" s="169">
        <v>40.712711482899209</v>
      </c>
      <c r="D462" s="169">
        <v>62.091495991055417</v>
      </c>
      <c r="E462" s="169">
        <f t="shared" si="31"/>
        <v>40.712711482899209</v>
      </c>
      <c r="F462" s="190" t="str">
        <f t="shared" si="32"/>
        <v/>
      </c>
      <c r="H462" t="str">
        <f t="shared" si="34"/>
        <v/>
      </c>
      <c r="I462" s="190" t="str">
        <f t="shared" si="33"/>
        <v/>
      </c>
    </row>
    <row r="463" spans="1:9">
      <c r="A463">
        <v>460</v>
      </c>
      <c r="B463" s="46">
        <v>45081</v>
      </c>
      <c r="C463" s="169">
        <v>32.857694770899215</v>
      </c>
      <c r="D463" s="169">
        <v>62.091495991055417</v>
      </c>
      <c r="E463" s="169">
        <f t="shared" ref="E463:E526" si="35">IF(C463&lt;D463,C463,D463)</f>
        <v>32.857694770899215</v>
      </c>
      <c r="F463" s="190" t="str">
        <f t="shared" si="32"/>
        <v/>
      </c>
      <c r="H463" t="str">
        <f t="shared" si="34"/>
        <v/>
      </c>
      <c r="I463" s="190" t="str">
        <f t="shared" si="33"/>
        <v/>
      </c>
    </row>
    <row r="464" spans="1:9">
      <c r="A464">
        <v>461</v>
      </c>
      <c r="B464" s="46">
        <v>45082</v>
      </c>
      <c r="C464" s="169">
        <v>59.050819934901085</v>
      </c>
      <c r="D464" s="169">
        <v>62.091495991055417</v>
      </c>
      <c r="E464" s="169">
        <f t="shared" si="35"/>
        <v>59.050819934901085</v>
      </c>
      <c r="F464" s="190" t="str">
        <f t="shared" si="32"/>
        <v/>
      </c>
      <c r="H464" t="str">
        <f t="shared" si="34"/>
        <v/>
      </c>
      <c r="I464" s="190" t="str">
        <f t="shared" si="33"/>
        <v/>
      </c>
    </row>
    <row r="465" spans="1:9">
      <c r="A465">
        <v>462</v>
      </c>
      <c r="B465" s="46">
        <v>45083</v>
      </c>
      <c r="C465" s="169">
        <v>56.63656027489921</v>
      </c>
      <c r="D465" s="169">
        <v>62.091495991055417</v>
      </c>
      <c r="E465" s="169">
        <f t="shared" si="35"/>
        <v>56.63656027489921</v>
      </c>
      <c r="F465" s="190" t="str">
        <f t="shared" si="32"/>
        <v/>
      </c>
      <c r="H465" t="str">
        <f t="shared" si="34"/>
        <v/>
      </c>
      <c r="I465" s="190" t="str">
        <f t="shared" si="33"/>
        <v/>
      </c>
    </row>
    <row r="466" spans="1:9">
      <c r="A466">
        <v>463</v>
      </c>
      <c r="B466" s="46">
        <v>45084</v>
      </c>
      <c r="C466" s="169">
        <v>69.214255720859512</v>
      </c>
      <c r="D466" s="169">
        <v>62.091495991055417</v>
      </c>
      <c r="E466" s="169">
        <f t="shared" si="35"/>
        <v>62.091495991055417</v>
      </c>
      <c r="F466" s="190" t="str">
        <f t="shared" si="32"/>
        <v/>
      </c>
      <c r="H466" t="str">
        <f t="shared" si="34"/>
        <v/>
      </c>
      <c r="I466" s="190" t="str">
        <f t="shared" si="33"/>
        <v/>
      </c>
    </row>
    <row r="467" spans="1:9">
      <c r="A467">
        <v>464</v>
      </c>
      <c r="B467" s="46">
        <v>45085</v>
      </c>
      <c r="C467" s="169">
        <v>72.875898024859524</v>
      </c>
      <c r="D467" s="169">
        <v>62.091495991055417</v>
      </c>
      <c r="E467" s="169">
        <f t="shared" si="35"/>
        <v>62.091495991055417</v>
      </c>
      <c r="F467" s="190" t="str">
        <f t="shared" si="32"/>
        <v/>
      </c>
      <c r="H467" t="str">
        <f t="shared" si="34"/>
        <v/>
      </c>
      <c r="I467" s="190" t="str">
        <f t="shared" si="33"/>
        <v/>
      </c>
    </row>
    <row r="468" spans="1:9">
      <c r="A468">
        <v>465</v>
      </c>
      <c r="B468" s="46">
        <v>45086</v>
      </c>
      <c r="C468" s="169">
        <v>63.180801376857652</v>
      </c>
      <c r="D468" s="169">
        <v>62.091495991055417</v>
      </c>
      <c r="E468" s="169">
        <f t="shared" si="35"/>
        <v>62.091495991055417</v>
      </c>
      <c r="F468" s="190" t="str">
        <f t="shared" si="32"/>
        <v/>
      </c>
      <c r="H468" t="str">
        <f t="shared" si="34"/>
        <v/>
      </c>
      <c r="I468" s="190" t="str">
        <f t="shared" si="33"/>
        <v/>
      </c>
    </row>
    <row r="469" spans="1:9">
      <c r="A469">
        <v>466</v>
      </c>
      <c r="B469" s="46">
        <v>45087</v>
      </c>
      <c r="C469" s="169">
        <v>60.43962682885951</v>
      </c>
      <c r="D469" s="169">
        <v>62.091495991055417</v>
      </c>
      <c r="E469" s="169">
        <f t="shared" si="35"/>
        <v>60.43962682885951</v>
      </c>
      <c r="F469" s="190" t="str">
        <f t="shared" si="32"/>
        <v/>
      </c>
      <c r="H469" t="str">
        <f t="shared" si="34"/>
        <v/>
      </c>
      <c r="I469" s="190" t="str">
        <f t="shared" si="33"/>
        <v/>
      </c>
    </row>
    <row r="470" spans="1:9">
      <c r="A470">
        <v>467</v>
      </c>
      <c r="B470" s="46">
        <v>45088</v>
      </c>
      <c r="C470" s="169">
        <v>51.759126908859514</v>
      </c>
      <c r="D470" s="169">
        <v>62.091495991055417</v>
      </c>
      <c r="E470" s="169">
        <f t="shared" si="35"/>
        <v>51.759126908859514</v>
      </c>
      <c r="F470" s="190" t="str">
        <f t="shared" si="32"/>
        <v/>
      </c>
      <c r="H470" t="str">
        <f t="shared" si="34"/>
        <v/>
      </c>
      <c r="I470" s="190" t="str">
        <f t="shared" si="33"/>
        <v/>
      </c>
    </row>
    <row r="471" spans="1:9">
      <c r="A471">
        <v>468</v>
      </c>
      <c r="B471" s="46">
        <v>45089</v>
      </c>
      <c r="C471" s="169">
        <v>78.445429872859521</v>
      </c>
      <c r="D471" s="169">
        <v>62.091495991055417</v>
      </c>
      <c r="E471" s="169">
        <f t="shared" si="35"/>
        <v>62.091495991055417</v>
      </c>
      <c r="F471" s="190" t="str">
        <f t="shared" si="32"/>
        <v/>
      </c>
      <c r="H471" t="str">
        <f t="shared" si="34"/>
        <v/>
      </c>
      <c r="I471" s="190" t="str">
        <f t="shared" si="33"/>
        <v/>
      </c>
    </row>
    <row r="472" spans="1:9">
      <c r="A472">
        <v>469</v>
      </c>
      <c r="B472" s="46">
        <v>45090</v>
      </c>
      <c r="C472" s="169">
        <v>74.472029744859512</v>
      </c>
      <c r="D472" s="169">
        <v>62.091495991055417</v>
      </c>
      <c r="E472" s="169">
        <f t="shared" si="35"/>
        <v>62.091495991055417</v>
      </c>
      <c r="F472" s="190" t="str">
        <f t="shared" si="32"/>
        <v/>
      </c>
      <c r="H472" t="str">
        <f t="shared" si="34"/>
        <v/>
      </c>
      <c r="I472" s="190" t="str">
        <f t="shared" si="33"/>
        <v/>
      </c>
    </row>
    <row r="473" spans="1:9">
      <c r="A473">
        <v>470</v>
      </c>
      <c r="B473" s="46">
        <v>45091</v>
      </c>
      <c r="C473" s="169">
        <v>61.48177375849162</v>
      </c>
      <c r="D473" s="169">
        <v>62.091495991055417</v>
      </c>
      <c r="E473" s="169">
        <f t="shared" si="35"/>
        <v>61.48177375849162</v>
      </c>
      <c r="F473" s="190" t="str">
        <f t="shared" si="32"/>
        <v/>
      </c>
      <c r="H473" t="str">
        <f t="shared" si="34"/>
        <v/>
      </c>
      <c r="I473" s="190" t="str">
        <f t="shared" si="33"/>
        <v/>
      </c>
    </row>
    <row r="474" spans="1:9">
      <c r="A474">
        <v>471</v>
      </c>
      <c r="B474" s="46">
        <v>45092</v>
      </c>
      <c r="C474" s="169">
        <v>69.867611942491621</v>
      </c>
      <c r="D474" s="169">
        <v>62.091495991055417</v>
      </c>
      <c r="E474" s="169">
        <f t="shared" si="35"/>
        <v>62.091495991055417</v>
      </c>
      <c r="F474" s="190" t="str">
        <f t="shared" si="32"/>
        <v>J</v>
      </c>
      <c r="G474" s="191">
        <f>IF(DAY(B474)=15,D474,"")</f>
        <v>62.091495991055417</v>
      </c>
      <c r="H474" t="str">
        <f t="shared" si="34"/>
        <v/>
      </c>
      <c r="I474" s="190" t="str">
        <f t="shared" si="33"/>
        <v>J</v>
      </c>
    </row>
    <row r="475" spans="1:9">
      <c r="A475">
        <v>472</v>
      </c>
      <c r="B475" s="46">
        <v>45093</v>
      </c>
      <c r="C475" s="169">
        <v>78.254237598495337</v>
      </c>
      <c r="D475" s="169">
        <v>62.091495991055417</v>
      </c>
      <c r="E475" s="169">
        <f t="shared" si="35"/>
        <v>62.091495991055417</v>
      </c>
      <c r="F475" s="190" t="str">
        <f t="shared" si="32"/>
        <v/>
      </c>
      <c r="H475" t="str">
        <f t="shared" si="34"/>
        <v/>
      </c>
      <c r="I475" s="190" t="str">
        <f t="shared" si="33"/>
        <v/>
      </c>
    </row>
    <row r="476" spans="1:9">
      <c r="A476">
        <v>473</v>
      </c>
      <c r="B476" s="46">
        <v>45094</v>
      </c>
      <c r="C476" s="169">
        <v>56.491981126493485</v>
      </c>
      <c r="D476" s="169">
        <v>62.091495991055417</v>
      </c>
      <c r="E476" s="169">
        <f t="shared" si="35"/>
        <v>56.491981126493485</v>
      </c>
      <c r="F476" s="190" t="str">
        <f t="shared" si="32"/>
        <v/>
      </c>
      <c r="H476" t="str">
        <f t="shared" si="34"/>
        <v/>
      </c>
      <c r="I476" s="190" t="str">
        <f t="shared" si="33"/>
        <v/>
      </c>
    </row>
    <row r="477" spans="1:9">
      <c r="A477">
        <v>474</v>
      </c>
      <c r="B477" s="46">
        <v>45095</v>
      </c>
      <c r="C477" s="169">
        <v>40.625565390491616</v>
      </c>
      <c r="D477" s="169">
        <v>62.091495991055417</v>
      </c>
      <c r="E477" s="169">
        <f t="shared" si="35"/>
        <v>40.625565390491616</v>
      </c>
      <c r="F477" s="190" t="str">
        <f t="shared" si="32"/>
        <v/>
      </c>
      <c r="H477" t="str">
        <f t="shared" si="34"/>
        <v/>
      </c>
      <c r="I477" s="190" t="str">
        <f t="shared" si="33"/>
        <v/>
      </c>
    </row>
    <row r="478" spans="1:9">
      <c r="A478">
        <v>475</v>
      </c>
      <c r="B478" s="46">
        <v>45096</v>
      </c>
      <c r="C478" s="169">
        <v>63.964851278493484</v>
      </c>
      <c r="D478" s="169">
        <v>62.091495991055417</v>
      </c>
      <c r="E478" s="169">
        <f t="shared" si="35"/>
        <v>62.091495991055417</v>
      </c>
      <c r="F478" s="190" t="str">
        <f t="shared" si="32"/>
        <v/>
      </c>
      <c r="H478" t="str">
        <f t="shared" si="34"/>
        <v/>
      </c>
      <c r="I478" s="190" t="str">
        <f t="shared" si="33"/>
        <v/>
      </c>
    </row>
    <row r="479" spans="1:9">
      <c r="A479">
        <v>476</v>
      </c>
      <c r="B479" s="46">
        <v>45097</v>
      </c>
      <c r="C479" s="169">
        <v>63.700315196493477</v>
      </c>
      <c r="D479" s="169">
        <v>62.091495991055417</v>
      </c>
      <c r="E479" s="169">
        <f t="shared" si="35"/>
        <v>62.091495991055417</v>
      </c>
      <c r="F479" s="190" t="str">
        <f t="shared" si="32"/>
        <v/>
      </c>
      <c r="H479" t="str">
        <f t="shared" si="34"/>
        <v/>
      </c>
      <c r="I479" s="190" t="str">
        <f t="shared" si="33"/>
        <v/>
      </c>
    </row>
    <row r="480" spans="1:9">
      <c r="A480">
        <v>477</v>
      </c>
      <c r="B480" s="46">
        <v>45098</v>
      </c>
      <c r="C480" s="169">
        <v>76.434700403560868</v>
      </c>
      <c r="D480" s="169">
        <v>62.091495991055417</v>
      </c>
      <c r="E480" s="169">
        <f t="shared" si="35"/>
        <v>62.091495991055417</v>
      </c>
      <c r="F480" s="190" t="str">
        <f t="shared" si="32"/>
        <v/>
      </c>
      <c r="H480" t="str">
        <f t="shared" si="34"/>
        <v/>
      </c>
      <c r="I480" s="190" t="str">
        <f t="shared" si="33"/>
        <v/>
      </c>
    </row>
    <row r="481" spans="1:9">
      <c r="A481">
        <v>478</v>
      </c>
      <c r="B481" s="46">
        <v>45099</v>
      </c>
      <c r="C481" s="169">
        <v>60.879025239560868</v>
      </c>
      <c r="D481" s="169">
        <v>62.091495991055417</v>
      </c>
      <c r="E481" s="169">
        <f t="shared" si="35"/>
        <v>60.879025239560868</v>
      </c>
      <c r="F481" s="190" t="str">
        <f t="shared" si="32"/>
        <v/>
      </c>
      <c r="H481" t="str">
        <f t="shared" si="34"/>
        <v/>
      </c>
      <c r="I481" s="190" t="str">
        <f t="shared" si="33"/>
        <v/>
      </c>
    </row>
    <row r="482" spans="1:9">
      <c r="A482">
        <v>479</v>
      </c>
      <c r="B482" s="46">
        <v>45100</v>
      </c>
      <c r="C482" s="169">
        <v>56.585806815560865</v>
      </c>
      <c r="D482" s="169">
        <v>62.091495991055417</v>
      </c>
      <c r="E482" s="169">
        <f t="shared" si="35"/>
        <v>56.585806815560865</v>
      </c>
      <c r="F482" s="190" t="str">
        <f t="shared" si="32"/>
        <v/>
      </c>
      <c r="H482" t="str">
        <f t="shared" si="34"/>
        <v/>
      </c>
      <c r="I482" s="190" t="str">
        <f t="shared" si="33"/>
        <v/>
      </c>
    </row>
    <row r="483" spans="1:9">
      <c r="A483">
        <v>480</v>
      </c>
      <c r="B483" s="46">
        <v>45101</v>
      </c>
      <c r="C483" s="169">
        <v>45.285563307560864</v>
      </c>
      <c r="D483" s="169">
        <v>62.091495991055417</v>
      </c>
      <c r="E483" s="169">
        <f t="shared" si="35"/>
        <v>45.285563307560864</v>
      </c>
      <c r="F483" s="190" t="str">
        <f t="shared" si="32"/>
        <v/>
      </c>
      <c r="H483" t="str">
        <f t="shared" si="34"/>
        <v/>
      </c>
      <c r="I483" s="190" t="str">
        <f t="shared" si="33"/>
        <v/>
      </c>
    </row>
    <row r="484" spans="1:9">
      <c r="A484">
        <v>481</v>
      </c>
      <c r="B484" s="46">
        <v>45102</v>
      </c>
      <c r="C484" s="169">
        <v>39.898130859559004</v>
      </c>
      <c r="D484" s="169">
        <v>62.091495991055417</v>
      </c>
      <c r="E484" s="169">
        <f t="shared" si="35"/>
        <v>39.898130859559004</v>
      </c>
      <c r="F484" s="190" t="str">
        <f t="shared" si="32"/>
        <v/>
      </c>
      <c r="H484" t="str">
        <f t="shared" si="34"/>
        <v/>
      </c>
      <c r="I484" s="190" t="str">
        <f t="shared" si="33"/>
        <v/>
      </c>
    </row>
    <row r="485" spans="1:9">
      <c r="A485">
        <v>482</v>
      </c>
      <c r="B485" s="46">
        <v>45103</v>
      </c>
      <c r="C485" s="169">
        <v>49.490690407560869</v>
      </c>
      <c r="D485" s="169">
        <v>62.091495991055417</v>
      </c>
      <c r="E485" s="169">
        <f t="shared" si="35"/>
        <v>49.490690407560869</v>
      </c>
      <c r="F485" s="190" t="str">
        <f t="shared" si="32"/>
        <v/>
      </c>
      <c r="H485" t="str">
        <f t="shared" si="34"/>
        <v/>
      </c>
      <c r="I485" s="190" t="str">
        <f t="shared" si="33"/>
        <v/>
      </c>
    </row>
    <row r="486" spans="1:9">
      <c r="A486">
        <v>483</v>
      </c>
      <c r="B486" s="46">
        <v>45104</v>
      </c>
      <c r="C486" s="169">
        <v>60.819213259559007</v>
      </c>
      <c r="D486" s="169">
        <v>62.091495991055417</v>
      </c>
      <c r="E486" s="169">
        <f t="shared" si="35"/>
        <v>60.819213259559007</v>
      </c>
      <c r="F486" s="190" t="str">
        <f t="shared" si="32"/>
        <v/>
      </c>
      <c r="H486" t="str">
        <f t="shared" si="34"/>
        <v/>
      </c>
      <c r="I486" s="190" t="str">
        <f t="shared" si="33"/>
        <v/>
      </c>
    </row>
    <row r="487" spans="1:9">
      <c r="A487">
        <v>484</v>
      </c>
      <c r="B487" s="46">
        <v>45105</v>
      </c>
      <c r="C487" s="169">
        <v>37.402692723792917</v>
      </c>
      <c r="D487" s="169">
        <v>62.091495991055417</v>
      </c>
      <c r="E487" s="169">
        <f t="shared" si="35"/>
        <v>37.402692723792917</v>
      </c>
      <c r="F487" s="190" t="str">
        <f t="shared" si="32"/>
        <v/>
      </c>
      <c r="H487" t="str">
        <f t="shared" si="34"/>
        <v/>
      </c>
      <c r="I487" s="190" t="str">
        <f t="shared" si="33"/>
        <v/>
      </c>
    </row>
    <row r="488" spans="1:9">
      <c r="A488">
        <v>485</v>
      </c>
      <c r="B488" s="46">
        <v>45106</v>
      </c>
      <c r="C488" s="169">
        <v>17.675389911791054</v>
      </c>
      <c r="D488" s="169">
        <v>62.091495991055417</v>
      </c>
      <c r="E488" s="169">
        <f t="shared" si="35"/>
        <v>17.675389911791054</v>
      </c>
      <c r="F488" s="190" t="str">
        <f t="shared" si="32"/>
        <v/>
      </c>
      <c r="H488" t="str">
        <f t="shared" si="34"/>
        <v/>
      </c>
      <c r="I488" s="190" t="str">
        <f t="shared" si="33"/>
        <v/>
      </c>
    </row>
    <row r="489" spans="1:9">
      <c r="A489">
        <v>486</v>
      </c>
      <c r="B489" s="46">
        <v>45107</v>
      </c>
      <c r="C489" s="169">
        <v>22.42099434779292</v>
      </c>
      <c r="D489" s="169">
        <v>62.091495991055417</v>
      </c>
      <c r="E489" s="169">
        <f t="shared" si="35"/>
        <v>22.42099434779292</v>
      </c>
      <c r="F489" s="190" t="str">
        <f t="shared" si="32"/>
        <v/>
      </c>
      <c r="H489" t="str">
        <f t="shared" si="34"/>
        <v/>
      </c>
      <c r="I489" s="190" t="str">
        <f t="shared" si="33"/>
        <v/>
      </c>
    </row>
    <row r="490" spans="1:9">
      <c r="A490">
        <v>487</v>
      </c>
      <c r="B490" s="46">
        <v>45108</v>
      </c>
      <c r="C490" s="169">
        <v>10.764143951792917</v>
      </c>
      <c r="D490" s="169">
        <v>26.601704529721381</v>
      </c>
      <c r="E490" s="169">
        <f t="shared" si="35"/>
        <v>10.764143951792917</v>
      </c>
      <c r="F490" s="190" t="str">
        <f t="shared" si="32"/>
        <v/>
      </c>
      <c r="H490" t="str">
        <f t="shared" si="34"/>
        <v/>
      </c>
      <c r="I490" s="190" t="str">
        <f t="shared" si="33"/>
        <v/>
      </c>
    </row>
    <row r="491" spans="1:9">
      <c r="A491">
        <v>488</v>
      </c>
      <c r="B491" s="46">
        <v>45109</v>
      </c>
      <c r="C491" s="169">
        <v>12.38707608779292</v>
      </c>
      <c r="D491" s="169">
        <v>26.601704529721381</v>
      </c>
      <c r="E491" s="169">
        <f t="shared" si="35"/>
        <v>12.38707608779292</v>
      </c>
      <c r="F491" s="190" t="str">
        <f t="shared" si="32"/>
        <v/>
      </c>
      <c r="H491" t="str">
        <f t="shared" si="34"/>
        <v/>
      </c>
      <c r="I491" s="190" t="str">
        <f t="shared" si="33"/>
        <v/>
      </c>
    </row>
    <row r="492" spans="1:9">
      <c r="A492">
        <v>489</v>
      </c>
      <c r="B492" s="46">
        <v>45110</v>
      </c>
      <c r="C492" s="169">
        <v>25.683337035791052</v>
      </c>
      <c r="D492" s="169">
        <v>26.601704529721381</v>
      </c>
      <c r="E492" s="169">
        <f t="shared" si="35"/>
        <v>25.683337035791052</v>
      </c>
      <c r="F492" s="190" t="str">
        <f t="shared" si="32"/>
        <v/>
      </c>
      <c r="H492" t="str">
        <f t="shared" si="34"/>
        <v/>
      </c>
      <c r="I492" s="190" t="str">
        <f t="shared" si="33"/>
        <v/>
      </c>
    </row>
    <row r="493" spans="1:9">
      <c r="A493">
        <v>490</v>
      </c>
      <c r="B493" s="46">
        <v>45111</v>
      </c>
      <c r="C493" s="169">
        <v>23.145132199792918</v>
      </c>
      <c r="D493" s="169">
        <v>26.601704529721381</v>
      </c>
      <c r="E493" s="169">
        <f t="shared" si="35"/>
        <v>23.145132199792918</v>
      </c>
      <c r="F493" s="190" t="str">
        <f t="shared" si="32"/>
        <v/>
      </c>
      <c r="H493" t="str">
        <f t="shared" si="34"/>
        <v/>
      </c>
      <c r="I493" s="190" t="str">
        <f t="shared" si="33"/>
        <v/>
      </c>
    </row>
    <row r="494" spans="1:9">
      <c r="A494">
        <v>491</v>
      </c>
      <c r="B494" s="46">
        <v>45112</v>
      </c>
      <c r="C494" s="169">
        <v>25.82995115699865</v>
      </c>
      <c r="D494" s="169">
        <v>26.601704529721381</v>
      </c>
      <c r="E494" s="169">
        <f t="shared" si="35"/>
        <v>25.82995115699865</v>
      </c>
      <c r="F494" s="190" t="str">
        <f t="shared" si="32"/>
        <v/>
      </c>
      <c r="H494" t="str">
        <f t="shared" si="34"/>
        <v/>
      </c>
      <c r="I494" s="190" t="str">
        <f t="shared" si="33"/>
        <v/>
      </c>
    </row>
    <row r="495" spans="1:9">
      <c r="A495">
        <v>492</v>
      </c>
      <c r="B495" s="46">
        <v>45113</v>
      </c>
      <c r="C495" s="169">
        <v>26.201231548998649</v>
      </c>
      <c r="D495" s="169">
        <v>26.601704529721381</v>
      </c>
      <c r="E495" s="169">
        <f t="shared" si="35"/>
        <v>26.201231548998649</v>
      </c>
      <c r="F495" s="190" t="str">
        <f t="shared" si="32"/>
        <v/>
      </c>
      <c r="H495" t="str">
        <f t="shared" si="34"/>
        <v/>
      </c>
      <c r="I495" s="190" t="str">
        <f t="shared" si="33"/>
        <v/>
      </c>
    </row>
    <row r="496" spans="1:9">
      <c r="A496">
        <v>493</v>
      </c>
      <c r="B496" s="46">
        <v>45114</v>
      </c>
      <c r="C496" s="169">
        <v>17.300016412998652</v>
      </c>
      <c r="D496" s="169">
        <v>26.601704529721381</v>
      </c>
      <c r="E496" s="169">
        <f t="shared" si="35"/>
        <v>17.300016412998652</v>
      </c>
      <c r="F496" s="190" t="str">
        <f t="shared" si="32"/>
        <v/>
      </c>
      <c r="H496" t="str">
        <f t="shared" si="34"/>
        <v/>
      </c>
      <c r="I496" s="190" t="str">
        <f t="shared" si="33"/>
        <v/>
      </c>
    </row>
    <row r="497" spans="1:9">
      <c r="A497">
        <v>494</v>
      </c>
      <c r="B497" s="46">
        <v>45115</v>
      </c>
      <c r="C497" s="169">
        <v>15.172527685000517</v>
      </c>
      <c r="D497" s="169">
        <v>26.601704529721381</v>
      </c>
      <c r="E497" s="169">
        <f t="shared" si="35"/>
        <v>15.172527685000517</v>
      </c>
      <c r="F497" s="190" t="str">
        <f t="shared" si="32"/>
        <v/>
      </c>
      <c r="H497" t="str">
        <f t="shared" si="34"/>
        <v/>
      </c>
      <c r="I497" s="190" t="str">
        <f t="shared" si="33"/>
        <v/>
      </c>
    </row>
    <row r="498" spans="1:9">
      <c r="A498">
        <v>495</v>
      </c>
      <c r="B498" s="46">
        <v>45116</v>
      </c>
      <c r="C498" s="169">
        <v>10.88104752899865</v>
      </c>
      <c r="D498" s="169">
        <v>26.601704529721381</v>
      </c>
      <c r="E498" s="169">
        <f t="shared" si="35"/>
        <v>10.88104752899865</v>
      </c>
      <c r="F498" s="190" t="str">
        <f t="shared" si="32"/>
        <v/>
      </c>
      <c r="H498" t="str">
        <f t="shared" si="34"/>
        <v/>
      </c>
      <c r="I498" s="190" t="str">
        <f t="shared" si="33"/>
        <v/>
      </c>
    </row>
    <row r="499" spans="1:9">
      <c r="A499">
        <v>496</v>
      </c>
      <c r="B499" s="46">
        <v>45117</v>
      </c>
      <c r="C499" s="169">
        <v>28.920031092998652</v>
      </c>
      <c r="D499" s="169">
        <v>26.601704529721381</v>
      </c>
      <c r="E499" s="169">
        <f t="shared" si="35"/>
        <v>26.601704529721381</v>
      </c>
      <c r="F499" s="190" t="str">
        <f t="shared" si="32"/>
        <v/>
      </c>
      <c r="H499" t="str">
        <f t="shared" si="34"/>
        <v/>
      </c>
      <c r="I499" s="190" t="str">
        <f t="shared" si="33"/>
        <v/>
      </c>
    </row>
    <row r="500" spans="1:9">
      <c r="A500">
        <v>497</v>
      </c>
      <c r="B500" s="46">
        <v>45118</v>
      </c>
      <c r="C500" s="169">
        <v>31.077243037000517</v>
      </c>
      <c r="D500" s="169">
        <v>26.601704529721381</v>
      </c>
      <c r="E500" s="169">
        <f t="shared" si="35"/>
        <v>26.601704529721381</v>
      </c>
      <c r="F500" s="190" t="str">
        <f t="shared" si="32"/>
        <v/>
      </c>
      <c r="H500" t="str">
        <f t="shared" si="34"/>
        <v/>
      </c>
      <c r="I500" s="190" t="str">
        <f t="shared" si="33"/>
        <v/>
      </c>
    </row>
    <row r="501" spans="1:9">
      <c r="A501">
        <v>498</v>
      </c>
      <c r="B501" s="46">
        <v>45119</v>
      </c>
      <c r="C501" s="169">
        <v>14.183226333087557</v>
      </c>
      <c r="D501" s="169">
        <v>26.601704529721381</v>
      </c>
      <c r="E501" s="169">
        <f t="shared" si="35"/>
        <v>14.183226333087557</v>
      </c>
      <c r="F501" s="190" t="str">
        <f t="shared" si="32"/>
        <v/>
      </c>
      <c r="H501" t="str">
        <f t="shared" si="34"/>
        <v/>
      </c>
      <c r="I501" s="190" t="str">
        <f t="shared" si="33"/>
        <v/>
      </c>
    </row>
    <row r="502" spans="1:9">
      <c r="A502">
        <v>499</v>
      </c>
      <c r="B502" s="46">
        <v>45120</v>
      </c>
      <c r="C502" s="169">
        <v>10.3727383630857</v>
      </c>
      <c r="D502" s="169">
        <v>26.601704529721381</v>
      </c>
      <c r="E502" s="169">
        <f t="shared" si="35"/>
        <v>10.3727383630857</v>
      </c>
      <c r="F502" s="190" t="str">
        <f t="shared" si="32"/>
        <v/>
      </c>
      <c r="H502" t="str">
        <f t="shared" si="34"/>
        <v/>
      </c>
      <c r="I502" s="190" t="str">
        <f t="shared" si="33"/>
        <v/>
      </c>
    </row>
    <row r="503" spans="1:9">
      <c r="A503">
        <v>500</v>
      </c>
      <c r="B503" s="46">
        <v>45121</v>
      </c>
      <c r="C503" s="169">
        <v>4.9091500490875628</v>
      </c>
      <c r="D503" s="169">
        <v>26.601704529721381</v>
      </c>
      <c r="E503" s="169">
        <f t="shared" si="35"/>
        <v>4.9091500490875628</v>
      </c>
      <c r="F503" s="190" t="str">
        <f t="shared" si="32"/>
        <v/>
      </c>
      <c r="H503" t="str">
        <f t="shared" si="34"/>
        <v/>
      </c>
      <c r="I503" s="190" t="str">
        <f t="shared" si="33"/>
        <v/>
      </c>
    </row>
    <row r="504" spans="1:9">
      <c r="A504">
        <v>501</v>
      </c>
      <c r="B504" s="46">
        <v>45122</v>
      </c>
      <c r="C504" s="169">
        <v>1.1223621510875601</v>
      </c>
      <c r="D504" s="169">
        <v>26.601704529721381</v>
      </c>
      <c r="E504" s="169">
        <f t="shared" si="35"/>
        <v>1.1223621510875601</v>
      </c>
      <c r="F504" s="190" t="str">
        <f t="shared" si="32"/>
        <v>J</v>
      </c>
      <c r="G504" s="191">
        <f>IF(DAY(B504)=15,D504,"")</f>
        <v>26.601704529721381</v>
      </c>
      <c r="H504" t="str">
        <f t="shared" si="34"/>
        <v/>
      </c>
      <c r="I504" s="190" t="str">
        <f t="shared" si="33"/>
        <v>J</v>
      </c>
    </row>
    <row r="505" spans="1:9">
      <c r="A505">
        <v>502</v>
      </c>
      <c r="B505" s="46">
        <v>45123</v>
      </c>
      <c r="C505" s="169">
        <v>1.2527377760875607</v>
      </c>
      <c r="D505" s="169">
        <v>26.601704529721381</v>
      </c>
      <c r="E505" s="169">
        <f t="shared" si="35"/>
        <v>1.2527377760875607</v>
      </c>
      <c r="F505" s="190" t="str">
        <f t="shared" si="32"/>
        <v/>
      </c>
      <c r="H505" t="str">
        <f t="shared" si="34"/>
        <v/>
      </c>
      <c r="I505" s="190" t="str">
        <f t="shared" si="33"/>
        <v/>
      </c>
    </row>
    <row r="506" spans="1:9">
      <c r="A506">
        <v>503</v>
      </c>
      <c r="B506" s="46">
        <v>45124</v>
      </c>
      <c r="C506" s="169">
        <v>9.5187780880875579</v>
      </c>
      <c r="D506" s="169">
        <v>26.601704529721381</v>
      </c>
      <c r="E506" s="169">
        <f t="shared" si="35"/>
        <v>9.5187780880875579</v>
      </c>
      <c r="F506" s="190" t="str">
        <f t="shared" si="32"/>
        <v/>
      </c>
      <c r="H506" t="str">
        <f t="shared" si="34"/>
        <v/>
      </c>
      <c r="I506" s="190" t="str">
        <f t="shared" si="33"/>
        <v/>
      </c>
    </row>
    <row r="507" spans="1:9">
      <c r="A507">
        <v>504</v>
      </c>
      <c r="B507" s="46">
        <v>45125</v>
      </c>
      <c r="C507" s="169">
        <v>21.238165024087561</v>
      </c>
      <c r="D507" s="169">
        <v>26.601704529721381</v>
      </c>
      <c r="E507" s="169">
        <f t="shared" si="35"/>
        <v>21.238165024087561</v>
      </c>
      <c r="F507" s="190" t="str">
        <f t="shared" si="32"/>
        <v/>
      </c>
      <c r="H507" t="str">
        <f t="shared" si="34"/>
        <v/>
      </c>
      <c r="I507" s="190" t="str">
        <f t="shared" si="33"/>
        <v/>
      </c>
    </row>
    <row r="508" spans="1:9">
      <c r="A508">
        <v>505</v>
      </c>
      <c r="B508" s="46">
        <v>45126</v>
      </c>
      <c r="C508" s="169">
        <v>14.719824948133187</v>
      </c>
      <c r="D508" s="169">
        <v>26.601704529721381</v>
      </c>
      <c r="E508" s="169">
        <f t="shared" si="35"/>
        <v>14.719824948133187</v>
      </c>
      <c r="F508" s="190" t="str">
        <f t="shared" si="32"/>
        <v/>
      </c>
      <c r="H508" t="str">
        <f t="shared" si="34"/>
        <v/>
      </c>
      <c r="I508" s="190" t="str">
        <f t="shared" si="33"/>
        <v/>
      </c>
    </row>
    <row r="509" spans="1:9">
      <c r="A509">
        <v>506</v>
      </c>
      <c r="B509" s="46">
        <v>45127</v>
      </c>
      <c r="C509" s="169">
        <v>4.3961503001350506</v>
      </c>
      <c r="D509" s="169">
        <v>26.601704529721381</v>
      </c>
      <c r="E509" s="169">
        <f t="shared" si="35"/>
        <v>4.3961503001350506</v>
      </c>
      <c r="F509" s="190" t="str">
        <f t="shared" si="32"/>
        <v/>
      </c>
      <c r="H509" t="str">
        <f t="shared" si="34"/>
        <v/>
      </c>
      <c r="I509" s="190" t="str">
        <f t="shared" si="33"/>
        <v/>
      </c>
    </row>
    <row r="510" spans="1:9">
      <c r="A510">
        <v>507</v>
      </c>
      <c r="B510" s="46">
        <v>45128</v>
      </c>
      <c r="C510" s="169">
        <v>2.7864231081313267</v>
      </c>
      <c r="D510" s="169">
        <v>26.601704529721381</v>
      </c>
      <c r="E510" s="169">
        <f t="shared" si="35"/>
        <v>2.7864231081313267</v>
      </c>
      <c r="F510" s="190" t="str">
        <f t="shared" si="32"/>
        <v/>
      </c>
      <c r="H510" t="str">
        <f t="shared" si="34"/>
        <v/>
      </c>
      <c r="I510" s="190" t="str">
        <f t="shared" si="33"/>
        <v/>
      </c>
    </row>
    <row r="511" spans="1:9">
      <c r="A511">
        <v>508</v>
      </c>
      <c r="B511" s="46">
        <v>45129</v>
      </c>
      <c r="C511" s="169">
        <v>3.4104858281331909</v>
      </c>
      <c r="D511" s="169">
        <v>26.601704529721381</v>
      </c>
      <c r="E511" s="169">
        <f t="shared" si="35"/>
        <v>3.4104858281331909</v>
      </c>
      <c r="F511" s="190" t="str">
        <f t="shared" si="32"/>
        <v/>
      </c>
      <c r="H511" t="str">
        <f t="shared" si="34"/>
        <v/>
      </c>
      <c r="I511" s="190" t="str">
        <f t="shared" si="33"/>
        <v/>
      </c>
    </row>
    <row r="512" spans="1:9">
      <c r="A512">
        <v>509</v>
      </c>
      <c r="B512" s="46">
        <v>45130</v>
      </c>
      <c r="C512" s="169">
        <v>0.66356802413318661</v>
      </c>
      <c r="D512" s="169">
        <v>26.601704529721381</v>
      </c>
      <c r="E512" s="169">
        <f t="shared" si="35"/>
        <v>0.66356802413318661</v>
      </c>
      <c r="F512" s="190" t="str">
        <f t="shared" si="32"/>
        <v/>
      </c>
      <c r="H512" t="str">
        <f t="shared" si="34"/>
        <v/>
      </c>
      <c r="I512" s="190" t="str">
        <f t="shared" si="33"/>
        <v/>
      </c>
    </row>
    <row r="513" spans="1:9">
      <c r="A513">
        <v>510</v>
      </c>
      <c r="B513" s="46">
        <v>45131</v>
      </c>
      <c r="C513" s="169">
        <v>2.3629647521331862</v>
      </c>
      <c r="D513" s="169">
        <v>26.601704529721381</v>
      </c>
      <c r="E513" s="169">
        <f t="shared" si="35"/>
        <v>2.3629647521331862</v>
      </c>
      <c r="F513" s="190" t="str">
        <f t="shared" si="32"/>
        <v/>
      </c>
      <c r="H513" t="str">
        <f t="shared" si="34"/>
        <v/>
      </c>
      <c r="I513" s="190" t="str">
        <f t="shared" si="33"/>
        <v/>
      </c>
    </row>
    <row r="514" spans="1:9">
      <c r="A514">
        <v>511</v>
      </c>
      <c r="B514" s="46">
        <v>45132</v>
      </c>
      <c r="C514" s="169">
        <v>1.2923573881341217</v>
      </c>
      <c r="D514" s="169">
        <v>26.601704529721381</v>
      </c>
      <c r="E514" s="169">
        <f t="shared" si="35"/>
        <v>1.2923573881341217</v>
      </c>
      <c r="F514" s="190" t="str">
        <f t="shared" si="32"/>
        <v/>
      </c>
      <c r="H514" t="str">
        <f t="shared" si="34"/>
        <v/>
      </c>
      <c r="I514" s="190" t="str">
        <f t="shared" si="33"/>
        <v/>
      </c>
    </row>
    <row r="515" spans="1:9">
      <c r="A515">
        <v>512</v>
      </c>
      <c r="B515" s="46">
        <v>45133</v>
      </c>
      <c r="C515" s="169">
        <v>6.5609360918694071</v>
      </c>
      <c r="D515" s="169">
        <v>26.601704529721381</v>
      </c>
      <c r="E515" s="169">
        <f t="shared" si="35"/>
        <v>6.5609360918694071</v>
      </c>
      <c r="F515" s="190" t="str">
        <f t="shared" ref="F515:F578" si="36">IF(DAY(B515)=15,IF(MONTH(B515)=1,"E",IF(MONTH(B515)=2,"F",IF(MONTH(B515)=3,"M",IF(MONTH(B515)=4,"A",IF(MONTH(B515)=5,"M",IF(MONTH(B515)=6,"J",IF(MONTH(B515)=7,"J",IF(MONTH(B515)=8,"A",IF(MONTH(B515)=9,"S",IF(MONTH(B515)=10,"O",IF(MONTH(B515)=11,"N",IF(MONTH(B515)=12,"D","")))))))))))),"")</f>
        <v/>
      </c>
      <c r="H515" t="str">
        <f t="shared" si="34"/>
        <v/>
      </c>
      <c r="I515" s="190" t="str">
        <f t="shared" si="33"/>
        <v/>
      </c>
    </row>
    <row r="516" spans="1:9">
      <c r="A516">
        <v>513</v>
      </c>
      <c r="B516" s="46">
        <v>45134</v>
      </c>
      <c r="C516" s="169">
        <v>4.5303661118684762</v>
      </c>
      <c r="D516" s="169">
        <v>26.601704529721381</v>
      </c>
      <c r="E516" s="169">
        <f t="shared" si="35"/>
        <v>4.5303661118684762</v>
      </c>
      <c r="F516" s="190" t="str">
        <f t="shared" si="36"/>
        <v/>
      </c>
      <c r="H516" t="str">
        <f t="shared" si="34"/>
        <v/>
      </c>
      <c r="I516" s="190" t="str">
        <f t="shared" ref="I516:I579" si="37">IF(DAY(B516)=15,IF(MONTH(B516)=1,"E",IF(MONTH(B516)=2,"F",IF(MONTH(B516)=3,"M",IF(MONTH(B516)=4,"A",IF(MONTH(B516)=5,"M",IF(MONTH(B516)=6,"J",IF(MONTH(B516)=7,"J",IF(MONTH(B516)=8,"A",IF(MONTH(B516)=9,"S",IF(MONTH(B516)=10,"O",IF(MONTH(B516)=11,"N",IF(MONTH(B516)=12,"D","")))))))))))),"")</f>
        <v/>
      </c>
    </row>
    <row r="517" spans="1:9">
      <c r="A517">
        <v>514</v>
      </c>
      <c r="B517" s="46">
        <v>45135</v>
      </c>
      <c r="C517" s="169">
        <v>6.5312281798703333</v>
      </c>
      <c r="D517" s="169">
        <v>26.601704529721381</v>
      </c>
      <c r="E517" s="169">
        <f t="shared" si="35"/>
        <v>6.5312281798703333</v>
      </c>
      <c r="F517" s="190" t="str">
        <f t="shared" si="36"/>
        <v/>
      </c>
      <c r="H517" t="str">
        <f t="shared" ref="H517:H580" si="38">IF(MONTH(B517)=1,IF(DAY(B517)=1,YEAR(B517),""),"")</f>
        <v/>
      </c>
      <c r="I517" s="190" t="str">
        <f t="shared" si="37"/>
        <v/>
      </c>
    </row>
    <row r="518" spans="1:9">
      <c r="A518">
        <v>515</v>
      </c>
      <c r="B518" s="46">
        <v>45136</v>
      </c>
      <c r="C518" s="169">
        <v>3.548440679868472</v>
      </c>
      <c r="D518" s="169">
        <v>26.601704529721381</v>
      </c>
      <c r="E518" s="169">
        <f t="shared" si="35"/>
        <v>3.548440679868472</v>
      </c>
      <c r="F518" s="190" t="str">
        <f t="shared" si="36"/>
        <v/>
      </c>
      <c r="H518" t="str">
        <f t="shared" si="38"/>
        <v/>
      </c>
      <c r="I518" s="190" t="str">
        <f t="shared" si="37"/>
        <v/>
      </c>
    </row>
    <row r="519" spans="1:9">
      <c r="A519">
        <v>516</v>
      </c>
      <c r="B519" s="46">
        <v>45137</v>
      </c>
      <c r="C519" s="169">
        <v>1.105057919869403</v>
      </c>
      <c r="D519" s="169">
        <v>26.601704529721381</v>
      </c>
      <c r="E519" s="169">
        <f t="shared" si="35"/>
        <v>1.105057919869403</v>
      </c>
      <c r="F519" s="190" t="str">
        <f t="shared" si="36"/>
        <v/>
      </c>
      <c r="H519" t="str">
        <f t="shared" si="38"/>
        <v/>
      </c>
      <c r="I519" s="190" t="str">
        <f t="shared" si="37"/>
        <v/>
      </c>
    </row>
    <row r="520" spans="1:9">
      <c r="A520">
        <v>517</v>
      </c>
      <c r="B520" s="46">
        <v>45138</v>
      </c>
      <c r="C520" s="169">
        <v>1.3670182158694042</v>
      </c>
      <c r="D520" s="169">
        <v>26.601704529721381</v>
      </c>
      <c r="E520" s="169">
        <f t="shared" si="35"/>
        <v>1.3670182158694042</v>
      </c>
      <c r="F520" s="190" t="str">
        <f t="shared" si="36"/>
        <v/>
      </c>
      <c r="H520" t="str">
        <f t="shared" si="38"/>
        <v/>
      </c>
      <c r="I520" s="190" t="str">
        <f t="shared" si="37"/>
        <v/>
      </c>
    </row>
    <row r="521" spans="1:9">
      <c r="A521">
        <v>518</v>
      </c>
      <c r="B521" s="46">
        <v>45139</v>
      </c>
      <c r="C521" s="169">
        <v>1.782965891869404</v>
      </c>
      <c r="D521" s="169">
        <v>15.940810769841702</v>
      </c>
      <c r="E521" s="169">
        <f t="shared" si="35"/>
        <v>1.782965891869404</v>
      </c>
      <c r="F521" s="190" t="str">
        <f t="shared" si="36"/>
        <v/>
      </c>
      <c r="H521" t="str">
        <f t="shared" si="38"/>
        <v/>
      </c>
      <c r="I521" s="190" t="str">
        <f t="shared" si="37"/>
        <v/>
      </c>
    </row>
    <row r="522" spans="1:9">
      <c r="A522">
        <v>519</v>
      </c>
      <c r="B522" s="46">
        <v>45140</v>
      </c>
      <c r="C522" s="169">
        <v>2.1689622764460839</v>
      </c>
      <c r="D522" s="169">
        <v>15.940810769841702</v>
      </c>
      <c r="E522" s="169">
        <f t="shared" si="35"/>
        <v>2.1689622764460839</v>
      </c>
      <c r="F522" s="190" t="str">
        <f t="shared" si="36"/>
        <v/>
      </c>
      <c r="H522" t="str">
        <f t="shared" si="38"/>
        <v/>
      </c>
      <c r="I522" s="190" t="str">
        <f t="shared" si="37"/>
        <v/>
      </c>
    </row>
    <row r="523" spans="1:9">
      <c r="A523">
        <v>520</v>
      </c>
      <c r="B523" s="46">
        <v>45141</v>
      </c>
      <c r="C523" s="169">
        <v>0.78540507645074098</v>
      </c>
      <c r="D523" s="169">
        <v>15.940810769841702</v>
      </c>
      <c r="E523" s="169">
        <f t="shared" si="35"/>
        <v>0.78540507645074098</v>
      </c>
      <c r="F523" s="190" t="str">
        <f t="shared" si="36"/>
        <v/>
      </c>
      <c r="H523" t="str">
        <f t="shared" si="38"/>
        <v/>
      </c>
      <c r="I523" s="190" t="str">
        <f t="shared" si="37"/>
        <v/>
      </c>
    </row>
    <row r="524" spans="1:9">
      <c r="A524">
        <v>521</v>
      </c>
      <c r="B524" s="46">
        <v>45142</v>
      </c>
      <c r="C524" s="169">
        <v>1.0309195644470164</v>
      </c>
      <c r="D524" s="169">
        <v>15.940810769841702</v>
      </c>
      <c r="E524" s="169">
        <f t="shared" si="35"/>
        <v>1.0309195644470164</v>
      </c>
      <c r="F524" s="190" t="str">
        <f t="shared" si="36"/>
        <v/>
      </c>
      <c r="H524" t="str">
        <f t="shared" si="38"/>
        <v/>
      </c>
      <c r="I524" s="190" t="str">
        <f t="shared" si="37"/>
        <v/>
      </c>
    </row>
    <row r="525" spans="1:9">
      <c r="A525">
        <v>522</v>
      </c>
      <c r="B525" s="46">
        <v>45143</v>
      </c>
      <c r="C525" s="169">
        <v>1.8049678124498096</v>
      </c>
      <c r="D525" s="169">
        <v>15.940810769841702</v>
      </c>
      <c r="E525" s="169">
        <f t="shared" si="35"/>
        <v>1.8049678124498096</v>
      </c>
      <c r="F525" s="190" t="str">
        <f t="shared" si="36"/>
        <v/>
      </c>
      <c r="H525" t="str">
        <f t="shared" si="38"/>
        <v/>
      </c>
      <c r="I525" s="190" t="str">
        <f t="shared" si="37"/>
        <v/>
      </c>
    </row>
    <row r="526" spans="1:9">
      <c r="A526">
        <v>523</v>
      </c>
      <c r="B526" s="46">
        <v>45144</v>
      </c>
      <c r="C526" s="169">
        <v>1.004827152447946</v>
      </c>
      <c r="D526" s="169">
        <v>15.940810769841702</v>
      </c>
      <c r="E526" s="169">
        <f t="shared" si="35"/>
        <v>1.004827152447946</v>
      </c>
      <c r="F526" s="190" t="str">
        <f t="shared" si="36"/>
        <v/>
      </c>
      <c r="H526" t="str">
        <f t="shared" si="38"/>
        <v/>
      </c>
      <c r="I526" s="190" t="str">
        <f t="shared" si="37"/>
        <v/>
      </c>
    </row>
    <row r="527" spans="1:9">
      <c r="A527">
        <v>524</v>
      </c>
      <c r="B527" s="46">
        <v>45145</v>
      </c>
      <c r="C527" s="169">
        <v>0.7337421964488785</v>
      </c>
      <c r="D527" s="169">
        <v>15.940810769841702</v>
      </c>
      <c r="E527" s="169">
        <f t="shared" ref="E527:E590" si="39">IF(C527&lt;D527,C527,D527)</f>
        <v>0.7337421964488785</v>
      </c>
      <c r="F527" s="190" t="str">
        <f t="shared" si="36"/>
        <v/>
      </c>
      <c r="H527" t="str">
        <f t="shared" si="38"/>
        <v/>
      </c>
      <c r="I527" s="190" t="str">
        <f t="shared" si="37"/>
        <v/>
      </c>
    </row>
    <row r="528" spans="1:9">
      <c r="A528">
        <v>525</v>
      </c>
      <c r="B528" s="46">
        <v>45146</v>
      </c>
      <c r="C528" s="169">
        <v>5.0941232324488812</v>
      </c>
      <c r="D528" s="169">
        <v>15.940810769841702</v>
      </c>
      <c r="E528" s="169">
        <f t="shared" si="39"/>
        <v>5.0941232324488812</v>
      </c>
      <c r="F528" s="190" t="str">
        <f t="shared" si="36"/>
        <v/>
      </c>
      <c r="H528" t="str">
        <f t="shared" si="38"/>
        <v/>
      </c>
      <c r="I528" s="190" t="str">
        <f t="shared" si="37"/>
        <v/>
      </c>
    </row>
    <row r="529" spans="1:9">
      <c r="A529">
        <v>526</v>
      </c>
      <c r="B529" s="46">
        <v>45147</v>
      </c>
      <c r="C529" s="169">
        <v>10.186300378786349</v>
      </c>
      <c r="D529" s="169">
        <v>15.940810769841702</v>
      </c>
      <c r="E529" s="169">
        <f t="shared" si="39"/>
        <v>10.186300378786349</v>
      </c>
      <c r="F529" s="190" t="str">
        <f t="shared" si="36"/>
        <v/>
      </c>
      <c r="H529" t="str">
        <f t="shared" si="38"/>
        <v/>
      </c>
      <c r="I529" s="190" t="str">
        <f t="shared" si="37"/>
        <v/>
      </c>
    </row>
    <row r="530" spans="1:9">
      <c r="A530">
        <v>527</v>
      </c>
      <c r="B530" s="46">
        <v>45148</v>
      </c>
      <c r="C530" s="169">
        <v>0.79286929878914447</v>
      </c>
      <c r="D530" s="169">
        <v>15.940810769841702</v>
      </c>
      <c r="E530" s="169">
        <f t="shared" si="39"/>
        <v>0.79286929878914447</v>
      </c>
      <c r="F530" s="190" t="str">
        <f t="shared" si="36"/>
        <v/>
      </c>
      <c r="H530" t="str">
        <f t="shared" si="38"/>
        <v/>
      </c>
      <c r="I530" s="190" t="str">
        <f t="shared" si="37"/>
        <v/>
      </c>
    </row>
    <row r="531" spans="1:9">
      <c r="A531">
        <v>528</v>
      </c>
      <c r="B531" s="46">
        <v>45149</v>
      </c>
      <c r="C531" s="169">
        <v>5.455991310786354</v>
      </c>
      <c r="D531" s="169">
        <v>15.940810769841702</v>
      </c>
      <c r="E531" s="169">
        <f t="shared" si="39"/>
        <v>5.455991310786354</v>
      </c>
      <c r="F531" s="190" t="str">
        <f t="shared" si="36"/>
        <v/>
      </c>
      <c r="H531" t="str">
        <f t="shared" si="38"/>
        <v/>
      </c>
      <c r="I531" s="190" t="str">
        <f t="shared" si="37"/>
        <v/>
      </c>
    </row>
    <row r="532" spans="1:9">
      <c r="A532">
        <v>529</v>
      </c>
      <c r="B532" s="46">
        <v>45150</v>
      </c>
      <c r="C532" s="169">
        <v>0.80239395078728193</v>
      </c>
      <c r="D532" s="169">
        <v>15.940810769841702</v>
      </c>
      <c r="E532" s="169">
        <f t="shared" si="39"/>
        <v>0.80239395078728193</v>
      </c>
      <c r="F532" s="190" t="str">
        <f t="shared" si="36"/>
        <v/>
      </c>
      <c r="H532" t="str">
        <f t="shared" si="38"/>
        <v/>
      </c>
      <c r="I532" s="190" t="str">
        <f t="shared" si="37"/>
        <v/>
      </c>
    </row>
    <row r="533" spans="1:9">
      <c r="A533">
        <v>530</v>
      </c>
      <c r="B533" s="46">
        <v>45151</v>
      </c>
      <c r="C533" s="169">
        <v>0.93516316678728251</v>
      </c>
      <c r="D533" s="169">
        <v>15.940810769841702</v>
      </c>
      <c r="E533" s="169">
        <f t="shared" si="39"/>
        <v>0.93516316678728251</v>
      </c>
      <c r="F533" s="190" t="str">
        <f t="shared" si="36"/>
        <v/>
      </c>
      <c r="H533" t="str">
        <f t="shared" si="38"/>
        <v/>
      </c>
      <c r="I533" s="190" t="str">
        <f t="shared" si="37"/>
        <v/>
      </c>
    </row>
    <row r="534" spans="1:9">
      <c r="A534">
        <v>531</v>
      </c>
      <c r="B534" s="46">
        <v>45152</v>
      </c>
      <c r="C534" s="169">
        <v>0.7927689467872806</v>
      </c>
      <c r="D534" s="169">
        <v>15.940810769841702</v>
      </c>
      <c r="E534" s="169">
        <f t="shared" si="39"/>
        <v>0.7927689467872806</v>
      </c>
      <c r="F534" s="190" t="str">
        <f t="shared" si="36"/>
        <v/>
      </c>
      <c r="H534" t="str">
        <f t="shared" si="38"/>
        <v/>
      </c>
      <c r="I534" s="190" t="str">
        <f t="shared" si="37"/>
        <v/>
      </c>
    </row>
    <row r="535" spans="1:9">
      <c r="A535">
        <v>532</v>
      </c>
      <c r="B535" s="46">
        <v>45153</v>
      </c>
      <c r="C535" s="169">
        <v>1.0170399587863503</v>
      </c>
      <c r="D535" s="169">
        <v>15.940810769841702</v>
      </c>
      <c r="E535" s="169">
        <f t="shared" si="39"/>
        <v>1.0170399587863503</v>
      </c>
      <c r="F535" s="190" t="str">
        <f t="shared" si="36"/>
        <v>A</v>
      </c>
      <c r="G535" s="191">
        <f>IF(DAY(B535)=15,D535,"")</f>
        <v>15.940810769841702</v>
      </c>
      <c r="H535" t="str">
        <f t="shared" si="38"/>
        <v/>
      </c>
      <c r="I535" s="190" t="str">
        <f t="shared" si="37"/>
        <v>A</v>
      </c>
    </row>
    <row r="536" spans="1:9">
      <c r="A536">
        <v>533</v>
      </c>
      <c r="B536" s="46">
        <v>45154</v>
      </c>
      <c r="C536" s="169">
        <v>1.3471824894848832</v>
      </c>
      <c r="D536" s="169">
        <v>15.940810769841702</v>
      </c>
      <c r="E536" s="169">
        <f t="shared" si="39"/>
        <v>1.3471824894848832</v>
      </c>
      <c r="F536" s="190" t="str">
        <f t="shared" si="36"/>
        <v/>
      </c>
      <c r="H536" t="str">
        <f t="shared" si="38"/>
        <v/>
      </c>
      <c r="I536" s="190" t="str">
        <f t="shared" si="37"/>
        <v/>
      </c>
    </row>
    <row r="537" spans="1:9">
      <c r="A537">
        <v>534</v>
      </c>
      <c r="B537" s="46">
        <v>45155</v>
      </c>
      <c r="C537" s="169">
        <v>0.75471684948861006</v>
      </c>
      <c r="D537" s="169">
        <v>15.940810769841702</v>
      </c>
      <c r="E537" s="169">
        <f t="shared" si="39"/>
        <v>0.75471684948861006</v>
      </c>
      <c r="F537" s="190" t="str">
        <f t="shared" si="36"/>
        <v/>
      </c>
      <c r="H537" t="str">
        <f t="shared" si="38"/>
        <v/>
      </c>
      <c r="I537" s="190" t="str">
        <f t="shared" si="37"/>
        <v/>
      </c>
    </row>
    <row r="538" spans="1:9">
      <c r="A538">
        <v>535</v>
      </c>
      <c r="B538" s="46">
        <v>45156</v>
      </c>
      <c r="C538" s="169">
        <v>1.4968303974848822</v>
      </c>
      <c r="D538" s="169">
        <v>15.940810769841702</v>
      </c>
      <c r="E538" s="169">
        <f t="shared" si="39"/>
        <v>1.4968303974848822</v>
      </c>
      <c r="F538" s="190" t="str">
        <f t="shared" si="36"/>
        <v/>
      </c>
      <c r="H538" t="str">
        <f t="shared" si="38"/>
        <v/>
      </c>
      <c r="I538" s="190" t="str">
        <f t="shared" si="37"/>
        <v/>
      </c>
    </row>
    <row r="539" spans="1:9">
      <c r="A539">
        <v>536</v>
      </c>
      <c r="B539" s="46">
        <v>45157</v>
      </c>
      <c r="C539" s="169">
        <v>0.98054632948674769</v>
      </c>
      <c r="D539" s="169">
        <v>15.940810769841702</v>
      </c>
      <c r="E539" s="169">
        <f t="shared" si="39"/>
        <v>0.98054632948674769</v>
      </c>
      <c r="F539" s="190" t="str">
        <f t="shared" si="36"/>
        <v/>
      </c>
      <c r="H539" t="str">
        <f t="shared" si="38"/>
        <v/>
      </c>
      <c r="I539" s="190" t="str">
        <f t="shared" si="37"/>
        <v/>
      </c>
    </row>
    <row r="540" spans="1:9">
      <c r="A540">
        <v>537</v>
      </c>
      <c r="B540" s="46">
        <v>45158</v>
      </c>
      <c r="C540" s="169">
        <v>0.98118557748674717</v>
      </c>
      <c r="D540" s="169">
        <v>15.940810769841702</v>
      </c>
      <c r="E540" s="169">
        <f t="shared" si="39"/>
        <v>0.98118557748674717</v>
      </c>
      <c r="F540" s="190" t="str">
        <f t="shared" si="36"/>
        <v/>
      </c>
      <c r="H540" t="str">
        <f t="shared" si="38"/>
        <v/>
      </c>
      <c r="I540" s="190" t="str">
        <f t="shared" si="37"/>
        <v/>
      </c>
    </row>
    <row r="541" spans="1:9">
      <c r="A541">
        <v>538</v>
      </c>
      <c r="B541" s="46">
        <v>45159</v>
      </c>
      <c r="C541" s="169">
        <v>0.93594360148488343</v>
      </c>
      <c r="D541" s="169">
        <v>15.940810769841702</v>
      </c>
      <c r="E541" s="169">
        <f t="shared" si="39"/>
        <v>0.93594360148488343</v>
      </c>
      <c r="F541" s="190" t="str">
        <f t="shared" si="36"/>
        <v/>
      </c>
      <c r="H541" t="str">
        <f t="shared" si="38"/>
        <v/>
      </c>
      <c r="I541" s="190" t="str">
        <f t="shared" si="37"/>
        <v/>
      </c>
    </row>
    <row r="542" spans="1:9">
      <c r="A542">
        <v>539</v>
      </c>
      <c r="B542" s="46">
        <v>45160</v>
      </c>
      <c r="C542" s="169">
        <v>0.78725084548488666</v>
      </c>
      <c r="D542" s="169">
        <v>15.940810769841702</v>
      </c>
      <c r="E542" s="169">
        <f t="shared" si="39"/>
        <v>0.78725084548488666</v>
      </c>
      <c r="F542" s="190" t="str">
        <f t="shared" si="36"/>
        <v/>
      </c>
      <c r="H542" t="str">
        <f t="shared" si="38"/>
        <v/>
      </c>
      <c r="I542" s="190" t="str">
        <f t="shared" si="37"/>
        <v/>
      </c>
    </row>
    <row r="543" spans="1:9">
      <c r="A543">
        <v>540</v>
      </c>
      <c r="B543" s="46">
        <v>45161</v>
      </c>
      <c r="C543" s="169">
        <v>5.3613860599029071</v>
      </c>
      <c r="D543" s="169">
        <v>15.940810769841702</v>
      </c>
      <c r="E543" s="169">
        <f t="shared" si="39"/>
        <v>5.3613860599029071</v>
      </c>
      <c r="F543" s="190" t="str">
        <f t="shared" si="36"/>
        <v/>
      </c>
      <c r="H543" t="str">
        <f t="shared" si="38"/>
        <v/>
      </c>
      <c r="I543" s="190" t="str">
        <f t="shared" si="37"/>
        <v/>
      </c>
    </row>
    <row r="544" spans="1:9">
      <c r="A544">
        <v>541</v>
      </c>
      <c r="B544" s="46">
        <v>45162</v>
      </c>
      <c r="C544" s="169">
        <v>1.3795156158991813</v>
      </c>
      <c r="D544" s="169">
        <v>15.940810769841702</v>
      </c>
      <c r="E544" s="169">
        <f t="shared" si="39"/>
        <v>1.3795156158991813</v>
      </c>
      <c r="F544" s="190" t="str">
        <f t="shared" si="36"/>
        <v/>
      </c>
      <c r="H544" t="str">
        <f t="shared" si="38"/>
        <v/>
      </c>
      <c r="I544" s="190" t="str">
        <f t="shared" si="37"/>
        <v/>
      </c>
    </row>
    <row r="545" spans="1:9">
      <c r="A545">
        <v>542</v>
      </c>
      <c r="B545" s="46">
        <v>45163</v>
      </c>
      <c r="C545" s="169">
        <v>0.64003740790104346</v>
      </c>
      <c r="D545" s="169">
        <v>15.940810769841702</v>
      </c>
      <c r="E545" s="169">
        <f t="shared" si="39"/>
        <v>0.64003740790104346</v>
      </c>
      <c r="F545" s="190" t="str">
        <f t="shared" si="36"/>
        <v/>
      </c>
      <c r="H545" t="str">
        <f t="shared" si="38"/>
        <v/>
      </c>
      <c r="I545" s="190" t="str">
        <f t="shared" si="37"/>
        <v/>
      </c>
    </row>
    <row r="546" spans="1:9">
      <c r="A546">
        <v>543</v>
      </c>
      <c r="B546" s="46">
        <v>45164</v>
      </c>
      <c r="C546" s="169">
        <v>0.85277524390197501</v>
      </c>
      <c r="D546" s="169">
        <v>15.940810769841702</v>
      </c>
      <c r="E546" s="169">
        <f t="shared" si="39"/>
        <v>0.85277524390197501</v>
      </c>
      <c r="F546" s="190" t="str">
        <f t="shared" si="36"/>
        <v/>
      </c>
      <c r="H546" t="str">
        <f t="shared" si="38"/>
        <v/>
      </c>
      <c r="I546" s="190" t="str">
        <f t="shared" si="37"/>
        <v/>
      </c>
    </row>
    <row r="547" spans="1:9">
      <c r="A547">
        <v>544</v>
      </c>
      <c r="B547" s="46">
        <v>45165</v>
      </c>
      <c r="C547" s="169">
        <v>1.3342008999001118</v>
      </c>
      <c r="D547" s="169">
        <v>15.940810769841702</v>
      </c>
      <c r="E547" s="169">
        <f t="shared" si="39"/>
        <v>1.3342008999001118</v>
      </c>
      <c r="F547" s="190" t="str">
        <f t="shared" si="36"/>
        <v/>
      </c>
      <c r="H547" t="str">
        <f t="shared" si="38"/>
        <v/>
      </c>
      <c r="I547" s="190" t="str">
        <f t="shared" si="37"/>
        <v/>
      </c>
    </row>
    <row r="548" spans="1:9">
      <c r="A548">
        <v>545</v>
      </c>
      <c r="B548" s="46">
        <v>45166</v>
      </c>
      <c r="C548" s="169">
        <v>0.57709913590011275</v>
      </c>
      <c r="D548" s="169">
        <v>15.940810769841702</v>
      </c>
      <c r="E548" s="169">
        <f t="shared" si="39"/>
        <v>0.57709913590011275</v>
      </c>
      <c r="F548" s="190" t="str">
        <f t="shared" si="36"/>
        <v/>
      </c>
      <c r="H548" t="str">
        <f t="shared" si="38"/>
        <v/>
      </c>
      <c r="I548" s="190" t="str">
        <f t="shared" si="37"/>
        <v/>
      </c>
    </row>
    <row r="549" spans="1:9">
      <c r="A549">
        <v>546</v>
      </c>
      <c r="B549" s="46">
        <v>45167</v>
      </c>
      <c r="C549" s="169">
        <v>1.4900494078991797</v>
      </c>
      <c r="D549" s="169">
        <v>15.940810769841702</v>
      </c>
      <c r="E549" s="169">
        <f t="shared" si="39"/>
        <v>1.4900494078991797</v>
      </c>
      <c r="F549" s="190" t="str">
        <f t="shared" si="36"/>
        <v/>
      </c>
      <c r="H549" t="str">
        <f t="shared" si="38"/>
        <v/>
      </c>
      <c r="I549" s="190" t="str">
        <f t="shared" si="37"/>
        <v/>
      </c>
    </row>
    <row r="550" spans="1:9">
      <c r="A550">
        <v>547</v>
      </c>
      <c r="B550" s="46">
        <v>45168</v>
      </c>
      <c r="C550" s="169">
        <v>2.439024072921784</v>
      </c>
      <c r="D550" s="169">
        <v>15.940810769841702</v>
      </c>
      <c r="E550" s="169">
        <f t="shared" si="39"/>
        <v>2.439024072921784</v>
      </c>
      <c r="F550" s="190" t="str">
        <f t="shared" si="36"/>
        <v/>
      </c>
      <c r="H550" t="str">
        <f t="shared" si="38"/>
        <v/>
      </c>
      <c r="I550" s="190" t="str">
        <f t="shared" si="37"/>
        <v/>
      </c>
    </row>
    <row r="551" spans="1:9">
      <c r="A551">
        <v>548</v>
      </c>
      <c r="B551" s="46">
        <v>45169</v>
      </c>
      <c r="C551" s="169">
        <v>2.3962360889227128</v>
      </c>
      <c r="D551" s="169">
        <v>15.940810769841702</v>
      </c>
      <c r="E551" s="169">
        <f t="shared" si="39"/>
        <v>2.3962360889227128</v>
      </c>
      <c r="F551" s="190" t="str">
        <f t="shared" si="36"/>
        <v/>
      </c>
      <c r="H551" t="str">
        <f t="shared" si="38"/>
        <v/>
      </c>
      <c r="I551" s="190" t="str">
        <f t="shared" si="37"/>
        <v/>
      </c>
    </row>
    <row r="552" spans="1:9">
      <c r="A552">
        <v>549</v>
      </c>
      <c r="B552" s="46">
        <v>45170</v>
      </c>
      <c r="C552" s="169">
        <v>19.802804212921785</v>
      </c>
      <c r="D552" s="169">
        <v>20.220393285105605</v>
      </c>
      <c r="E552" s="169">
        <f t="shared" si="39"/>
        <v>19.802804212921785</v>
      </c>
      <c r="F552" s="190" t="str">
        <f t="shared" si="36"/>
        <v/>
      </c>
      <c r="H552" t="str">
        <f t="shared" si="38"/>
        <v/>
      </c>
      <c r="I552" s="190" t="str">
        <f t="shared" si="37"/>
        <v/>
      </c>
    </row>
    <row r="553" spans="1:9">
      <c r="A553">
        <v>550</v>
      </c>
      <c r="B553" s="46">
        <v>45171</v>
      </c>
      <c r="C553" s="169">
        <v>8.8364277529208515</v>
      </c>
      <c r="D553" s="169">
        <v>20.220393285105605</v>
      </c>
      <c r="E553" s="169">
        <f t="shared" si="39"/>
        <v>8.8364277529208515</v>
      </c>
      <c r="F553" s="190" t="str">
        <f t="shared" si="36"/>
        <v/>
      </c>
      <c r="H553" t="str">
        <f t="shared" si="38"/>
        <v/>
      </c>
      <c r="I553" s="190" t="str">
        <f t="shared" si="37"/>
        <v/>
      </c>
    </row>
    <row r="554" spans="1:9">
      <c r="A554">
        <v>551</v>
      </c>
      <c r="B554" s="46">
        <v>45172</v>
      </c>
      <c r="C554" s="169">
        <v>9.7225829929199215</v>
      </c>
      <c r="D554" s="169">
        <v>20.220393285105605</v>
      </c>
      <c r="E554" s="169">
        <f t="shared" si="39"/>
        <v>9.7225829929199215</v>
      </c>
      <c r="F554" s="190" t="str">
        <f t="shared" si="36"/>
        <v/>
      </c>
      <c r="H554" t="str">
        <f t="shared" si="38"/>
        <v/>
      </c>
      <c r="I554" s="190" t="str">
        <f t="shared" si="37"/>
        <v/>
      </c>
    </row>
    <row r="555" spans="1:9">
      <c r="A555">
        <v>552</v>
      </c>
      <c r="B555" s="46">
        <v>45173</v>
      </c>
      <c r="C555" s="169">
        <v>12.063968236922715</v>
      </c>
      <c r="D555" s="169">
        <v>20.220393285105605</v>
      </c>
      <c r="E555" s="169">
        <f t="shared" si="39"/>
        <v>12.063968236922715</v>
      </c>
      <c r="F555" s="190" t="str">
        <f t="shared" si="36"/>
        <v/>
      </c>
      <c r="H555" t="str">
        <f t="shared" si="38"/>
        <v/>
      </c>
      <c r="I555" s="190" t="str">
        <f t="shared" si="37"/>
        <v/>
      </c>
    </row>
    <row r="556" spans="1:9">
      <c r="A556">
        <v>553</v>
      </c>
      <c r="B556" s="46">
        <v>45174</v>
      </c>
      <c r="C556" s="169">
        <v>19.704329852921788</v>
      </c>
      <c r="D556" s="169">
        <v>20.220393285105605</v>
      </c>
      <c r="E556" s="169">
        <f t="shared" si="39"/>
        <v>19.704329852921788</v>
      </c>
      <c r="F556" s="190" t="str">
        <f t="shared" si="36"/>
        <v/>
      </c>
      <c r="H556" t="str">
        <f t="shared" si="38"/>
        <v/>
      </c>
      <c r="I556" s="190" t="str">
        <f t="shared" si="37"/>
        <v/>
      </c>
    </row>
    <row r="557" spans="1:9">
      <c r="A557">
        <v>554</v>
      </c>
      <c r="B557" s="46">
        <v>45175</v>
      </c>
      <c r="C557" s="169">
        <v>38.792895148574281</v>
      </c>
      <c r="D557" s="169">
        <v>20.220393285105605</v>
      </c>
      <c r="E557" s="169">
        <f t="shared" si="39"/>
        <v>20.220393285105605</v>
      </c>
      <c r="F557" s="190" t="str">
        <f t="shared" si="36"/>
        <v/>
      </c>
      <c r="H557" t="str">
        <f t="shared" si="38"/>
        <v/>
      </c>
      <c r="I557" s="190" t="str">
        <f t="shared" si="37"/>
        <v/>
      </c>
    </row>
    <row r="558" spans="1:9">
      <c r="A558">
        <v>555</v>
      </c>
      <c r="B558" s="46">
        <v>45176</v>
      </c>
      <c r="C558" s="169">
        <v>42.623226828575213</v>
      </c>
      <c r="D558" s="169">
        <v>20.220393285105605</v>
      </c>
      <c r="E558" s="169">
        <f t="shared" si="39"/>
        <v>20.220393285105605</v>
      </c>
      <c r="F558" s="190" t="str">
        <f t="shared" si="36"/>
        <v/>
      </c>
      <c r="H558" t="str">
        <f t="shared" si="38"/>
        <v/>
      </c>
      <c r="I558" s="190" t="str">
        <f t="shared" si="37"/>
        <v/>
      </c>
    </row>
    <row r="559" spans="1:9">
      <c r="A559">
        <v>556</v>
      </c>
      <c r="B559" s="46">
        <v>45177</v>
      </c>
      <c r="C559" s="169">
        <v>38.379404017574281</v>
      </c>
      <c r="D559" s="169">
        <v>20.220393285105605</v>
      </c>
      <c r="E559" s="169">
        <f t="shared" si="39"/>
        <v>20.220393285105605</v>
      </c>
      <c r="F559" s="190" t="str">
        <f t="shared" si="36"/>
        <v/>
      </c>
      <c r="H559" t="str">
        <f t="shared" si="38"/>
        <v/>
      </c>
      <c r="I559" s="190" t="str">
        <f t="shared" si="37"/>
        <v/>
      </c>
    </row>
    <row r="560" spans="1:9">
      <c r="A560">
        <v>557</v>
      </c>
      <c r="B560" s="46">
        <v>45178</v>
      </c>
      <c r="C560" s="169">
        <v>25.808062667576145</v>
      </c>
      <c r="D560" s="169">
        <v>20.220393285105605</v>
      </c>
      <c r="E560" s="169">
        <f t="shared" si="39"/>
        <v>20.220393285105605</v>
      </c>
      <c r="F560" s="190" t="str">
        <f t="shared" si="36"/>
        <v/>
      </c>
      <c r="H560" t="str">
        <f t="shared" si="38"/>
        <v/>
      </c>
      <c r="I560" s="190" t="str">
        <f t="shared" si="37"/>
        <v/>
      </c>
    </row>
    <row r="561" spans="1:9">
      <c r="A561">
        <v>558</v>
      </c>
      <c r="B561" s="46">
        <v>45179</v>
      </c>
      <c r="C561" s="169">
        <v>22.100200360575212</v>
      </c>
      <c r="D561" s="169">
        <v>20.220393285105605</v>
      </c>
      <c r="E561" s="169">
        <f t="shared" si="39"/>
        <v>20.220393285105605</v>
      </c>
      <c r="F561" s="190" t="str">
        <f t="shared" si="36"/>
        <v/>
      </c>
      <c r="H561" t="str">
        <f t="shared" si="38"/>
        <v/>
      </c>
      <c r="I561" s="190" t="str">
        <f t="shared" si="37"/>
        <v/>
      </c>
    </row>
    <row r="562" spans="1:9">
      <c r="A562">
        <v>559</v>
      </c>
      <c r="B562" s="46">
        <v>45180</v>
      </c>
      <c r="C562" s="169">
        <v>33.835374380574279</v>
      </c>
      <c r="D562" s="169">
        <v>20.220393285105605</v>
      </c>
      <c r="E562" s="169">
        <f t="shared" si="39"/>
        <v>20.220393285105605</v>
      </c>
      <c r="F562" s="190" t="str">
        <f t="shared" si="36"/>
        <v/>
      </c>
      <c r="H562" t="str">
        <f t="shared" si="38"/>
        <v/>
      </c>
      <c r="I562" s="190" t="str">
        <f t="shared" si="37"/>
        <v/>
      </c>
    </row>
    <row r="563" spans="1:9">
      <c r="A563">
        <v>560</v>
      </c>
      <c r="B563" s="46">
        <v>45181</v>
      </c>
      <c r="C563" s="169">
        <v>35.609643696575212</v>
      </c>
      <c r="D563" s="169">
        <v>20.220393285105605</v>
      </c>
      <c r="E563" s="169">
        <f t="shared" si="39"/>
        <v>20.220393285105605</v>
      </c>
      <c r="F563" s="190" t="str">
        <f t="shared" si="36"/>
        <v/>
      </c>
      <c r="H563" t="str">
        <f t="shared" si="38"/>
        <v/>
      </c>
      <c r="I563" s="190" t="str">
        <f t="shared" si="37"/>
        <v/>
      </c>
    </row>
    <row r="564" spans="1:9">
      <c r="A564">
        <v>561</v>
      </c>
      <c r="B564" s="46">
        <v>45182</v>
      </c>
      <c r="C564" s="169">
        <v>20.692340154021089</v>
      </c>
      <c r="D564" s="169">
        <v>20.220393285105605</v>
      </c>
      <c r="E564" s="169">
        <f t="shared" si="39"/>
        <v>20.220393285105605</v>
      </c>
      <c r="F564" s="190" t="str">
        <f t="shared" si="36"/>
        <v/>
      </c>
      <c r="H564" t="str">
        <f t="shared" si="38"/>
        <v/>
      </c>
      <c r="I564" s="190" t="str">
        <f t="shared" si="37"/>
        <v/>
      </c>
    </row>
    <row r="565" spans="1:9">
      <c r="A565">
        <v>562</v>
      </c>
      <c r="B565" s="46">
        <v>45183</v>
      </c>
      <c r="C565" s="169">
        <v>18.260814747020159</v>
      </c>
      <c r="D565" s="169">
        <v>20.220393285105605</v>
      </c>
      <c r="E565" s="169">
        <f t="shared" si="39"/>
        <v>18.260814747020159</v>
      </c>
      <c r="F565" s="190" t="str">
        <f t="shared" si="36"/>
        <v/>
      </c>
      <c r="H565" t="str">
        <f t="shared" si="38"/>
        <v/>
      </c>
      <c r="I565" s="190" t="str">
        <f t="shared" si="37"/>
        <v/>
      </c>
    </row>
    <row r="566" spans="1:9">
      <c r="A566">
        <v>563</v>
      </c>
      <c r="B566" s="46">
        <v>45184</v>
      </c>
      <c r="C566" s="169">
        <v>24.51274495701923</v>
      </c>
      <c r="D566" s="169">
        <v>20.220393285105605</v>
      </c>
      <c r="E566" s="169">
        <f t="shared" si="39"/>
        <v>20.220393285105605</v>
      </c>
      <c r="F566" s="190" t="str">
        <f t="shared" si="36"/>
        <v>S</v>
      </c>
      <c r="G566" s="191">
        <f>IF(DAY(B566)=15,D566,"")</f>
        <v>20.220393285105605</v>
      </c>
      <c r="H566" t="str">
        <f t="shared" si="38"/>
        <v/>
      </c>
      <c r="I566" s="190" t="str">
        <f t="shared" si="37"/>
        <v>S</v>
      </c>
    </row>
    <row r="567" spans="1:9">
      <c r="A567">
        <v>564</v>
      </c>
      <c r="B567" s="46">
        <v>45185</v>
      </c>
      <c r="C567" s="169">
        <v>17.613897146022019</v>
      </c>
      <c r="D567" s="169">
        <v>20.220393285105605</v>
      </c>
      <c r="E567" s="169">
        <f t="shared" si="39"/>
        <v>17.613897146022019</v>
      </c>
      <c r="F567" s="190" t="str">
        <f t="shared" si="36"/>
        <v/>
      </c>
      <c r="H567" t="str">
        <f t="shared" si="38"/>
        <v/>
      </c>
      <c r="I567" s="190" t="str">
        <f t="shared" si="37"/>
        <v/>
      </c>
    </row>
    <row r="568" spans="1:9">
      <c r="A568">
        <v>565</v>
      </c>
      <c r="B568" s="46">
        <v>45186</v>
      </c>
      <c r="C568" s="169">
        <v>8.9958853780192278</v>
      </c>
      <c r="D568" s="169">
        <v>20.220393285105605</v>
      </c>
      <c r="E568" s="169">
        <f t="shared" si="39"/>
        <v>8.9958853780192278</v>
      </c>
      <c r="F568" s="190" t="str">
        <f t="shared" si="36"/>
        <v/>
      </c>
      <c r="H568" t="str">
        <f t="shared" si="38"/>
        <v/>
      </c>
      <c r="I568" s="190" t="str">
        <f t="shared" si="37"/>
        <v/>
      </c>
    </row>
    <row r="569" spans="1:9">
      <c r="A569">
        <v>566</v>
      </c>
      <c r="B569" s="46">
        <v>45187</v>
      </c>
      <c r="C569" s="169">
        <v>25.248270350022022</v>
      </c>
      <c r="D569" s="169">
        <v>20.220393285105605</v>
      </c>
      <c r="E569" s="169">
        <f t="shared" si="39"/>
        <v>20.220393285105605</v>
      </c>
      <c r="F569" s="190" t="str">
        <f t="shared" si="36"/>
        <v/>
      </c>
      <c r="H569" t="str">
        <f t="shared" si="38"/>
        <v/>
      </c>
      <c r="I569" s="190" t="str">
        <f t="shared" si="37"/>
        <v/>
      </c>
    </row>
    <row r="570" spans="1:9">
      <c r="A570">
        <v>567</v>
      </c>
      <c r="B570" s="46">
        <v>45188</v>
      </c>
      <c r="C570" s="169">
        <v>25.563371466020158</v>
      </c>
      <c r="D570" s="169">
        <v>20.220393285105605</v>
      </c>
      <c r="E570" s="169">
        <f t="shared" si="39"/>
        <v>20.220393285105605</v>
      </c>
      <c r="F570" s="190" t="str">
        <f t="shared" si="36"/>
        <v/>
      </c>
      <c r="H570" t="str">
        <f t="shared" si="38"/>
        <v/>
      </c>
      <c r="I570" s="190" t="str">
        <f t="shared" si="37"/>
        <v/>
      </c>
    </row>
    <row r="571" spans="1:9">
      <c r="A571">
        <v>568</v>
      </c>
      <c r="B571" s="46">
        <v>45189</v>
      </c>
      <c r="C571" s="169">
        <v>21.948302107410477</v>
      </c>
      <c r="D571" s="169">
        <v>20.220393285105605</v>
      </c>
      <c r="E571" s="169">
        <f t="shared" si="39"/>
        <v>20.220393285105605</v>
      </c>
      <c r="F571" s="190" t="str">
        <f t="shared" si="36"/>
        <v/>
      </c>
      <c r="H571" t="str">
        <f t="shared" si="38"/>
        <v/>
      </c>
      <c r="I571" s="190" t="str">
        <f t="shared" si="37"/>
        <v/>
      </c>
    </row>
    <row r="572" spans="1:9">
      <c r="A572">
        <v>569</v>
      </c>
      <c r="B572" s="46">
        <v>45190</v>
      </c>
      <c r="C572" s="169">
        <v>12.867219731411408</v>
      </c>
      <c r="D572" s="169">
        <v>20.220393285105605</v>
      </c>
      <c r="E572" s="169">
        <f t="shared" si="39"/>
        <v>12.867219731411408</v>
      </c>
      <c r="F572" s="190" t="str">
        <f t="shared" si="36"/>
        <v/>
      </c>
      <c r="H572" t="str">
        <f t="shared" si="38"/>
        <v/>
      </c>
      <c r="I572" s="190" t="str">
        <f t="shared" si="37"/>
        <v/>
      </c>
    </row>
    <row r="573" spans="1:9">
      <c r="A573">
        <v>570</v>
      </c>
      <c r="B573" s="46">
        <v>45191</v>
      </c>
      <c r="C573" s="169">
        <v>24.258553983410479</v>
      </c>
      <c r="D573" s="169">
        <v>20.220393285105605</v>
      </c>
      <c r="E573" s="169">
        <f t="shared" si="39"/>
        <v>20.220393285105605</v>
      </c>
      <c r="F573" s="190" t="str">
        <f t="shared" si="36"/>
        <v/>
      </c>
      <c r="H573" t="str">
        <f t="shared" si="38"/>
        <v/>
      </c>
      <c r="I573" s="190" t="str">
        <f t="shared" si="37"/>
        <v/>
      </c>
    </row>
    <row r="574" spans="1:9">
      <c r="A574">
        <v>571</v>
      </c>
      <c r="B574" s="46">
        <v>45192</v>
      </c>
      <c r="C574" s="169">
        <v>17.477073947411409</v>
      </c>
      <c r="D574" s="169">
        <v>20.220393285105605</v>
      </c>
      <c r="E574" s="169">
        <f t="shared" si="39"/>
        <v>17.477073947411409</v>
      </c>
      <c r="F574" s="190" t="str">
        <f t="shared" si="36"/>
        <v/>
      </c>
      <c r="H574" t="str">
        <f t="shared" si="38"/>
        <v/>
      </c>
      <c r="I574" s="190" t="str">
        <f t="shared" si="37"/>
        <v/>
      </c>
    </row>
    <row r="575" spans="1:9">
      <c r="A575">
        <v>572</v>
      </c>
      <c r="B575" s="46">
        <v>45193</v>
      </c>
      <c r="C575" s="169">
        <v>16.451820575408615</v>
      </c>
      <c r="D575" s="169">
        <v>20.220393285105605</v>
      </c>
      <c r="E575" s="169">
        <f t="shared" si="39"/>
        <v>16.451820575408615</v>
      </c>
      <c r="F575" s="190" t="str">
        <f t="shared" si="36"/>
        <v/>
      </c>
      <c r="H575" t="str">
        <f t="shared" si="38"/>
        <v/>
      </c>
      <c r="I575" s="190" t="str">
        <f t="shared" si="37"/>
        <v/>
      </c>
    </row>
    <row r="576" spans="1:9">
      <c r="A576">
        <v>573</v>
      </c>
      <c r="B576" s="46">
        <v>45194</v>
      </c>
      <c r="C576" s="169">
        <v>32.104403671412342</v>
      </c>
      <c r="D576" s="169">
        <v>20.220393285105605</v>
      </c>
      <c r="E576" s="169">
        <f t="shared" si="39"/>
        <v>20.220393285105605</v>
      </c>
      <c r="F576" s="190" t="str">
        <f t="shared" si="36"/>
        <v/>
      </c>
      <c r="H576" t="str">
        <f t="shared" si="38"/>
        <v/>
      </c>
      <c r="I576" s="190" t="str">
        <f t="shared" si="37"/>
        <v/>
      </c>
    </row>
    <row r="577" spans="1:9">
      <c r="A577">
        <v>574</v>
      </c>
      <c r="B577" s="46">
        <v>45195</v>
      </c>
      <c r="C577" s="169">
        <v>33.938328899409541</v>
      </c>
      <c r="D577" s="169">
        <v>20.220393285105605</v>
      </c>
      <c r="E577" s="169">
        <f t="shared" si="39"/>
        <v>20.220393285105605</v>
      </c>
      <c r="F577" s="190" t="str">
        <f t="shared" si="36"/>
        <v/>
      </c>
      <c r="H577" t="str">
        <f t="shared" si="38"/>
        <v/>
      </c>
      <c r="I577" s="190" t="str">
        <f t="shared" si="37"/>
        <v/>
      </c>
    </row>
    <row r="578" spans="1:9">
      <c r="A578">
        <v>575</v>
      </c>
      <c r="B578" s="46">
        <v>45196</v>
      </c>
      <c r="C578" s="169">
        <v>20.90603436955811</v>
      </c>
      <c r="D578" s="169">
        <v>20.220393285105605</v>
      </c>
      <c r="E578" s="169">
        <f t="shared" si="39"/>
        <v>20.220393285105605</v>
      </c>
      <c r="F578" s="190" t="str">
        <f t="shared" si="36"/>
        <v/>
      </c>
      <c r="H578" t="str">
        <f t="shared" si="38"/>
        <v/>
      </c>
      <c r="I578" s="190" t="str">
        <f t="shared" si="37"/>
        <v/>
      </c>
    </row>
    <row r="579" spans="1:9">
      <c r="A579">
        <v>576</v>
      </c>
      <c r="B579" s="46">
        <v>45197</v>
      </c>
      <c r="C579" s="169">
        <v>18.33551687355904</v>
      </c>
      <c r="D579" s="169">
        <v>20.220393285105605</v>
      </c>
      <c r="E579" s="169">
        <f t="shared" si="39"/>
        <v>18.33551687355904</v>
      </c>
      <c r="F579" s="190" t="str">
        <f t="shared" ref="F579:F642" si="40">IF(DAY(B579)=15,IF(MONTH(B579)=1,"E",IF(MONTH(B579)=2,"F",IF(MONTH(B579)=3,"M",IF(MONTH(B579)=4,"A",IF(MONTH(B579)=5,"M",IF(MONTH(B579)=6,"J",IF(MONTH(B579)=7,"J",IF(MONTH(B579)=8,"A",IF(MONTH(B579)=9,"S",IF(MONTH(B579)=10,"O",IF(MONTH(B579)=11,"N",IF(MONTH(B579)=12,"D","")))))))))))),"")</f>
        <v/>
      </c>
      <c r="H579" t="str">
        <f t="shared" si="38"/>
        <v/>
      </c>
      <c r="I579" s="190" t="str">
        <f t="shared" si="37"/>
        <v/>
      </c>
    </row>
    <row r="580" spans="1:9">
      <c r="A580">
        <v>577</v>
      </c>
      <c r="B580" s="46">
        <v>45198</v>
      </c>
      <c r="C580" s="169">
        <v>20.135935989558106</v>
      </c>
      <c r="D580" s="169">
        <v>20.220393285105605</v>
      </c>
      <c r="E580" s="169">
        <f t="shared" si="39"/>
        <v>20.135935989558106</v>
      </c>
      <c r="F580" s="190" t="str">
        <f t="shared" si="40"/>
        <v/>
      </c>
      <c r="H580" t="str">
        <f t="shared" si="38"/>
        <v/>
      </c>
      <c r="I580" s="190" t="str">
        <f t="shared" ref="I580:I643" si="41">IF(DAY(B580)=15,IF(MONTH(B580)=1,"E",IF(MONTH(B580)=2,"F",IF(MONTH(B580)=3,"M",IF(MONTH(B580)=4,"A",IF(MONTH(B580)=5,"M",IF(MONTH(B580)=6,"J",IF(MONTH(B580)=7,"J",IF(MONTH(B580)=8,"A",IF(MONTH(B580)=9,"S",IF(MONTH(B580)=10,"O",IF(MONTH(B580)=11,"N",IF(MONTH(B580)=12,"D","")))))))))))),"")</f>
        <v/>
      </c>
    </row>
    <row r="581" spans="1:9">
      <c r="A581">
        <v>578</v>
      </c>
      <c r="B581" s="46">
        <v>45199</v>
      </c>
      <c r="C581" s="169">
        <v>4.0797406895590393</v>
      </c>
      <c r="D581" s="169">
        <v>20.220393285105605</v>
      </c>
      <c r="E581" s="169">
        <f t="shared" si="39"/>
        <v>4.0797406895590393</v>
      </c>
      <c r="F581" s="190" t="str">
        <f t="shared" si="40"/>
        <v/>
      </c>
      <c r="H581" t="str">
        <f t="shared" ref="H581:H644" si="42">IF(MONTH(B581)=1,IF(DAY(B581)=1,YEAR(B581),""),"")</f>
        <v/>
      </c>
      <c r="I581" s="190" t="str">
        <f t="shared" si="41"/>
        <v/>
      </c>
    </row>
    <row r="582" spans="1:9">
      <c r="A582">
        <v>579</v>
      </c>
      <c r="B582" s="46">
        <v>45200</v>
      </c>
      <c r="C582" s="169">
        <v>0.84823744955904112</v>
      </c>
      <c r="D582" s="169">
        <v>40.400211353346023</v>
      </c>
      <c r="E582" s="169">
        <f t="shared" si="39"/>
        <v>0.84823744955904112</v>
      </c>
      <c r="F582" s="190" t="str">
        <f t="shared" si="40"/>
        <v/>
      </c>
      <c r="H582" t="str">
        <f t="shared" si="42"/>
        <v/>
      </c>
      <c r="I582" s="190" t="str">
        <f t="shared" si="41"/>
        <v/>
      </c>
    </row>
    <row r="583" spans="1:9">
      <c r="A583">
        <v>580</v>
      </c>
      <c r="B583" s="46">
        <v>45201</v>
      </c>
      <c r="C583" s="169">
        <v>0.9602911375581098</v>
      </c>
      <c r="D583" s="169">
        <v>40.400211353346023</v>
      </c>
      <c r="E583" s="169">
        <f t="shared" si="39"/>
        <v>0.9602911375581098</v>
      </c>
      <c r="F583" s="190" t="str">
        <f t="shared" si="40"/>
        <v/>
      </c>
      <c r="H583" t="str">
        <f t="shared" si="42"/>
        <v/>
      </c>
      <c r="I583" s="190" t="str">
        <f t="shared" si="41"/>
        <v/>
      </c>
    </row>
    <row r="584" spans="1:9">
      <c r="A584">
        <v>581</v>
      </c>
      <c r="B584" s="46">
        <v>45202</v>
      </c>
      <c r="C584" s="169">
        <v>3.2073961695590407</v>
      </c>
      <c r="D584" s="169">
        <v>40.400211353346023</v>
      </c>
      <c r="E584" s="169">
        <f t="shared" si="39"/>
        <v>3.2073961695590407</v>
      </c>
      <c r="F584" s="190" t="str">
        <f t="shared" si="40"/>
        <v/>
      </c>
      <c r="H584" t="str">
        <f t="shared" si="42"/>
        <v/>
      </c>
      <c r="I584" s="190" t="str">
        <f t="shared" si="41"/>
        <v/>
      </c>
    </row>
    <row r="585" spans="1:9">
      <c r="A585">
        <v>582</v>
      </c>
      <c r="B585" s="46">
        <v>45203</v>
      </c>
      <c r="C585" s="169">
        <v>7.7128933218427083</v>
      </c>
      <c r="D585" s="169">
        <v>40.400211353346023</v>
      </c>
      <c r="E585" s="169">
        <f t="shared" si="39"/>
        <v>7.7128933218427083</v>
      </c>
      <c r="F585" s="190" t="str">
        <f t="shared" si="40"/>
        <v/>
      </c>
      <c r="H585" t="str">
        <f t="shared" si="42"/>
        <v/>
      </c>
      <c r="I585" s="190" t="str">
        <f t="shared" si="41"/>
        <v/>
      </c>
    </row>
    <row r="586" spans="1:9">
      <c r="A586">
        <v>583</v>
      </c>
      <c r="B586" s="46">
        <v>45204</v>
      </c>
      <c r="C586" s="169">
        <v>18.757089646844573</v>
      </c>
      <c r="D586" s="169">
        <v>40.400211353346023</v>
      </c>
      <c r="E586" s="169">
        <f t="shared" si="39"/>
        <v>18.757089646844573</v>
      </c>
      <c r="F586" s="190" t="str">
        <f t="shared" si="40"/>
        <v/>
      </c>
      <c r="H586" t="str">
        <f t="shared" si="42"/>
        <v/>
      </c>
      <c r="I586" s="190" t="str">
        <f t="shared" si="41"/>
        <v/>
      </c>
    </row>
    <row r="587" spans="1:9">
      <c r="A587">
        <v>584</v>
      </c>
      <c r="B587" s="46">
        <v>45205</v>
      </c>
      <c r="C587" s="169">
        <v>21.618682225843646</v>
      </c>
      <c r="D587" s="169">
        <v>40.400211353346023</v>
      </c>
      <c r="E587" s="169">
        <f t="shared" si="39"/>
        <v>21.618682225843646</v>
      </c>
      <c r="F587" s="190" t="str">
        <f t="shared" si="40"/>
        <v/>
      </c>
      <c r="H587" t="str">
        <f t="shared" si="42"/>
        <v/>
      </c>
      <c r="I587" s="190" t="str">
        <f t="shared" si="41"/>
        <v/>
      </c>
    </row>
    <row r="588" spans="1:9">
      <c r="A588">
        <v>585</v>
      </c>
      <c r="B588" s="46">
        <v>45206</v>
      </c>
      <c r="C588" s="169">
        <v>4.6228063218445712</v>
      </c>
      <c r="D588" s="169">
        <v>40.400211353346023</v>
      </c>
      <c r="E588" s="169">
        <f t="shared" si="39"/>
        <v>4.6228063218445712</v>
      </c>
      <c r="F588" s="190" t="str">
        <f t="shared" si="40"/>
        <v/>
      </c>
      <c r="H588" t="str">
        <f t="shared" si="42"/>
        <v/>
      </c>
      <c r="I588" s="190" t="str">
        <f t="shared" si="41"/>
        <v/>
      </c>
    </row>
    <row r="589" spans="1:9">
      <c r="A589">
        <v>586</v>
      </c>
      <c r="B589" s="46">
        <v>45207</v>
      </c>
      <c r="C589" s="169">
        <v>2.9587972828436397</v>
      </c>
      <c r="D589" s="169">
        <v>40.400211353346023</v>
      </c>
      <c r="E589" s="169">
        <f t="shared" si="39"/>
        <v>2.9587972828436397</v>
      </c>
      <c r="F589" s="190" t="str">
        <f t="shared" si="40"/>
        <v/>
      </c>
      <c r="H589" t="str">
        <f t="shared" si="42"/>
        <v/>
      </c>
      <c r="I589" s="190" t="str">
        <f t="shared" si="41"/>
        <v/>
      </c>
    </row>
    <row r="590" spans="1:9">
      <c r="A590">
        <v>587</v>
      </c>
      <c r="B590" s="46">
        <v>45208</v>
      </c>
      <c r="C590" s="169">
        <v>22.02844628484457</v>
      </c>
      <c r="D590" s="169">
        <v>40.400211353346023</v>
      </c>
      <c r="E590" s="169">
        <f t="shared" si="39"/>
        <v>22.02844628484457</v>
      </c>
      <c r="F590" s="190" t="str">
        <f t="shared" si="40"/>
        <v/>
      </c>
      <c r="H590" t="str">
        <f t="shared" si="42"/>
        <v/>
      </c>
      <c r="I590" s="190" t="str">
        <f t="shared" si="41"/>
        <v/>
      </c>
    </row>
    <row r="591" spans="1:9">
      <c r="A591">
        <v>588</v>
      </c>
      <c r="B591" s="46">
        <v>45209</v>
      </c>
      <c r="C591" s="169">
        <v>23.77941356184364</v>
      </c>
      <c r="D591" s="169">
        <v>40.400211353346023</v>
      </c>
      <c r="E591" s="169">
        <f t="shared" ref="E591:E654" si="43">IF(C591&lt;D591,C591,D591)</f>
        <v>23.77941356184364</v>
      </c>
      <c r="F591" s="190" t="str">
        <f t="shared" si="40"/>
        <v/>
      </c>
      <c r="H591" t="str">
        <f t="shared" si="42"/>
        <v/>
      </c>
      <c r="I591" s="190" t="str">
        <f t="shared" si="41"/>
        <v/>
      </c>
    </row>
    <row r="592" spans="1:9">
      <c r="A592">
        <v>589</v>
      </c>
      <c r="B592" s="46">
        <v>45210</v>
      </c>
      <c r="C592" s="169">
        <v>16.200307536526953</v>
      </c>
      <c r="D592" s="169">
        <v>40.400211353346023</v>
      </c>
      <c r="E592" s="169">
        <f t="shared" si="43"/>
        <v>16.200307536526953</v>
      </c>
      <c r="F592" s="190" t="str">
        <f t="shared" si="40"/>
        <v/>
      </c>
      <c r="H592" t="str">
        <f t="shared" si="42"/>
        <v/>
      </c>
      <c r="I592" s="190" t="str">
        <f t="shared" si="41"/>
        <v/>
      </c>
    </row>
    <row r="593" spans="1:9">
      <c r="A593">
        <v>590</v>
      </c>
      <c r="B593" s="46">
        <v>45211</v>
      </c>
      <c r="C593" s="169">
        <v>8.2141049895250902</v>
      </c>
      <c r="D593" s="169">
        <v>40.400211353346023</v>
      </c>
      <c r="E593" s="169">
        <f t="shared" si="43"/>
        <v>8.2141049895250902</v>
      </c>
      <c r="F593" s="190" t="str">
        <f t="shared" si="40"/>
        <v/>
      </c>
      <c r="H593" t="str">
        <f t="shared" si="42"/>
        <v/>
      </c>
      <c r="I593" s="190" t="str">
        <f t="shared" si="41"/>
        <v/>
      </c>
    </row>
    <row r="594" spans="1:9">
      <c r="A594">
        <v>591</v>
      </c>
      <c r="B594" s="46">
        <v>45212</v>
      </c>
      <c r="C594" s="169">
        <v>3.2859982715278822</v>
      </c>
      <c r="D594" s="169">
        <v>40.400211353346023</v>
      </c>
      <c r="E594" s="169">
        <f t="shared" si="43"/>
        <v>3.2859982715278822</v>
      </c>
      <c r="F594" s="190" t="str">
        <f t="shared" si="40"/>
        <v/>
      </c>
      <c r="H594" t="str">
        <f t="shared" si="42"/>
        <v/>
      </c>
      <c r="I594" s="190" t="str">
        <f t="shared" si="41"/>
        <v/>
      </c>
    </row>
    <row r="595" spans="1:9">
      <c r="A595">
        <v>592</v>
      </c>
      <c r="B595" s="46">
        <v>45213</v>
      </c>
      <c r="C595" s="169">
        <v>11.08688186452695</v>
      </c>
      <c r="D595" s="169">
        <v>40.400211353346023</v>
      </c>
      <c r="E595" s="169">
        <f t="shared" si="43"/>
        <v>11.08688186452695</v>
      </c>
      <c r="F595" s="190" t="str">
        <f t="shared" si="40"/>
        <v/>
      </c>
      <c r="H595" t="str">
        <f t="shared" si="42"/>
        <v/>
      </c>
      <c r="I595" s="190" t="str">
        <f t="shared" si="41"/>
        <v/>
      </c>
    </row>
    <row r="596" spans="1:9">
      <c r="A596">
        <v>593</v>
      </c>
      <c r="B596" s="46">
        <v>45214</v>
      </c>
      <c r="C596" s="169">
        <v>4.878889060526955</v>
      </c>
      <c r="D596" s="169">
        <v>40.400211353346023</v>
      </c>
      <c r="E596" s="169">
        <f t="shared" si="43"/>
        <v>4.878889060526955</v>
      </c>
      <c r="F596" s="190" t="str">
        <f t="shared" si="40"/>
        <v>O</v>
      </c>
      <c r="G596" s="191">
        <f>IF(DAY(B596)=15,D596,"")</f>
        <v>40.400211353346023</v>
      </c>
      <c r="H596" t="str">
        <f t="shared" si="42"/>
        <v/>
      </c>
      <c r="I596" s="190" t="str">
        <f t="shared" si="41"/>
        <v>O</v>
      </c>
    </row>
    <row r="597" spans="1:9">
      <c r="A597">
        <v>594</v>
      </c>
      <c r="B597" s="46">
        <v>45215</v>
      </c>
      <c r="C597" s="169">
        <v>26.990288200526951</v>
      </c>
      <c r="D597" s="169">
        <v>40.400211353346023</v>
      </c>
      <c r="E597" s="169">
        <f t="shared" si="43"/>
        <v>26.990288200526951</v>
      </c>
      <c r="F597" s="190" t="str">
        <f t="shared" si="40"/>
        <v/>
      </c>
      <c r="H597" t="str">
        <f t="shared" si="42"/>
        <v/>
      </c>
      <c r="I597" s="190" t="str">
        <f t="shared" si="41"/>
        <v/>
      </c>
    </row>
    <row r="598" spans="1:9">
      <c r="A598">
        <v>595</v>
      </c>
      <c r="B598" s="46">
        <v>45216</v>
      </c>
      <c r="C598" s="169">
        <v>4.7591329325269545</v>
      </c>
      <c r="D598" s="169">
        <v>40.400211353346023</v>
      </c>
      <c r="E598" s="169">
        <f t="shared" si="43"/>
        <v>4.7591329325269545</v>
      </c>
      <c r="F598" s="190" t="str">
        <f t="shared" si="40"/>
        <v/>
      </c>
      <c r="H598" t="str">
        <f t="shared" si="42"/>
        <v/>
      </c>
      <c r="I598" s="190" t="str">
        <f t="shared" si="41"/>
        <v/>
      </c>
    </row>
    <row r="599" spans="1:9">
      <c r="A599">
        <v>596</v>
      </c>
      <c r="B599" s="46">
        <v>45217</v>
      </c>
      <c r="C599" s="169">
        <v>69.301702732977404</v>
      </c>
      <c r="D599" s="169">
        <v>40.400211353346023</v>
      </c>
      <c r="E599" s="169">
        <f t="shared" si="43"/>
        <v>40.400211353346023</v>
      </c>
      <c r="F599" s="190" t="str">
        <f t="shared" si="40"/>
        <v/>
      </c>
      <c r="H599" t="str">
        <f t="shared" si="42"/>
        <v/>
      </c>
      <c r="I599" s="190" t="str">
        <f t="shared" si="41"/>
        <v/>
      </c>
    </row>
    <row r="600" spans="1:9">
      <c r="A600">
        <v>597</v>
      </c>
      <c r="B600" s="46">
        <v>45218</v>
      </c>
      <c r="C600" s="169">
        <v>76.788497715978323</v>
      </c>
      <c r="D600" s="169">
        <v>40.400211353346023</v>
      </c>
      <c r="E600" s="169">
        <f t="shared" si="43"/>
        <v>40.400211353346023</v>
      </c>
      <c r="F600" s="190" t="str">
        <f t="shared" si="40"/>
        <v/>
      </c>
      <c r="H600" t="str">
        <f t="shared" si="42"/>
        <v/>
      </c>
      <c r="I600" s="190" t="str">
        <f t="shared" si="41"/>
        <v/>
      </c>
    </row>
    <row r="601" spans="1:9">
      <c r="A601">
        <v>598</v>
      </c>
      <c r="B601" s="46">
        <v>45219</v>
      </c>
      <c r="C601" s="169">
        <v>88.607744400979271</v>
      </c>
      <c r="D601" s="169">
        <v>40.400211353346023</v>
      </c>
      <c r="E601" s="169">
        <f t="shared" si="43"/>
        <v>40.400211353346023</v>
      </c>
      <c r="F601" s="190" t="str">
        <f t="shared" si="40"/>
        <v/>
      </c>
      <c r="H601" t="str">
        <f t="shared" si="42"/>
        <v/>
      </c>
      <c r="I601" s="190" t="str">
        <f t="shared" si="41"/>
        <v/>
      </c>
    </row>
    <row r="602" spans="1:9">
      <c r="A602">
        <v>599</v>
      </c>
      <c r="B602" s="46">
        <v>45220</v>
      </c>
      <c r="C602" s="169">
        <v>94.690464856979261</v>
      </c>
      <c r="D602" s="169">
        <v>40.400211353346023</v>
      </c>
      <c r="E602" s="169">
        <f t="shared" si="43"/>
        <v>40.400211353346023</v>
      </c>
      <c r="F602" s="190" t="str">
        <f t="shared" si="40"/>
        <v/>
      </c>
      <c r="H602" t="str">
        <f t="shared" si="42"/>
        <v/>
      </c>
      <c r="I602" s="190" t="str">
        <f t="shared" si="41"/>
        <v/>
      </c>
    </row>
    <row r="603" spans="1:9">
      <c r="A603">
        <v>600</v>
      </c>
      <c r="B603" s="46">
        <v>45221</v>
      </c>
      <c r="C603" s="169">
        <v>103.0744109489774</v>
      </c>
      <c r="D603" s="169">
        <v>40.400211353346023</v>
      </c>
      <c r="E603" s="169">
        <f t="shared" si="43"/>
        <v>40.400211353346023</v>
      </c>
      <c r="F603" s="190" t="str">
        <f t="shared" si="40"/>
        <v/>
      </c>
      <c r="H603" t="str">
        <f t="shared" si="42"/>
        <v/>
      </c>
      <c r="I603" s="190" t="str">
        <f t="shared" si="41"/>
        <v/>
      </c>
    </row>
    <row r="604" spans="1:9">
      <c r="A604">
        <v>601</v>
      </c>
      <c r="B604" s="46">
        <v>45222</v>
      </c>
      <c r="C604" s="169">
        <v>121.68581367297928</v>
      </c>
      <c r="D604" s="169">
        <v>40.400211353346023</v>
      </c>
      <c r="E604" s="169">
        <f t="shared" si="43"/>
        <v>40.400211353346023</v>
      </c>
      <c r="F604" s="190" t="str">
        <f t="shared" si="40"/>
        <v/>
      </c>
      <c r="H604" t="str">
        <f t="shared" si="42"/>
        <v/>
      </c>
      <c r="I604" s="190" t="str">
        <f t="shared" si="41"/>
        <v/>
      </c>
    </row>
    <row r="605" spans="1:9">
      <c r="A605">
        <v>602</v>
      </c>
      <c r="B605" s="46">
        <v>45223</v>
      </c>
      <c r="C605" s="169">
        <v>99.479185400978338</v>
      </c>
      <c r="D605" s="169">
        <v>40.400211353346023</v>
      </c>
      <c r="E605" s="169">
        <f t="shared" si="43"/>
        <v>40.400211353346023</v>
      </c>
      <c r="F605" s="190" t="str">
        <f t="shared" si="40"/>
        <v/>
      </c>
      <c r="H605" t="str">
        <f t="shared" si="42"/>
        <v/>
      </c>
      <c r="I605" s="190" t="str">
        <f t="shared" si="41"/>
        <v/>
      </c>
    </row>
    <row r="606" spans="1:9">
      <c r="A606">
        <v>603</v>
      </c>
      <c r="B606" s="46">
        <v>45224</v>
      </c>
      <c r="C606" s="169">
        <v>153.27217943682234</v>
      </c>
      <c r="D606" s="169">
        <v>40.400211353346023</v>
      </c>
      <c r="E606" s="169">
        <f t="shared" si="43"/>
        <v>40.400211353346023</v>
      </c>
      <c r="F606" s="190" t="str">
        <f t="shared" si="40"/>
        <v/>
      </c>
      <c r="H606" t="str">
        <f t="shared" si="42"/>
        <v/>
      </c>
      <c r="I606" s="190" t="str">
        <f t="shared" si="41"/>
        <v/>
      </c>
    </row>
    <row r="607" spans="1:9">
      <c r="A607">
        <v>604</v>
      </c>
      <c r="B607" s="46">
        <v>45225</v>
      </c>
      <c r="C607" s="169">
        <v>159.0758643998214</v>
      </c>
      <c r="D607" s="169">
        <v>40.400211353346023</v>
      </c>
      <c r="E607" s="169">
        <f t="shared" si="43"/>
        <v>40.400211353346023</v>
      </c>
      <c r="F607" s="190" t="str">
        <f t="shared" si="40"/>
        <v/>
      </c>
      <c r="H607" t="str">
        <f t="shared" si="42"/>
        <v/>
      </c>
      <c r="I607" s="190" t="str">
        <f t="shared" si="41"/>
        <v/>
      </c>
    </row>
    <row r="608" spans="1:9">
      <c r="A608">
        <v>605</v>
      </c>
      <c r="B608" s="46">
        <v>45226</v>
      </c>
      <c r="C608" s="169">
        <v>171.12282010182233</v>
      </c>
      <c r="D608" s="169">
        <v>40.400211353346023</v>
      </c>
      <c r="E608" s="169">
        <f t="shared" si="43"/>
        <v>40.400211353346023</v>
      </c>
      <c r="F608" s="190" t="str">
        <f t="shared" si="40"/>
        <v/>
      </c>
      <c r="H608" t="str">
        <f t="shared" si="42"/>
        <v/>
      </c>
      <c r="I608" s="190" t="str">
        <f t="shared" si="41"/>
        <v/>
      </c>
    </row>
    <row r="609" spans="1:9">
      <c r="A609">
        <v>606</v>
      </c>
      <c r="B609" s="46">
        <v>45227</v>
      </c>
      <c r="C609" s="169">
        <v>165.19954648382142</v>
      </c>
      <c r="D609" s="169">
        <v>40.400211353346023</v>
      </c>
      <c r="E609" s="169">
        <f t="shared" si="43"/>
        <v>40.400211353346023</v>
      </c>
      <c r="F609" s="190" t="str">
        <f t="shared" si="40"/>
        <v/>
      </c>
      <c r="H609" t="str">
        <f t="shared" si="42"/>
        <v/>
      </c>
      <c r="I609" s="190" t="str">
        <f t="shared" si="41"/>
        <v/>
      </c>
    </row>
    <row r="610" spans="1:9">
      <c r="A610">
        <v>607</v>
      </c>
      <c r="B610" s="46">
        <v>45228</v>
      </c>
      <c r="C610" s="169">
        <v>176.09406028882233</v>
      </c>
      <c r="D610" s="169">
        <v>40.400211353346023</v>
      </c>
      <c r="E610" s="169">
        <f t="shared" si="43"/>
        <v>40.400211353346023</v>
      </c>
      <c r="F610" s="190" t="str">
        <f t="shared" si="40"/>
        <v/>
      </c>
      <c r="H610" t="str">
        <f t="shared" si="42"/>
        <v/>
      </c>
      <c r="I610" s="190" t="str">
        <f t="shared" si="41"/>
        <v/>
      </c>
    </row>
    <row r="611" spans="1:9">
      <c r="A611">
        <v>608</v>
      </c>
      <c r="B611" s="46">
        <v>45229</v>
      </c>
      <c r="C611" s="169">
        <v>183.32879985482234</v>
      </c>
      <c r="D611" s="169">
        <v>40.400211353346023</v>
      </c>
      <c r="E611" s="169">
        <f t="shared" si="43"/>
        <v>40.400211353346023</v>
      </c>
      <c r="F611" s="190" t="str">
        <f t="shared" si="40"/>
        <v/>
      </c>
      <c r="H611" t="str">
        <f t="shared" si="42"/>
        <v/>
      </c>
      <c r="I611" s="190" t="str">
        <f t="shared" si="41"/>
        <v/>
      </c>
    </row>
    <row r="612" spans="1:9">
      <c r="A612">
        <v>609</v>
      </c>
      <c r="B612" s="46">
        <v>45230</v>
      </c>
      <c r="C612" s="169">
        <v>207.29087419382046</v>
      </c>
      <c r="D612" s="169">
        <v>40.400211353346023</v>
      </c>
      <c r="E612" s="169">
        <f t="shared" si="43"/>
        <v>40.400211353346023</v>
      </c>
      <c r="F612" s="190" t="str">
        <f t="shared" si="40"/>
        <v/>
      </c>
      <c r="H612" t="str">
        <f t="shared" si="42"/>
        <v/>
      </c>
      <c r="I612" s="190" t="str">
        <f t="shared" si="41"/>
        <v/>
      </c>
    </row>
    <row r="613" spans="1:9">
      <c r="A613">
        <v>610</v>
      </c>
      <c r="B613" s="46">
        <v>45231</v>
      </c>
      <c r="C613" s="169">
        <v>252.34479253189818</v>
      </c>
      <c r="D613" s="169">
        <v>80.938788836501317</v>
      </c>
      <c r="E613" s="169">
        <f t="shared" si="43"/>
        <v>80.938788836501317</v>
      </c>
      <c r="F613" s="190" t="str">
        <f t="shared" si="40"/>
        <v/>
      </c>
      <c r="H613" t="str">
        <f t="shared" si="42"/>
        <v/>
      </c>
      <c r="I613" s="190" t="str">
        <f t="shared" si="41"/>
        <v/>
      </c>
    </row>
    <row r="614" spans="1:9">
      <c r="A614">
        <v>611</v>
      </c>
      <c r="B614" s="46">
        <v>45232</v>
      </c>
      <c r="C614" s="169">
        <v>252.82773148389819</v>
      </c>
      <c r="D614" s="169">
        <v>80.938788836501317</v>
      </c>
      <c r="E614" s="169">
        <f t="shared" si="43"/>
        <v>80.938788836501317</v>
      </c>
      <c r="F614" s="190" t="str">
        <f t="shared" si="40"/>
        <v/>
      </c>
      <c r="H614" t="str">
        <f t="shared" si="42"/>
        <v/>
      </c>
      <c r="I614" s="190" t="str">
        <f t="shared" si="41"/>
        <v/>
      </c>
    </row>
    <row r="615" spans="1:9">
      <c r="A615">
        <v>612</v>
      </c>
      <c r="B615" s="46">
        <v>45233</v>
      </c>
      <c r="C615" s="169">
        <v>262.46804328789818</v>
      </c>
      <c r="D615" s="169">
        <v>80.938788836501317</v>
      </c>
      <c r="E615" s="169">
        <f t="shared" si="43"/>
        <v>80.938788836501317</v>
      </c>
      <c r="F615" s="190" t="str">
        <f t="shared" si="40"/>
        <v/>
      </c>
      <c r="H615" t="str">
        <f t="shared" si="42"/>
        <v/>
      </c>
      <c r="I615" s="190" t="str">
        <f t="shared" si="41"/>
        <v/>
      </c>
    </row>
    <row r="616" spans="1:9">
      <c r="A616">
        <v>613</v>
      </c>
      <c r="B616" s="46">
        <v>45234</v>
      </c>
      <c r="C616" s="169">
        <v>260.0598686118982</v>
      </c>
      <c r="D616" s="169">
        <v>80.938788836501317</v>
      </c>
      <c r="E616" s="169">
        <f t="shared" si="43"/>
        <v>80.938788836501317</v>
      </c>
      <c r="F616" s="190" t="str">
        <f t="shared" si="40"/>
        <v/>
      </c>
      <c r="H616" t="str">
        <f t="shared" si="42"/>
        <v/>
      </c>
      <c r="I616" s="190" t="str">
        <f t="shared" si="41"/>
        <v/>
      </c>
    </row>
    <row r="617" spans="1:9">
      <c r="A617">
        <v>614</v>
      </c>
      <c r="B617" s="46">
        <v>45235</v>
      </c>
      <c r="C617" s="169">
        <v>259.1792416438991</v>
      </c>
      <c r="D617" s="169">
        <v>80.938788836501317</v>
      </c>
      <c r="E617" s="169">
        <f t="shared" si="43"/>
        <v>80.938788836501317</v>
      </c>
      <c r="F617" s="190" t="str">
        <f t="shared" si="40"/>
        <v/>
      </c>
      <c r="H617" t="str">
        <f t="shared" si="42"/>
        <v/>
      </c>
      <c r="I617" s="190" t="str">
        <f t="shared" si="41"/>
        <v/>
      </c>
    </row>
    <row r="618" spans="1:9">
      <c r="A618">
        <v>615</v>
      </c>
      <c r="B618" s="46">
        <v>45236</v>
      </c>
      <c r="C618" s="169">
        <v>270.53833565289727</v>
      </c>
      <c r="D618" s="169">
        <v>80.938788836501317</v>
      </c>
      <c r="E618" s="169">
        <f t="shared" si="43"/>
        <v>80.938788836501317</v>
      </c>
      <c r="F618" s="190" t="str">
        <f t="shared" si="40"/>
        <v/>
      </c>
      <c r="H618" t="str">
        <f t="shared" si="42"/>
        <v/>
      </c>
      <c r="I618" s="190" t="str">
        <f t="shared" si="41"/>
        <v/>
      </c>
    </row>
    <row r="619" spans="1:9">
      <c r="A619">
        <v>616</v>
      </c>
      <c r="B619" s="46">
        <v>45237</v>
      </c>
      <c r="C619" s="169">
        <v>287.01657496989912</v>
      </c>
      <c r="D619" s="169">
        <v>80.938788836501317</v>
      </c>
      <c r="E619" s="169">
        <f t="shared" si="43"/>
        <v>80.938788836501317</v>
      </c>
      <c r="F619" s="190" t="str">
        <f t="shared" si="40"/>
        <v/>
      </c>
      <c r="H619" t="str">
        <f t="shared" si="42"/>
        <v/>
      </c>
      <c r="I619" s="190" t="str">
        <f t="shared" si="41"/>
        <v/>
      </c>
    </row>
    <row r="620" spans="1:9">
      <c r="A620">
        <v>617</v>
      </c>
      <c r="B620" s="46">
        <v>45238</v>
      </c>
      <c r="C620" s="169">
        <v>200.27169127970353</v>
      </c>
      <c r="D620" s="169">
        <v>80.938788836501317</v>
      </c>
      <c r="E620" s="169">
        <f t="shared" si="43"/>
        <v>80.938788836501317</v>
      </c>
      <c r="F620" s="190" t="str">
        <f t="shared" si="40"/>
        <v/>
      </c>
      <c r="H620" t="str">
        <f t="shared" si="42"/>
        <v/>
      </c>
      <c r="I620" s="190" t="str">
        <f t="shared" si="41"/>
        <v/>
      </c>
    </row>
    <row r="621" spans="1:9">
      <c r="A621">
        <v>618</v>
      </c>
      <c r="B621" s="46">
        <v>45239</v>
      </c>
      <c r="C621" s="169">
        <v>191.20337301370165</v>
      </c>
      <c r="D621" s="169">
        <v>80.938788836501317</v>
      </c>
      <c r="E621" s="169">
        <f t="shared" si="43"/>
        <v>80.938788836501317</v>
      </c>
      <c r="F621" s="190" t="str">
        <f t="shared" si="40"/>
        <v/>
      </c>
      <c r="H621" t="str">
        <f t="shared" si="42"/>
        <v/>
      </c>
      <c r="I621" s="190" t="str">
        <f t="shared" si="41"/>
        <v/>
      </c>
    </row>
    <row r="622" spans="1:9">
      <c r="A622">
        <v>619</v>
      </c>
      <c r="B622" s="46">
        <v>45240</v>
      </c>
      <c r="C622" s="169">
        <v>188.93015086770166</v>
      </c>
      <c r="D622" s="169">
        <v>80.938788836501317</v>
      </c>
      <c r="E622" s="169">
        <f t="shared" si="43"/>
        <v>80.938788836501317</v>
      </c>
      <c r="F622" s="190" t="str">
        <f t="shared" si="40"/>
        <v/>
      </c>
      <c r="H622" t="str">
        <f t="shared" si="42"/>
        <v/>
      </c>
      <c r="I622" s="190" t="str">
        <f t="shared" si="41"/>
        <v/>
      </c>
    </row>
    <row r="623" spans="1:9">
      <c r="A623">
        <v>620</v>
      </c>
      <c r="B623" s="46">
        <v>45241</v>
      </c>
      <c r="C623" s="169">
        <v>163.91813598970353</v>
      </c>
      <c r="D623" s="169">
        <v>80.938788836501317</v>
      </c>
      <c r="E623" s="169">
        <f t="shared" si="43"/>
        <v>80.938788836501317</v>
      </c>
      <c r="F623" s="190" t="str">
        <f t="shared" si="40"/>
        <v/>
      </c>
      <c r="H623" t="str">
        <f t="shared" si="42"/>
        <v/>
      </c>
      <c r="I623" s="190" t="str">
        <f t="shared" si="41"/>
        <v/>
      </c>
    </row>
    <row r="624" spans="1:9">
      <c r="A624">
        <v>621</v>
      </c>
      <c r="B624" s="46">
        <v>45242</v>
      </c>
      <c r="C624" s="169">
        <v>169.85295779870353</v>
      </c>
      <c r="D624" s="169">
        <v>80.938788836501317</v>
      </c>
      <c r="E624" s="169">
        <f t="shared" si="43"/>
        <v>80.938788836501317</v>
      </c>
      <c r="F624" s="190" t="str">
        <f t="shared" si="40"/>
        <v/>
      </c>
      <c r="H624" t="str">
        <f t="shared" si="42"/>
        <v/>
      </c>
      <c r="I624" s="190" t="str">
        <f t="shared" si="41"/>
        <v/>
      </c>
    </row>
    <row r="625" spans="1:9">
      <c r="A625">
        <v>622</v>
      </c>
      <c r="B625" s="46">
        <v>45243</v>
      </c>
      <c r="C625" s="169">
        <v>185.62598372670351</v>
      </c>
      <c r="D625" s="169">
        <v>80.938788836501317</v>
      </c>
      <c r="E625" s="169">
        <f t="shared" si="43"/>
        <v>80.938788836501317</v>
      </c>
      <c r="F625" s="190" t="str">
        <f t="shared" si="40"/>
        <v/>
      </c>
      <c r="H625" t="str">
        <f t="shared" si="42"/>
        <v/>
      </c>
      <c r="I625" s="190" t="str">
        <f t="shared" si="41"/>
        <v/>
      </c>
    </row>
    <row r="626" spans="1:9">
      <c r="A626">
        <v>623</v>
      </c>
      <c r="B626" s="46">
        <v>45244</v>
      </c>
      <c r="C626" s="169">
        <v>194.15288173870167</v>
      </c>
      <c r="D626" s="169">
        <v>80.938788836501317</v>
      </c>
      <c r="E626" s="169">
        <f t="shared" si="43"/>
        <v>80.938788836501317</v>
      </c>
      <c r="F626" s="190" t="str">
        <f t="shared" si="40"/>
        <v/>
      </c>
      <c r="H626" t="str">
        <f t="shared" si="42"/>
        <v/>
      </c>
      <c r="I626" s="190" t="str">
        <f t="shared" si="41"/>
        <v/>
      </c>
    </row>
    <row r="627" spans="1:9">
      <c r="A627">
        <v>624</v>
      </c>
      <c r="B627" s="46">
        <v>45245</v>
      </c>
      <c r="C627" s="169">
        <v>136.04036127041906</v>
      </c>
      <c r="D627" s="169">
        <v>80.938788836501317</v>
      </c>
      <c r="E627" s="169">
        <f t="shared" si="43"/>
        <v>80.938788836501317</v>
      </c>
      <c r="F627" s="190" t="str">
        <f t="shared" si="40"/>
        <v>N</v>
      </c>
      <c r="G627" s="191">
        <f>IF(DAY(B627)=15,D627,"")</f>
        <v>80.938788836501317</v>
      </c>
      <c r="H627" t="str">
        <f t="shared" si="42"/>
        <v/>
      </c>
      <c r="I627" s="190" t="str">
        <f t="shared" si="41"/>
        <v>N</v>
      </c>
    </row>
    <row r="628" spans="1:9">
      <c r="A628">
        <v>625</v>
      </c>
      <c r="B628" s="46">
        <v>45246</v>
      </c>
      <c r="C628" s="169">
        <v>136.99093102641908</v>
      </c>
      <c r="D628" s="169">
        <v>80.938788836501317</v>
      </c>
      <c r="E628" s="169">
        <f t="shared" si="43"/>
        <v>80.938788836501317</v>
      </c>
      <c r="F628" s="190" t="str">
        <f t="shared" si="40"/>
        <v/>
      </c>
      <c r="H628" t="str">
        <f t="shared" si="42"/>
        <v/>
      </c>
      <c r="I628" s="190" t="str">
        <f t="shared" si="41"/>
        <v/>
      </c>
    </row>
    <row r="629" spans="1:9">
      <c r="A629">
        <v>626</v>
      </c>
      <c r="B629" s="46">
        <v>45247</v>
      </c>
      <c r="C629" s="169">
        <v>152.77397935041907</v>
      </c>
      <c r="D629" s="169">
        <v>80.938788836501317</v>
      </c>
      <c r="E629" s="169">
        <f t="shared" si="43"/>
        <v>80.938788836501317</v>
      </c>
      <c r="F629" s="190" t="str">
        <f t="shared" si="40"/>
        <v/>
      </c>
      <c r="H629" t="str">
        <f t="shared" si="42"/>
        <v/>
      </c>
      <c r="I629" s="190" t="str">
        <f t="shared" si="41"/>
        <v/>
      </c>
    </row>
    <row r="630" spans="1:9">
      <c r="A630">
        <v>627</v>
      </c>
      <c r="B630" s="46">
        <v>45248</v>
      </c>
      <c r="C630" s="169">
        <v>146.69987278242093</v>
      </c>
      <c r="D630" s="169">
        <v>80.938788836501317</v>
      </c>
      <c r="E630" s="169">
        <f t="shared" si="43"/>
        <v>80.938788836501317</v>
      </c>
      <c r="F630" s="190" t="str">
        <f t="shared" si="40"/>
        <v/>
      </c>
      <c r="H630" t="str">
        <f t="shared" si="42"/>
        <v/>
      </c>
      <c r="I630" s="190" t="str">
        <f t="shared" si="41"/>
        <v/>
      </c>
    </row>
    <row r="631" spans="1:9">
      <c r="A631">
        <v>628</v>
      </c>
      <c r="B631" s="46">
        <v>45249</v>
      </c>
      <c r="C631" s="169">
        <v>112.86533377041907</v>
      </c>
      <c r="D631" s="169">
        <v>80.938788836501317</v>
      </c>
      <c r="E631" s="169">
        <f t="shared" si="43"/>
        <v>80.938788836501317</v>
      </c>
      <c r="F631" s="190" t="str">
        <f t="shared" si="40"/>
        <v/>
      </c>
      <c r="H631" t="str">
        <f t="shared" si="42"/>
        <v/>
      </c>
      <c r="I631" s="190" t="str">
        <f t="shared" si="41"/>
        <v/>
      </c>
    </row>
    <row r="632" spans="1:9">
      <c r="A632">
        <v>629</v>
      </c>
      <c r="B632" s="46">
        <v>45250</v>
      </c>
      <c r="C632" s="169">
        <v>132.75218811441906</v>
      </c>
      <c r="D632" s="169">
        <v>80.938788836501317</v>
      </c>
      <c r="E632" s="169">
        <f t="shared" si="43"/>
        <v>80.938788836501317</v>
      </c>
      <c r="F632" s="190" t="str">
        <f t="shared" si="40"/>
        <v/>
      </c>
      <c r="H632" t="str">
        <f t="shared" si="42"/>
        <v/>
      </c>
      <c r="I632" s="190" t="str">
        <f t="shared" si="41"/>
        <v/>
      </c>
    </row>
    <row r="633" spans="1:9">
      <c r="A633">
        <v>630</v>
      </c>
      <c r="B633" s="46">
        <v>45251</v>
      </c>
      <c r="C633" s="169">
        <v>95.756374298420923</v>
      </c>
      <c r="D633" s="169">
        <v>80.938788836501317</v>
      </c>
      <c r="E633" s="169">
        <f t="shared" si="43"/>
        <v>80.938788836501317</v>
      </c>
      <c r="F633" s="190" t="str">
        <f t="shared" si="40"/>
        <v/>
      </c>
      <c r="H633" t="str">
        <f t="shared" si="42"/>
        <v/>
      </c>
      <c r="I633" s="190" t="str">
        <f t="shared" si="41"/>
        <v/>
      </c>
    </row>
    <row r="634" spans="1:9">
      <c r="A634">
        <v>631</v>
      </c>
      <c r="B634" s="46">
        <v>45252</v>
      </c>
      <c r="C634" s="169">
        <v>53.644299812797733</v>
      </c>
      <c r="D634" s="169">
        <v>80.938788836501317</v>
      </c>
      <c r="E634" s="169">
        <f t="shared" si="43"/>
        <v>53.644299812797733</v>
      </c>
      <c r="F634" s="190" t="str">
        <f t="shared" si="40"/>
        <v/>
      </c>
      <c r="H634" t="str">
        <f t="shared" si="42"/>
        <v/>
      </c>
      <c r="I634" s="190" t="str">
        <f t="shared" si="41"/>
        <v/>
      </c>
    </row>
    <row r="635" spans="1:9">
      <c r="A635">
        <v>632</v>
      </c>
      <c r="B635" s="46">
        <v>45253</v>
      </c>
      <c r="C635" s="169">
        <v>68.63053512879587</v>
      </c>
      <c r="D635" s="169">
        <v>80.938788836501317</v>
      </c>
      <c r="E635" s="169">
        <f t="shared" si="43"/>
        <v>68.63053512879587</v>
      </c>
      <c r="F635" s="190" t="str">
        <f t="shared" si="40"/>
        <v/>
      </c>
      <c r="H635" t="str">
        <f t="shared" si="42"/>
        <v/>
      </c>
      <c r="I635" s="190" t="str">
        <f t="shared" si="41"/>
        <v/>
      </c>
    </row>
    <row r="636" spans="1:9">
      <c r="A636">
        <v>633</v>
      </c>
      <c r="B636" s="46">
        <v>45254</v>
      </c>
      <c r="C636" s="169">
        <v>81.573578988797735</v>
      </c>
      <c r="D636" s="169">
        <v>80.938788836501317</v>
      </c>
      <c r="E636" s="169">
        <f t="shared" si="43"/>
        <v>80.938788836501317</v>
      </c>
      <c r="F636" s="190" t="str">
        <f t="shared" si="40"/>
        <v/>
      </c>
      <c r="H636" t="str">
        <f t="shared" si="42"/>
        <v/>
      </c>
      <c r="I636" s="190" t="str">
        <f t="shared" si="41"/>
        <v/>
      </c>
    </row>
    <row r="637" spans="1:9">
      <c r="A637">
        <v>634</v>
      </c>
      <c r="B637" s="46">
        <v>45255</v>
      </c>
      <c r="C637" s="169">
        <v>77.610073240797732</v>
      </c>
      <c r="D637" s="169">
        <v>80.938788836501317</v>
      </c>
      <c r="E637" s="169">
        <f t="shared" si="43"/>
        <v>77.610073240797732</v>
      </c>
      <c r="F637" s="190" t="str">
        <f t="shared" si="40"/>
        <v/>
      </c>
      <c r="H637" t="str">
        <f t="shared" si="42"/>
        <v/>
      </c>
      <c r="I637" s="190" t="str">
        <f t="shared" si="41"/>
        <v/>
      </c>
    </row>
    <row r="638" spans="1:9">
      <c r="A638">
        <v>635</v>
      </c>
      <c r="B638" s="46">
        <v>45256</v>
      </c>
      <c r="C638" s="169">
        <v>119.08774744079774</v>
      </c>
      <c r="D638" s="169">
        <v>80.938788836501317</v>
      </c>
      <c r="E638" s="169">
        <f t="shared" si="43"/>
        <v>80.938788836501317</v>
      </c>
      <c r="F638" s="190" t="str">
        <f t="shared" si="40"/>
        <v/>
      </c>
      <c r="H638" t="str">
        <f t="shared" si="42"/>
        <v/>
      </c>
      <c r="I638" s="190" t="str">
        <f t="shared" si="41"/>
        <v/>
      </c>
    </row>
    <row r="639" spans="1:9">
      <c r="A639">
        <v>636</v>
      </c>
      <c r="B639" s="46">
        <v>45257</v>
      </c>
      <c r="C639" s="169">
        <v>115.80241880879586</v>
      </c>
      <c r="D639" s="169">
        <v>80.938788836501317</v>
      </c>
      <c r="E639" s="169">
        <f t="shared" si="43"/>
        <v>80.938788836501317</v>
      </c>
      <c r="F639" s="190" t="str">
        <f t="shared" si="40"/>
        <v/>
      </c>
      <c r="H639" t="str">
        <f t="shared" si="42"/>
        <v/>
      </c>
      <c r="I639" s="190" t="str">
        <f t="shared" si="41"/>
        <v/>
      </c>
    </row>
    <row r="640" spans="1:9">
      <c r="A640">
        <v>637</v>
      </c>
      <c r="B640" s="46">
        <v>45258</v>
      </c>
      <c r="C640" s="169">
        <v>111.20884823679772</v>
      </c>
      <c r="D640" s="169">
        <v>80.938788836501317</v>
      </c>
      <c r="E640" s="169">
        <f t="shared" si="43"/>
        <v>80.938788836501317</v>
      </c>
      <c r="F640" s="190" t="str">
        <f t="shared" si="40"/>
        <v/>
      </c>
      <c r="H640" t="str">
        <f t="shared" si="42"/>
        <v/>
      </c>
      <c r="I640" s="190" t="str">
        <f t="shared" si="41"/>
        <v/>
      </c>
    </row>
    <row r="641" spans="1:9">
      <c r="A641">
        <v>638</v>
      </c>
      <c r="B641" s="46">
        <v>45259</v>
      </c>
      <c r="C641" s="169">
        <v>137.62113917065372</v>
      </c>
      <c r="D641" s="169">
        <v>80.938788836501317</v>
      </c>
      <c r="E641" s="169">
        <f t="shared" si="43"/>
        <v>80.938788836501317</v>
      </c>
      <c r="F641" s="190" t="str">
        <f t="shared" si="40"/>
        <v/>
      </c>
      <c r="H641" t="str">
        <f t="shared" si="42"/>
        <v/>
      </c>
      <c r="I641" s="190" t="str">
        <f t="shared" si="41"/>
        <v/>
      </c>
    </row>
    <row r="642" spans="1:9">
      <c r="A642">
        <v>639</v>
      </c>
      <c r="B642" s="46">
        <v>45260</v>
      </c>
      <c r="C642" s="169">
        <v>160.63037339865744</v>
      </c>
      <c r="D642" s="169">
        <v>80.938788836501317</v>
      </c>
      <c r="E642" s="169">
        <f t="shared" si="43"/>
        <v>80.938788836501317</v>
      </c>
      <c r="F642" s="190" t="str">
        <f t="shared" si="40"/>
        <v/>
      </c>
      <c r="H642" t="str">
        <f t="shared" si="42"/>
        <v/>
      </c>
      <c r="I642" s="190" t="str">
        <f t="shared" si="41"/>
        <v/>
      </c>
    </row>
    <row r="643" spans="1:9">
      <c r="A643">
        <v>640</v>
      </c>
      <c r="B643" s="46">
        <v>45261</v>
      </c>
      <c r="C643" s="169">
        <v>159.82295128265372</v>
      </c>
      <c r="D643" s="169">
        <v>105.77564059458246</v>
      </c>
      <c r="E643" s="169">
        <f t="shared" si="43"/>
        <v>105.77564059458246</v>
      </c>
      <c r="F643" s="190" t="str">
        <f t="shared" ref="F643:F706" si="44">IF(DAY(B643)=15,IF(MONTH(B643)=1,"E",IF(MONTH(B643)=2,"F",IF(MONTH(B643)=3,"M",IF(MONTH(B643)=4,"A",IF(MONTH(B643)=5,"M",IF(MONTH(B643)=6,"J",IF(MONTH(B643)=7,"J",IF(MONTH(B643)=8,"A",IF(MONTH(B643)=9,"S",IF(MONTH(B643)=10,"O",IF(MONTH(B643)=11,"N",IF(MONTH(B643)=12,"D","")))))))))))),"")</f>
        <v/>
      </c>
      <c r="H643" t="str">
        <f t="shared" si="42"/>
        <v/>
      </c>
      <c r="I643" s="190" t="str">
        <f t="shared" si="41"/>
        <v/>
      </c>
    </row>
    <row r="644" spans="1:9">
      <c r="A644">
        <v>641</v>
      </c>
      <c r="B644" s="46">
        <v>45262</v>
      </c>
      <c r="C644" s="169">
        <v>156.65278832665558</v>
      </c>
      <c r="D644" s="169">
        <v>105.77564059458246</v>
      </c>
      <c r="E644" s="169">
        <f t="shared" si="43"/>
        <v>105.77564059458246</v>
      </c>
      <c r="F644" s="190" t="str">
        <f t="shared" si="44"/>
        <v/>
      </c>
      <c r="H644" t="str">
        <f t="shared" si="42"/>
        <v/>
      </c>
      <c r="I644" s="190" t="str">
        <f t="shared" ref="I644:I707" si="45">IF(DAY(B644)=15,IF(MONTH(B644)=1,"E",IF(MONTH(B644)=2,"F",IF(MONTH(B644)=3,"M",IF(MONTH(B644)=4,"A",IF(MONTH(B644)=5,"M",IF(MONTH(B644)=6,"J",IF(MONTH(B644)=7,"J",IF(MONTH(B644)=8,"A",IF(MONTH(B644)=9,"S",IF(MONTH(B644)=10,"O",IF(MONTH(B644)=11,"N",IF(MONTH(B644)=12,"D","")))))))))))),"")</f>
        <v/>
      </c>
    </row>
    <row r="645" spans="1:9">
      <c r="A645">
        <v>642</v>
      </c>
      <c r="B645" s="46">
        <v>45263</v>
      </c>
      <c r="C645" s="169">
        <v>163.37818961465373</v>
      </c>
      <c r="D645" s="169">
        <v>105.77564059458246</v>
      </c>
      <c r="E645" s="169">
        <f t="shared" si="43"/>
        <v>105.77564059458246</v>
      </c>
      <c r="F645" s="190" t="str">
        <f t="shared" si="44"/>
        <v/>
      </c>
      <c r="H645" t="str">
        <f t="shared" ref="H645:H708" si="46">IF(MONTH(B645)=1,IF(DAY(B645)=1,YEAR(B645),""),"")</f>
        <v/>
      </c>
      <c r="I645" s="190" t="str">
        <f t="shared" si="45"/>
        <v/>
      </c>
    </row>
    <row r="646" spans="1:9">
      <c r="A646">
        <v>643</v>
      </c>
      <c r="B646" s="46">
        <v>45264</v>
      </c>
      <c r="C646" s="169">
        <v>170.60531195065747</v>
      </c>
      <c r="D646" s="169">
        <v>105.77564059458246</v>
      </c>
      <c r="E646" s="169">
        <f t="shared" si="43"/>
        <v>105.77564059458246</v>
      </c>
      <c r="F646" s="190" t="str">
        <f t="shared" si="44"/>
        <v/>
      </c>
      <c r="H646" t="str">
        <f t="shared" si="46"/>
        <v/>
      </c>
      <c r="I646" s="190" t="str">
        <f t="shared" si="45"/>
        <v/>
      </c>
    </row>
    <row r="647" spans="1:9">
      <c r="A647">
        <v>644</v>
      </c>
      <c r="B647" s="46">
        <v>45265</v>
      </c>
      <c r="C647" s="169">
        <v>199.93415958265373</v>
      </c>
      <c r="D647" s="169">
        <v>105.77564059458246</v>
      </c>
      <c r="E647" s="169">
        <f t="shared" si="43"/>
        <v>105.77564059458246</v>
      </c>
      <c r="F647" s="190" t="str">
        <f t="shared" si="44"/>
        <v/>
      </c>
      <c r="H647" t="str">
        <f t="shared" si="46"/>
        <v/>
      </c>
      <c r="I647" s="190" t="str">
        <f t="shared" si="45"/>
        <v/>
      </c>
    </row>
    <row r="648" spans="1:9">
      <c r="A648">
        <v>645</v>
      </c>
      <c r="B648" s="46">
        <v>45266</v>
      </c>
      <c r="C648" s="169">
        <v>203.09537113522717</v>
      </c>
      <c r="D648" s="169">
        <v>105.77564059458246</v>
      </c>
      <c r="E648" s="169">
        <f t="shared" si="43"/>
        <v>105.77564059458246</v>
      </c>
      <c r="F648" s="190" t="str">
        <f t="shared" si="44"/>
        <v/>
      </c>
      <c r="H648" t="str">
        <f t="shared" si="46"/>
        <v/>
      </c>
      <c r="I648" s="190" t="str">
        <f t="shared" si="45"/>
        <v/>
      </c>
    </row>
    <row r="649" spans="1:9">
      <c r="A649">
        <v>646</v>
      </c>
      <c r="B649" s="46">
        <v>45267</v>
      </c>
      <c r="C649" s="169">
        <v>174.14064992322719</v>
      </c>
      <c r="D649" s="169">
        <v>105.77564059458246</v>
      </c>
      <c r="E649" s="169">
        <f t="shared" si="43"/>
        <v>105.77564059458246</v>
      </c>
      <c r="F649" s="190" t="str">
        <f t="shared" si="44"/>
        <v/>
      </c>
      <c r="H649" t="str">
        <f t="shared" si="46"/>
        <v/>
      </c>
      <c r="I649" s="190" t="str">
        <f t="shared" si="45"/>
        <v/>
      </c>
    </row>
    <row r="650" spans="1:9">
      <c r="A650">
        <v>647</v>
      </c>
      <c r="B650" s="46">
        <v>45268</v>
      </c>
      <c r="C650" s="169">
        <v>128.77621372722533</v>
      </c>
      <c r="D650" s="169">
        <v>105.77564059458246</v>
      </c>
      <c r="E650" s="169">
        <f t="shared" si="43"/>
        <v>105.77564059458246</v>
      </c>
      <c r="F650" s="190" t="str">
        <f t="shared" si="44"/>
        <v/>
      </c>
      <c r="H650" t="str">
        <f t="shared" si="46"/>
        <v/>
      </c>
      <c r="I650" s="190" t="str">
        <f t="shared" si="45"/>
        <v/>
      </c>
    </row>
    <row r="651" spans="1:9">
      <c r="A651">
        <v>648</v>
      </c>
      <c r="B651" s="46">
        <v>45269</v>
      </c>
      <c r="C651" s="169">
        <v>132.17955755122719</v>
      </c>
      <c r="D651" s="169">
        <v>105.77564059458246</v>
      </c>
      <c r="E651" s="169">
        <f t="shared" si="43"/>
        <v>105.77564059458246</v>
      </c>
      <c r="F651" s="190" t="str">
        <f t="shared" si="44"/>
        <v/>
      </c>
      <c r="H651" t="str">
        <f t="shared" si="46"/>
        <v/>
      </c>
      <c r="I651" s="190" t="str">
        <f t="shared" si="45"/>
        <v/>
      </c>
    </row>
    <row r="652" spans="1:9">
      <c r="A652">
        <v>649</v>
      </c>
      <c r="B652" s="46">
        <v>45270</v>
      </c>
      <c r="C652" s="169">
        <v>138.86893037922533</v>
      </c>
      <c r="D652" s="169">
        <v>105.77564059458246</v>
      </c>
      <c r="E652" s="169">
        <f t="shared" si="43"/>
        <v>105.77564059458246</v>
      </c>
      <c r="F652" s="190" t="str">
        <f t="shared" si="44"/>
        <v/>
      </c>
      <c r="H652" t="str">
        <f t="shared" si="46"/>
        <v/>
      </c>
      <c r="I652" s="190" t="str">
        <f t="shared" si="45"/>
        <v/>
      </c>
    </row>
    <row r="653" spans="1:9">
      <c r="A653">
        <v>650</v>
      </c>
      <c r="B653" s="46">
        <v>45271</v>
      </c>
      <c r="C653" s="169">
        <v>159.3260066972272</v>
      </c>
      <c r="D653" s="169">
        <v>105.77564059458246</v>
      </c>
      <c r="E653" s="169">
        <f t="shared" si="43"/>
        <v>105.77564059458246</v>
      </c>
      <c r="F653" s="190" t="str">
        <f t="shared" si="44"/>
        <v/>
      </c>
      <c r="H653" t="str">
        <f t="shared" si="46"/>
        <v/>
      </c>
      <c r="I653" s="190" t="str">
        <f t="shared" si="45"/>
        <v/>
      </c>
    </row>
    <row r="654" spans="1:9">
      <c r="A654">
        <v>651</v>
      </c>
      <c r="B654" s="46">
        <v>45272</v>
      </c>
      <c r="C654" s="169">
        <v>171.4619880912272</v>
      </c>
      <c r="D654" s="169">
        <v>105.77564059458246</v>
      </c>
      <c r="E654" s="169">
        <f t="shared" si="43"/>
        <v>105.77564059458246</v>
      </c>
      <c r="F654" s="190" t="str">
        <f t="shared" si="44"/>
        <v/>
      </c>
      <c r="H654" t="str">
        <f t="shared" si="46"/>
        <v/>
      </c>
      <c r="I654" s="190" t="str">
        <f t="shared" si="45"/>
        <v/>
      </c>
    </row>
    <row r="655" spans="1:9">
      <c r="A655">
        <v>652</v>
      </c>
      <c r="B655" s="46">
        <v>45273</v>
      </c>
      <c r="C655" s="169">
        <v>142.13530520657491</v>
      </c>
      <c r="D655" s="169">
        <v>105.77564059458246</v>
      </c>
      <c r="E655" s="169">
        <f t="shared" ref="E655:E718" si="47">IF(C655&lt;D655,C655,D655)</f>
        <v>105.77564059458246</v>
      </c>
      <c r="F655" s="190" t="str">
        <f t="shared" si="44"/>
        <v/>
      </c>
      <c r="H655" t="str">
        <f t="shared" si="46"/>
        <v/>
      </c>
      <c r="I655" s="190" t="str">
        <f t="shared" si="45"/>
        <v/>
      </c>
    </row>
    <row r="656" spans="1:9">
      <c r="A656">
        <v>653</v>
      </c>
      <c r="B656" s="46">
        <v>45274</v>
      </c>
      <c r="C656" s="169">
        <v>141.16566657457307</v>
      </c>
      <c r="D656" s="169">
        <v>105.77564059458246</v>
      </c>
      <c r="E656" s="169">
        <f t="shared" si="47"/>
        <v>105.77564059458246</v>
      </c>
      <c r="F656" s="190" t="str">
        <f t="shared" si="44"/>
        <v/>
      </c>
      <c r="H656" t="str">
        <f t="shared" si="46"/>
        <v/>
      </c>
      <c r="I656" s="190" t="str">
        <f t="shared" si="45"/>
        <v/>
      </c>
    </row>
    <row r="657" spans="1:9">
      <c r="A657">
        <v>654</v>
      </c>
      <c r="B657" s="46">
        <v>45275</v>
      </c>
      <c r="C657" s="169">
        <v>153.64465403057307</v>
      </c>
      <c r="D657" s="169">
        <v>105.77564059458246</v>
      </c>
      <c r="E657" s="169">
        <f t="shared" si="47"/>
        <v>105.77564059458246</v>
      </c>
      <c r="F657" s="190" t="str">
        <f t="shared" si="44"/>
        <v>D</v>
      </c>
      <c r="G657" s="191">
        <f>IF(DAY(B657)=15,D657,"")</f>
        <v>105.77564059458246</v>
      </c>
      <c r="H657" t="str">
        <f t="shared" si="46"/>
        <v/>
      </c>
      <c r="I657" s="190" t="str">
        <f t="shared" si="45"/>
        <v>D</v>
      </c>
    </row>
    <row r="658" spans="1:9">
      <c r="A658">
        <v>655</v>
      </c>
      <c r="B658" s="46">
        <v>45276</v>
      </c>
      <c r="C658" s="169">
        <v>154.99507404257304</v>
      </c>
      <c r="D658" s="169">
        <v>105.77564059458246</v>
      </c>
      <c r="E658" s="169">
        <f t="shared" si="47"/>
        <v>105.77564059458246</v>
      </c>
      <c r="F658" s="190" t="str">
        <f t="shared" si="44"/>
        <v/>
      </c>
      <c r="H658" t="str">
        <f t="shared" si="46"/>
        <v/>
      </c>
      <c r="I658" s="190" t="str">
        <f t="shared" si="45"/>
        <v/>
      </c>
    </row>
    <row r="659" spans="1:9">
      <c r="A659">
        <v>656</v>
      </c>
      <c r="B659" s="46">
        <v>45277</v>
      </c>
      <c r="C659" s="169">
        <v>162.51315517457493</v>
      </c>
      <c r="D659" s="169">
        <v>105.77564059458246</v>
      </c>
      <c r="E659" s="169">
        <f t="shared" si="47"/>
        <v>105.77564059458246</v>
      </c>
      <c r="F659" s="190" t="str">
        <f t="shared" si="44"/>
        <v/>
      </c>
      <c r="H659" t="str">
        <f t="shared" si="46"/>
        <v/>
      </c>
      <c r="I659" s="190" t="str">
        <f t="shared" si="45"/>
        <v/>
      </c>
    </row>
    <row r="660" spans="1:9">
      <c r="A660">
        <v>657</v>
      </c>
      <c r="B660" s="46">
        <v>45278</v>
      </c>
      <c r="C660" s="169">
        <v>187.77831825057308</v>
      </c>
      <c r="D660" s="169">
        <v>105.77564059458246</v>
      </c>
      <c r="E660" s="169">
        <f t="shared" si="47"/>
        <v>105.77564059458246</v>
      </c>
      <c r="F660" s="190" t="str">
        <f t="shared" si="44"/>
        <v/>
      </c>
      <c r="H660" t="str">
        <f t="shared" si="46"/>
        <v/>
      </c>
      <c r="I660" s="190" t="str">
        <f t="shared" si="45"/>
        <v/>
      </c>
    </row>
    <row r="661" spans="1:9">
      <c r="A661">
        <v>658</v>
      </c>
      <c r="B661" s="46">
        <v>45279</v>
      </c>
      <c r="C661" s="169">
        <v>183.13893505057305</v>
      </c>
      <c r="D661" s="169">
        <v>105.77564059458246</v>
      </c>
      <c r="E661" s="169">
        <f t="shared" si="47"/>
        <v>105.77564059458246</v>
      </c>
      <c r="F661" s="190" t="str">
        <f t="shared" si="44"/>
        <v/>
      </c>
      <c r="H661" t="str">
        <f t="shared" si="46"/>
        <v/>
      </c>
      <c r="I661" s="190" t="str">
        <f t="shared" si="45"/>
        <v/>
      </c>
    </row>
    <row r="662" spans="1:9">
      <c r="A662">
        <v>659</v>
      </c>
      <c r="B662" s="46">
        <v>45280</v>
      </c>
      <c r="C662" s="169">
        <v>90.183736069493563</v>
      </c>
      <c r="D662" s="169">
        <v>105.77564059458246</v>
      </c>
      <c r="E662" s="169">
        <f t="shared" si="47"/>
        <v>90.183736069493563</v>
      </c>
      <c r="F662" s="190" t="str">
        <f t="shared" si="44"/>
        <v/>
      </c>
      <c r="H662" t="str">
        <f t="shared" si="46"/>
        <v/>
      </c>
      <c r="I662" s="190" t="str">
        <f t="shared" si="45"/>
        <v/>
      </c>
    </row>
    <row r="663" spans="1:9">
      <c r="A663">
        <v>660</v>
      </c>
      <c r="B663" s="46">
        <v>45281</v>
      </c>
      <c r="C663" s="169">
        <v>95.043589213493576</v>
      </c>
      <c r="D663" s="169">
        <v>105.77564059458246</v>
      </c>
      <c r="E663" s="169">
        <f t="shared" si="47"/>
        <v>95.043589213493576</v>
      </c>
      <c r="F663" s="190" t="str">
        <f t="shared" si="44"/>
        <v/>
      </c>
      <c r="H663" t="str">
        <f t="shared" si="46"/>
        <v/>
      </c>
      <c r="I663" s="190" t="str">
        <f t="shared" si="45"/>
        <v/>
      </c>
    </row>
    <row r="664" spans="1:9">
      <c r="A664">
        <v>661</v>
      </c>
      <c r="B664" s="46">
        <v>45282</v>
      </c>
      <c r="C664" s="169">
        <v>83.781432525495433</v>
      </c>
      <c r="D664" s="169">
        <v>105.77564059458246</v>
      </c>
      <c r="E664" s="169">
        <f t="shared" si="47"/>
        <v>83.781432525495433</v>
      </c>
      <c r="F664" s="190" t="str">
        <f t="shared" si="44"/>
        <v/>
      </c>
      <c r="H664" t="str">
        <f t="shared" si="46"/>
        <v/>
      </c>
      <c r="I664" s="190" t="str">
        <f t="shared" si="45"/>
        <v/>
      </c>
    </row>
    <row r="665" spans="1:9">
      <c r="A665">
        <v>662</v>
      </c>
      <c r="B665" s="46">
        <v>45283</v>
      </c>
      <c r="C665" s="169">
        <v>81.579333937491697</v>
      </c>
      <c r="D665" s="169">
        <v>105.77564059458246</v>
      </c>
      <c r="E665" s="169">
        <f t="shared" si="47"/>
        <v>81.579333937491697</v>
      </c>
      <c r="F665" s="190" t="str">
        <f t="shared" si="44"/>
        <v/>
      </c>
      <c r="H665" t="str">
        <f t="shared" si="46"/>
        <v/>
      </c>
      <c r="I665" s="190" t="str">
        <f t="shared" si="45"/>
        <v/>
      </c>
    </row>
    <row r="666" spans="1:9">
      <c r="A666">
        <v>663</v>
      </c>
      <c r="B666" s="46">
        <v>45284</v>
      </c>
      <c r="C666" s="169">
        <v>105.31441543349543</v>
      </c>
      <c r="D666" s="169">
        <v>105.77564059458246</v>
      </c>
      <c r="E666" s="169">
        <f t="shared" si="47"/>
        <v>105.31441543349543</v>
      </c>
      <c r="F666" s="190" t="str">
        <f t="shared" si="44"/>
        <v/>
      </c>
      <c r="H666" t="str">
        <f t="shared" si="46"/>
        <v/>
      </c>
      <c r="I666" s="190" t="str">
        <f t="shared" si="45"/>
        <v/>
      </c>
    </row>
    <row r="667" spans="1:9">
      <c r="A667">
        <v>664</v>
      </c>
      <c r="B667" s="46">
        <v>45285</v>
      </c>
      <c r="C667" s="169">
        <v>86.276048425495418</v>
      </c>
      <c r="D667" s="169">
        <v>105.77564059458246</v>
      </c>
      <c r="E667" s="169">
        <f t="shared" si="47"/>
        <v>86.276048425495418</v>
      </c>
      <c r="F667" s="190" t="str">
        <f t="shared" si="44"/>
        <v/>
      </c>
      <c r="H667" t="str">
        <f t="shared" si="46"/>
        <v/>
      </c>
      <c r="I667" s="190" t="str">
        <f t="shared" si="45"/>
        <v/>
      </c>
    </row>
    <row r="668" spans="1:9">
      <c r="A668">
        <v>665</v>
      </c>
      <c r="B668" s="46">
        <v>45286</v>
      </c>
      <c r="C668" s="169">
        <v>120.60045578949357</v>
      </c>
      <c r="D668" s="169">
        <v>105.77564059458246</v>
      </c>
      <c r="E668" s="169">
        <f t="shared" si="47"/>
        <v>105.77564059458246</v>
      </c>
      <c r="F668" s="190" t="str">
        <f t="shared" si="44"/>
        <v/>
      </c>
      <c r="H668" t="str">
        <f t="shared" si="46"/>
        <v/>
      </c>
      <c r="I668" s="190" t="str">
        <f t="shared" si="45"/>
        <v/>
      </c>
    </row>
    <row r="669" spans="1:9">
      <c r="A669">
        <v>666</v>
      </c>
      <c r="B669" s="46">
        <v>45287</v>
      </c>
      <c r="C669" s="169">
        <v>129.98663255014625</v>
      </c>
      <c r="D669" s="169">
        <v>105.77564059458246</v>
      </c>
      <c r="E669" s="169">
        <f t="shared" si="47"/>
        <v>105.77564059458246</v>
      </c>
      <c r="F669" s="190" t="str">
        <f t="shared" si="44"/>
        <v/>
      </c>
      <c r="H669" t="str">
        <f t="shared" si="46"/>
        <v/>
      </c>
      <c r="I669" s="190" t="str">
        <f t="shared" si="45"/>
        <v/>
      </c>
    </row>
    <row r="670" spans="1:9">
      <c r="A670">
        <v>667</v>
      </c>
      <c r="B670" s="46">
        <v>45288</v>
      </c>
      <c r="C670" s="169">
        <v>125.53044622614814</v>
      </c>
      <c r="D670" s="169">
        <v>105.77564059458246</v>
      </c>
      <c r="E670" s="169">
        <f t="shared" si="47"/>
        <v>105.77564059458246</v>
      </c>
      <c r="F670" s="190" t="str">
        <f t="shared" si="44"/>
        <v/>
      </c>
      <c r="H670" t="str">
        <f t="shared" si="46"/>
        <v/>
      </c>
      <c r="I670" s="190" t="str">
        <f t="shared" si="45"/>
        <v/>
      </c>
    </row>
    <row r="671" spans="1:9">
      <c r="A671">
        <v>668</v>
      </c>
      <c r="B671" s="46">
        <v>45289</v>
      </c>
      <c r="C671" s="169">
        <v>136.81955190614624</v>
      </c>
      <c r="D671" s="169">
        <v>105.77564059458246</v>
      </c>
      <c r="E671" s="169">
        <f t="shared" si="47"/>
        <v>105.77564059458246</v>
      </c>
      <c r="F671" s="190" t="str">
        <f t="shared" si="44"/>
        <v/>
      </c>
      <c r="H671" t="str">
        <f t="shared" si="46"/>
        <v/>
      </c>
      <c r="I671" s="190" t="str">
        <f t="shared" si="45"/>
        <v/>
      </c>
    </row>
    <row r="672" spans="1:9">
      <c r="A672">
        <v>669</v>
      </c>
      <c r="B672" s="46">
        <v>45290</v>
      </c>
      <c r="C672" s="169">
        <v>80.37812548214626</v>
      </c>
      <c r="D672" s="169">
        <v>105.77564059458246</v>
      </c>
      <c r="E672" s="169">
        <f t="shared" si="47"/>
        <v>80.37812548214626</v>
      </c>
      <c r="F672" s="190" t="str">
        <f t="shared" si="44"/>
        <v/>
      </c>
      <c r="H672" t="str">
        <f t="shared" si="46"/>
        <v/>
      </c>
      <c r="I672" s="190" t="str">
        <f t="shared" si="45"/>
        <v/>
      </c>
    </row>
    <row r="673" spans="1:9">
      <c r="A673">
        <v>670</v>
      </c>
      <c r="B673" s="46">
        <v>45291</v>
      </c>
      <c r="C673" s="169">
        <v>57.869754374148123</v>
      </c>
      <c r="D673" s="169">
        <v>105.77564059458246</v>
      </c>
      <c r="E673" s="169">
        <f t="shared" si="47"/>
        <v>57.869754374148123</v>
      </c>
      <c r="F673" s="190" t="str">
        <f t="shared" si="44"/>
        <v/>
      </c>
      <c r="H673" t="str">
        <f t="shared" si="46"/>
        <v/>
      </c>
      <c r="I673" s="190" t="str">
        <f t="shared" si="45"/>
        <v/>
      </c>
    </row>
    <row r="674" spans="1:9">
      <c r="A674">
        <v>671</v>
      </c>
      <c r="B674" s="46">
        <v>45292</v>
      </c>
      <c r="C674" s="169">
        <v>43.901266766148126</v>
      </c>
      <c r="D674" s="169">
        <v>117.73333309338341</v>
      </c>
      <c r="E674" s="169">
        <f t="shared" si="47"/>
        <v>43.901266766148126</v>
      </c>
      <c r="F674" s="190" t="str">
        <f t="shared" si="44"/>
        <v/>
      </c>
      <c r="H674">
        <f t="shared" si="46"/>
        <v>2024</v>
      </c>
      <c r="I674" s="190" t="str">
        <f t="shared" si="45"/>
        <v/>
      </c>
    </row>
    <row r="675" spans="1:9">
      <c r="A675">
        <v>672</v>
      </c>
      <c r="B675" s="46">
        <v>45293</v>
      </c>
      <c r="C675" s="169">
        <v>53.306943536146257</v>
      </c>
      <c r="D675" s="169">
        <v>117.73333309338341</v>
      </c>
      <c r="E675" s="169">
        <f t="shared" si="47"/>
        <v>53.306943536146257</v>
      </c>
      <c r="F675" s="190" t="str">
        <f t="shared" si="44"/>
        <v/>
      </c>
      <c r="H675" t="str">
        <f t="shared" si="46"/>
        <v/>
      </c>
      <c r="I675" s="190" t="str">
        <f t="shared" si="45"/>
        <v/>
      </c>
    </row>
    <row r="676" spans="1:9">
      <c r="A676">
        <v>673</v>
      </c>
      <c r="B676" s="46">
        <v>45294</v>
      </c>
      <c r="C676" s="169">
        <v>93.469764938338031</v>
      </c>
      <c r="D676" s="169">
        <v>117.73333309338341</v>
      </c>
      <c r="E676" s="169">
        <f t="shared" si="47"/>
        <v>93.469764938338031</v>
      </c>
      <c r="F676" s="190" t="str">
        <f t="shared" si="44"/>
        <v/>
      </c>
      <c r="H676" t="str">
        <f t="shared" si="46"/>
        <v/>
      </c>
      <c r="I676" s="190" t="str">
        <f t="shared" si="45"/>
        <v/>
      </c>
    </row>
    <row r="677" spans="1:9">
      <c r="A677">
        <v>674</v>
      </c>
      <c r="B677" s="46">
        <v>45295</v>
      </c>
      <c r="C677" s="169">
        <v>139.41222447033803</v>
      </c>
      <c r="D677" s="169">
        <v>117.73333309338341</v>
      </c>
      <c r="E677" s="169">
        <f t="shared" si="47"/>
        <v>117.73333309338341</v>
      </c>
      <c r="F677" s="190" t="str">
        <f t="shared" si="44"/>
        <v/>
      </c>
      <c r="H677" t="str">
        <f t="shared" si="46"/>
        <v/>
      </c>
      <c r="I677" s="190" t="str">
        <f t="shared" si="45"/>
        <v/>
      </c>
    </row>
    <row r="678" spans="1:9">
      <c r="A678">
        <v>675</v>
      </c>
      <c r="B678" s="46">
        <v>45296</v>
      </c>
      <c r="C678" s="169">
        <v>83.401819142339903</v>
      </c>
      <c r="D678" s="169">
        <v>117.73333309338341</v>
      </c>
      <c r="E678" s="169">
        <f t="shared" si="47"/>
        <v>83.401819142339903</v>
      </c>
      <c r="F678" s="190" t="str">
        <f t="shared" si="44"/>
        <v/>
      </c>
      <c r="H678" t="str">
        <f t="shared" si="46"/>
        <v/>
      </c>
      <c r="I678" s="190" t="str">
        <f t="shared" si="45"/>
        <v/>
      </c>
    </row>
    <row r="679" spans="1:9">
      <c r="A679">
        <v>676</v>
      </c>
      <c r="B679" s="46">
        <v>45297</v>
      </c>
      <c r="C679" s="169">
        <v>78.439711654339888</v>
      </c>
      <c r="D679" s="169">
        <v>117.73333309338341</v>
      </c>
      <c r="E679" s="169">
        <f t="shared" si="47"/>
        <v>78.439711654339888</v>
      </c>
      <c r="F679" s="190" t="str">
        <f t="shared" si="44"/>
        <v/>
      </c>
      <c r="H679" t="str">
        <f t="shared" si="46"/>
        <v/>
      </c>
      <c r="I679" s="190" t="str">
        <f t="shared" si="45"/>
        <v/>
      </c>
    </row>
    <row r="680" spans="1:9">
      <c r="A680">
        <v>677</v>
      </c>
      <c r="B680" s="46">
        <v>45298</v>
      </c>
      <c r="C680" s="169">
        <v>89.721362702336165</v>
      </c>
      <c r="D680" s="169">
        <v>117.73333309338341</v>
      </c>
      <c r="E680" s="169">
        <f t="shared" si="47"/>
        <v>89.721362702336165</v>
      </c>
      <c r="F680" s="190" t="str">
        <f t="shared" si="44"/>
        <v/>
      </c>
      <c r="H680" t="str">
        <f t="shared" si="46"/>
        <v/>
      </c>
      <c r="I680" s="190" t="str">
        <f t="shared" si="45"/>
        <v/>
      </c>
    </row>
    <row r="681" spans="1:9">
      <c r="A681">
        <v>678</v>
      </c>
      <c r="B681" s="46">
        <v>45299</v>
      </c>
      <c r="C681" s="169">
        <v>145.76173832633989</v>
      </c>
      <c r="D681" s="169">
        <v>117.73333309338341</v>
      </c>
      <c r="E681" s="169">
        <f t="shared" si="47"/>
        <v>117.73333309338341</v>
      </c>
      <c r="F681" s="190" t="str">
        <f t="shared" si="44"/>
        <v/>
      </c>
      <c r="H681" t="str">
        <f t="shared" si="46"/>
        <v/>
      </c>
      <c r="I681" s="190" t="str">
        <f t="shared" si="45"/>
        <v/>
      </c>
    </row>
    <row r="682" spans="1:9">
      <c r="A682">
        <v>679</v>
      </c>
      <c r="B682" s="46">
        <v>45300</v>
      </c>
      <c r="C682" s="169">
        <v>172.76645764133988</v>
      </c>
      <c r="D682" s="169">
        <v>117.73333309338341</v>
      </c>
      <c r="E682" s="169">
        <f t="shared" si="47"/>
        <v>117.73333309338341</v>
      </c>
      <c r="F682" s="190" t="str">
        <f t="shared" si="44"/>
        <v/>
      </c>
      <c r="H682" t="str">
        <f t="shared" si="46"/>
        <v/>
      </c>
      <c r="I682" s="190" t="str">
        <f t="shared" si="45"/>
        <v/>
      </c>
    </row>
    <row r="683" spans="1:9">
      <c r="A683">
        <v>680</v>
      </c>
      <c r="B683" s="46">
        <v>45301</v>
      </c>
      <c r="C683" s="169">
        <v>126.44372541382533</v>
      </c>
      <c r="D683" s="169">
        <v>117.73333309338341</v>
      </c>
      <c r="E683" s="169">
        <f t="shared" si="47"/>
        <v>117.73333309338341</v>
      </c>
      <c r="F683" s="190" t="str">
        <f t="shared" si="44"/>
        <v/>
      </c>
      <c r="H683" t="str">
        <f t="shared" si="46"/>
        <v/>
      </c>
      <c r="I683" s="190" t="str">
        <f t="shared" si="45"/>
        <v/>
      </c>
    </row>
    <row r="684" spans="1:9">
      <c r="A684">
        <v>681</v>
      </c>
      <c r="B684" s="46">
        <v>45302</v>
      </c>
      <c r="C684" s="169">
        <v>120.45651734982719</v>
      </c>
      <c r="D684" s="169">
        <v>117.73333309338341</v>
      </c>
      <c r="E684" s="169">
        <f t="shared" si="47"/>
        <v>117.73333309338341</v>
      </c>
      <c r="F684" s="190" t="str">
        <f t="shared" si="44"/>
        <v/>
      </c>
      <c r="H684" t="str">
        <f t="shared" si="46"/>
        <v/>
      </c>
      <c r="I684" s="190" t="str">
        <f t="shared" si="45"/>
        <v/>
      </c>
    </row>
    <row r="685" spans="1:9">
      <c r="A685">
        <v>682</v>
      </c>
      <c r="B685" s="46">
        <v>45303</v>
      </c>
      <c r="C685" s="169">
        <v>88.626292729827199</v>
      </c>
      <c r="D685" s="169">
        <v>117.73333309338341</v>
      </c>
      <c r="E685" s="169">
        <f t="shared" si="47"/>
        <v>88.626292729827199</v>
      </c>
      <c r="F685" s="190" t="str">
        <f t="shared" si="44"/>
        <v/>
      </c>
      <c r="H685" t="str">
        <f t="shared" si="46"/>
        <v/>
      </c>
      <c r="I685" s="190" t="str">
        <f t="shared" si="45"/>
        <v/>
      </c>
    </row>
    <row r="686" spans="1:9">
      <c r="A686">
        <v>683</v>
      </c>
      <c r="B686" s="46">
        <v>45304</v>
      </c>
      <c r="C686" s="169">
        <v>99.166459573825321</v>
      </c>
      <c r="D686" s="169">
        <v>117.73333309338341</v>
      </c>
      <c r="E686" s="169">
        <f t="shared" si="47"/>
        <v>99.166459573825321</v>
      </c>
      <c r="F686" s="190" t="str">
        <f t="shared" si="44"/>
        <v/>
      </c>
      <c r="H686" t="str">
        <f t="shared" si="46"/>
        <v/>
      </c>
      <c r="I686" s="190" t="str">
        <f t="shared" si="45"/>
        <v/>
      </c>
    </row>
    <row r="687" spans="1:9">
      <c r="A687">
        <v>684</v>
      </c>
      <c r="B687" s="46">
        <v>45305</v>
      </c>
      <c r="C687" s="169">
        <v>71.0015864418272</v>
      </c>
      <c r="D687" s="169">
        <v>117.73333309338341</v>
      </c>
      <c r="E687" s="169">
        <f t="shared" si="47"/>
        <v>71.0015864418272</v>
      </c>
      <c r="F687" s="190" t="str">
        <f t="shared" si="44"/>
        <v/>
      </c>
      <c r="H687" t="str">
        <f t="shared" si="46"/>
        <v/>
      </c>
      <c r="I687" s="190" t="str">
        <f t="shared" si="45"/>
        <v/>
      </c>
    </row>
    <row r="688" spans="1:9">
      <c r="A688">
        <v>685</v>
      </c>
      <c r="B688" s="46">
        <v>45306</v>
      </c>
      <c r="C688" s="169">
        <v>99.190810133825352</v>
      </c>
      <c r="D688" s="169">
        <v>117.73333309338341</v>
      </c>
      <c r="E688" s="169">
        <f t="shared" si="47"/>
        <v>99.190810133825352</v>
      </c>
      <c r="F688" s="190" t="str">
        <f t="shared" si="44"/>
        <v>E</v>
      </c>
      <c r="G688" s="191">
        <f>IF(DAY(B688)=15,D688,"")</f>
        <v>117.73333309338341</v>
      </c>
      <c r="H688" t="str">
        <f t="shared" si="46"/>
        <v/>
      </c>
      <c r="I688" s="190" t="str">
        <f t="shared" si="45"/>
        <v>E</v>
      </c>
    </row>
    <row r="689" spans="1:9">
      <c r="A689">
        <v>686</v>
      </c>
      <c r="B689" s="46">
        <v>45307</v>
      </c>
      <c r="C689" s="169">
        <v>73.976678177829058</v>
      </c>
      <c r="D689" s="169">
        <v>117.73333309338341</v>
      </c>
      <c r="E689" s="169">
        <f t="shared" si="47"/>
        <v>73.976678177829058</v>
      </c>
      <c r="F689" s="190" t="str">
        <f t="shared" si="44"/>
        <v/>
      </c>
      <c r="H689" t="str">
        <f t="shared" si="46"/>
        <v/>
      </c>
      <c r="I689" s="190" t="str">
        <f t="shared" si="45"/>
        <v/>
      </c>
    </row>
    <row r="690" spans="1:9">
      <c r="A690">
        <v>687</v>
      </c>
      <c r="B690" s="46">
        <v>45308</v>
      </c>
      <c r="C690" s="169">
        <v>289.03740449339853</v>
      </c>
      <c r="D690" s="169">
        <v>117.73333309338341</v>
      </c>
      <c r="E690" s="169">
        <f t="shared" si="47"/>
        <v>117.73333309338341</v>
      </c>
      <c r="F690" s="190" t="str">
        <f t="shared" si="44"/>
        <v/>
      </c>
      <c r="H690" t="str">
        <f t="shared" si="46"/>
        <v/>
      </c>
      <c r="I690" s="190" t="str">
        <f t="shared" si="45"/>
        <v/>
      </c>
    </row>
    <row r="691" spans="1:9">
      <c r="A691">
        <v>688</v>
      </c>
      <c r="B691" s="46">
        <v>45309</v>
      </c>
      <c r="C691" s="169">
        <v>304.28462594139847</v>
      </c>
      <c r="D691" s="169">
        <v>117.73333309338341</v>
      </c>
      <c r="E691" s="169">
        <f t="shared" si="47"/>
        <v>117.73333309338341</v>
      </c>
      <c r="F691" s="190" t="str">
        <f t="shared" si="44"/>
        <v/>
      </c>
      <c r="H691" t="str">
        <f t="shared" si="46"/>
        <v/>
      </c>
      <c r="I691" s="190" t="str">
        <f t="shared" si="45"/>
        <v/>
      </c>
    </row>
    <row r="692" spans="1:9">
      <c r="A692">
        <v>689</v>
      </c>
      <c r="B692" s="46">
        <v>45310</v>
      </c>
      <c r="C692" s="169">
        <v>321.82172562540029</v>
      </c>
      <c r="D692" s="169">
        <v>117.73333309338341</v>
      </c>
      <c r="E692" s="169">
        <f t="shared" si="47"/>
        <v>117.73333309338341</v>
      </c>
      <c r="F692" s="190" t="str">
        <f t="shared" si="44"/>
        <v/>
      </c>
      <c r="H692" t="str">
        <f t="shared" si="46"/>
        <v/>
      </c>
      <c r="I692" s="190" t="str">
        <f t="shared" si="45"/>
        <v/>
      </c>
    </row>
    <row r="693" spans="1:9">
      <c r="A693">
        <v>690</v>
      </c>
      <c r="B693" s="46">
        <v>45311</v>
      </c>
      <c r="C693" s="169">
        <v>322.73527708940031</v>
      </c>
      <c r="D693" s="169">
        <v>117.73333309338341</v>
      </c>
      <c r="E693" s="169">
        <f t="shared" si="47"/>
        <v>117.73333309338341</v>
      </c>
      <c r="F693" s="190" t="str">
        <f t="shared" si="44"/>
        <v/>
      </c>
      <c r="H693" t="str">
        <f t="shared" si="46"/>
        <v/>
      </c>
      <c r="I693" s="190" t="str">
        <f t="shared" si="45"/>
        <v/>
      </c>
    </row>
    <row r="694" spans="1:9">
      <c r="A694">
        <v>691</v>
      </c>
      <c r="B694" s="46">
        <v>45312</v>
      </c>
      <c r="C694" s="169">
        <v>323.57986505340034</v>
      </c>
      <c r="D694" s="169">
        <v>117.73333309338341</v>
      </c>
      <c r="E694" s="169">
        <f t="shared" si="47"/>
        <v>117.73333309338341</v>
      </c>
      <c r="F694" s="190" t="str">
        <f t="shared" si="44"/>
        <v/>
      </c>
      <c r="H694" t="str">
        <f t="shared" si="46"/>
        <v/>
      </c>
      <c r="I694" s="190" t="str">
        <f t="shared" si="45"/>
        <v/>
      </c>
    </row>
    <row r="695" spans="1:9">
      <c r="A695">
        <v>692</v>
      </c>
      <c r="B695" s="46">
        <v>45313</v>
      </c>
      <c r="C695" s="169">
        <v>327.74455240239848</v>
      </c>
      <c r="D695" s="169">
        <v>117.73333309338341</v>
      </c>
      <c r="E695" s="169">
        <f t="shared" si="47"/>
        <v>117.73333309338341</v>
      </c>
      <c r="F695" s="190" t="str">
        <f t="shared" si="44"/>
        <v/>
      </c>
      <c r="H695" t="str">
        <f t="shared" si="46"/>
        <v/>
      </c>
      <c r="I695" s="190" t="str">
        <f t="shared" si="45"/>
        <v/>
      </c>
    </row>
    <row r="696" spans="1:9">
      <c r="A696">
        <v>693</v>
      </c>
      <c r="B696" s="46">
        <v>45314</v>
      </c>
      <c r="C696" s="169">
        <v>333.98492745240031</v>
      </c>
      <c r="D696" s="169">
        <v>117.73333309338341</v>
      </c>
      <c r="E696" s="169">
        <f t="shared" si="47"/>
        <v>117.73333309338341</v>
      </c>
      <c r="F696" s="190" t="str">
        <f t="shared" si="44"/>
        <v/>
      </c>
      <c r="H696" t="str">
        <f t="shared" si="46"/>
        <v/>
      </c>
      <c r="I696" s="190" t="str">
        <f t="shared" si="45"/>
        <v/>
      </c>
    </row>
    <row r="697" spans="1:9">
      <c r="A697">
        <v>694</v>
      </c>
      <c r="B697" s="46">
        <v>45315</v>
      </c>
      <c r="C697" s="169">
        <v>172.19888286489703</v>
      </c>
      <c r="D697" s="169">
        <v>117.73333309338341</v>
      </c>
      <c r="E697" s="169">
        <f t="shared" si="47"/>
        <v>117.73333309338341</v>
      </c>
      <c r="F697" s="190" t="str">
        <f t="shared" si="44"/>
        <v/>
      </c>
      <c r="H697" t="str">
        <f t="shared" si="46"/>
        <v/>
      </c>
      <c r="I697" s="190" t="str">
        <f t="shared" si="45"/>
        <v/>
      </c>
    </row>
    <row r="698" spans="1:9">
      <c r="A698">
        <v>695</v>
      </c>
      <c r="B698" s="46">
        <v>45316</v>
      </c>
      <c r="C698" s="169">
        <v>187.54536531289892</v>
      </c>
      <c r="D698" s="169">
        <v>117.73333309338341</v>
      </c>
      <c r="E698" s="169">
        <f t="shared" si="47"/>
        <v>117.73333309338341</v>
      </c>
      <c r="F698" s="190" t="str">
        <f t="shared" si="44"/>
        <v/>
      </c>
      <c r="H698" t="str">
        <f t="shared" si="46"/>
        <v/>
      </c>
      <c r="I698" s="190" t="str">
        <f t="shared" si="45"/>
        <v/>
      </c>
    </row>
    <row r="699" spans="1:9">
      <c r="A699">
        <v>696</v>
      </c>
      <c r="B699" s="46">
        <v>45317</v>
      </c>
      <c r="C699" s="169">
        <v>197.0770346288933</v>
      </c>
      <c r="D699" s="169">
        <v>117.73333309338341</v>
      </c>
      <c r="E699" s="169">
        <f t="shared" si="47"/>
        <v>117.73333309338341</v>
      </c>
      <c r="F699" s="190" t="str">
        <f t="shared" si="44"/>
        <v/>
      </c>
      <c r="H699" t="str">
        <f t="shared" si="46"/>
        <v/>
      </c>
      <c r="I699" s="190" t="str">
        <f t="shared" si="45"/>
        <v/>
      </c>
    </row>
    <row r="700" spans="1:9">
      <c r="A700">
        <v>697</v>
      </c>
      <c r="B700" s="46">
        <v>45318</v>
      </c>
      <c r="C700" s="169">
        <v>154.8458385608989</v>
      </c>
      <c r="D700" s="169">
        <v>117.73333309338341</v>
      </c>
      <c r="E700" s="169">
        <f t="shared" si="47"/>
        <v>117.73333309338341</v>
      </c>
      <c r="F700" s="190" t="str">
        <f t="shared" si="44"/>
        <v/>
      </c>
      <c r="H700" t="str">
        <f t="shared" si="46"/>
        <v/>
      </c>
      <c r="I700" s="190" t="str">
        <f t="shared" si="45"/>
        <v/>
      </c>
    </row>
    <row r="701" spans="1:9">
      <c r="A701">
        <v>698</v>
      </c>
      <c r="B701" s="46">
        <v>45319</v>
      </c>
      <c r="C701" s="169">
        <v>141.9576037128989</v>
      </c>
      <c r="D701" s="169">
        <v>117.73333309338341</v>
      </c>
      <c r="E701" s="169">
        <f t="shared" si="47"/>
        <v>117.73333309338341</v>
      </c>
      <c r="F701" s="190" t="str">
        <f t="shared" si="44"/>
        <v/>
      </c>
      <c r="H701" t="str">
        <f t="shared" si="46"/>
        <v/>
      </c>
      <c r="I701" s="190" t="str">
        <f t="shared" si="45"/>
        <v/>
      </c>
    </row>
    <row r="702" spans="1:9">
      <c r="A702">
        <v>699</v>
      </c>
      <c r="B702" s="46">
        <v>45320</v>
      </c>
      <c r="C702" s="169">
        <v>166.36853350889703</v>
      </c>
      <c r="D702" s="169">
        <v>117.73333309338341</v>
      </c>
      <c r="E702" s="169">
        <f t="shared" si="47"/>
        <v>117.73333309338341</v>
      </c>
      <c r="F702" s="190" t="str">
        <f t="shared" si="44"/>
        <v/>
      </c>
      <c r="H702" t="str">
        <f t="shared" si="46"/>
        <v/>
      </c>
      <c r="I702" s="190" t="str">
        <f t="shared" si="45"/>
        <v/>
      </c>
    </row>
    <row r="703" spans="1:9">
      <c r="A703">
        <v>700</v>
      </c>
      <c r="B703" s="46">
        <v>45321</v>
      </c>
      <c r="C703" s="169">
        <v>191.63985096889516</v>
      </c>
      <c r="D703" s="169">
        <v>117.73333309338341</v>
      </c>
      <c r="E703" s="169">
        <f t="shared" si="47"/>
        <v>117.73333309338341</v>
      </c>
      <c r="F703" s="190" t="str">
        <f t="shared" si="44"/>
        <v/>
      </c>
      <c r="H703" t="str">
        <f t="shared" si="46"/>
        <v/>
      </c>
      <c r="I703" s="190" t="str">
        <f t="shared" si="45"/>
        <v/>
      </c>
    </row>
    <row r="704" spans="1:9">
      <c r="A704">
        <v>701</v>
      </c>
      <c r="B704" s="46">
        <v>45322</v>
      </c>
      <c r="C704" s="169">
        <v>124.33498129313774</v>
      </c>
      <c r="D704" s="169">
        <v>117.73333309338341</v>
      </c>
      <c r="E704" s="169">
        <f t="shared" si="47"/>
        <v>117.73333309338341</v>
      </c>
      <c r="F704" s="190" t="str">
        <f t="shared" si="44"/>
        <v/>
      </c>
      <c r="H704" t="str">
        <f t="shared" si="46"/>
        <v/>
      </c>
      <c r="I704" s="190" t="str">
        <f t="shared" si="45"/>
        <v/>
      </c>
    </row>
    <row r="705" spans="1:9">
      <c r="A705">
        <v>702</v>
      </c>
      <c r="B705" s="46">
        <v>45323</v>
      </c>
      <c r="C705" s="169">
        <v>113.63725392513585</v>
      </c>
      <c r="D705" s="169">
        <v>123.24675909882176</v>
      </c>
      <c r="E705" s="169">
        <f t="shared" si="47"/>
        <v>113.63725392513585</v>
      </c>
      <c r="F705" s="190" t="str">
        <f t="shared" si="44"/>
        <v/>
      </c>
      <c r="H705" t="str">
        <f t="shared" si="46"/>
        <v/>
      </c>
      <c r="I705" s="190" t="str">
        <f t="shared" si="45"/>
        <v/>
      </c>
    </row>
    <row r="706" spans="1:9">
      <c r="A706">
        <v>703</v>
      </c>
      <c r="B706" s="46">
        <v>45324</v>
      </c>
      <c r="C706" s="169">
        <v>86.201154877137725</v>
      </c>
      <c r="D706" s="169">
        <v>123.24675909882176</v>
      </c>
      <c r="E706" s="169">
        <f t="shared" si="47"/>
        <v>86.201154877137725</v>
      </c>
      <c r="F706" s="190" t="str">
        <f t="shared" si="44"/>
        <v/>
      </c>
      <c r="H706" t="str">
        <f t="shared" si="46"/>
        <v/>
      </c>
      <c r="I706" s="190" t="str">
        <f t="shared" si="45"/>
        <v/>
      </c>
    </row>
    <row r="707" spans="1:9">
      <c r="A707">
        <v>704</v>
      </c>
      <c r="B707" s="46">
        <v>45325</v>
      </c>
      <c r="C707" s="169">
        <v>68.517948005135864</v>
      </c>
      <c r="D707" s="169">
        <v>123.24675909882176</v>
      </c>
      <c r="E707" s="169">
        <f t="shared" si="47"/>
        <v>68.517948005135864</v>
      </c>
      <c r="F707" s="190" t="str">
        <f t="shared" ref="F707:F763" si="48">IF(DAY(B707)=15,IF(MONTH(B707)=1,"E",IF(MONTH(B707)=2,"F",IF(MONTH(B707)=3,"M",IF(MONTH(B707)=4,"A",IF(MONTH(B707)=5,"M",IF(MONTH(B707)=6,"J",IF(MONTH(B707)=7,"J",IF(MONTH(B707)=8,"A",IF(MONTH(B707)=9,"S",IF(MONTH(B707)=10,"O",IF(MONTH(B707)=11,"N",IF(MONTH(B707)=12,"D","")))))))))))),"")</f>
        <v/>
      </c>
      <c r="H707" t="str">
        <f t="shared" si="46"/>
        <v/>
      </c>
      <c r="I707" s="190" t="str">
        <f t="shared" si="45"/>
        <v/>
      </c>
    </row>
    <row r="708" spans="1:9">
      <c r="A708">
        <v>705</v>
      </c>
      <c r="B708" s="46">
        <v>45326</v>
      </c>
      <c r="C708" s="169">
        <v>54.32054651313959</v>
      </c>
      <c r="D708" s="169">
        <v>123.24675909882176</v>
      </c>
      <c r="E708" s="169">
        <f t="shared" si="47"/>
        <v>54.32054651313959</v>
      </c>
      <c r="F708" s="190" t="str">
        <f t="shared" si="48"/>
        <v/>
      </c>
      <c r="H708" t="str">
        <f t="shared" si="46"/>
        <v/>
      </c>
      <c r="I708" s="190" t="str">
        <f t="shared" ref="I708:I746" si="49">IF(DAY(B708)=15,IF(MONTH(B708)=1,"E",IF(MONTH(B708)=2,"F",IF(MONTH(B708)=3,"M",IF(MONTH(B708)=4,"A",IF(MONTH(B708)=5,"M",IF(MONTH(B708)=6,"J",IF(MONTH(B708)=7,"J",IF(MONTH(B708)=8,"A",IF(MONTH(B708)=9,"S",IF(MONTH(B708)=10,"O",IF(MONTH(B708)=11,"N",IF(MONTH(B708)=12,"D","")))))))))))),"")</f>
        <v/>
      </c>
    </row>
    <row r="709" spans="1:9">
      <c r="A709">
        <v>706</v>
      </c>
      <c r="B709" s="46">
        <v>45327</v>
      </c>
      <c r="C709" s="169">
        <v>105.79176961713773</v>
      </c>
      <c r="D709" s="169">
        <v>123.24675909882176</v>
      </c>
      <c r="E709" s="169">
        <f t="shared" si="47"/>
        <v>105.79176961713773</v>
      </c>
      <c r="F709" s="190" t="str">
        <f t="shared" si="48"/>
        <v/>
      </c>
      <c r="H709" t="str">
        <f t="shared" ref="H709:H763" si="50">IF(MONTH(B709)=1,IF(DAY(B709)=1,YEAR(B709),""),"")</f>
        <v/>
      </c>
      <c r="I709" s="190" t="str">
        <f t="shared" si="49"/>
        <v/>
      </c>
    </row>
    <row r="710" spans="1:9">
      <c r="A710">
        <v>707</v>
      </c>
      <c r="B710" s="46">
        <v>45328</v>
      </c>
      <c r="C710" s="169">
        <v>101.08770687713587</v>
      </c>
      <c r="D710" s="169">
        <v>123.24675909882176</v>
      </c>
      <c r="E710" s="169">
        <f t="shared" si="47"/>
        <v>101.08770687713587</v>
      </c>
      <c r="F710" s="190" t="str">
        <f t="shared" si="48"/>
        <v/>
      </c>
      <c r="H710" t="str">
        <f t="shared" si="50"/>
        <v/>
      </c>
      <c r="I710" s="190" t="str">
        <f t="shared" si="49"/>
        <v/>
      </c>
    </row>
    <row r="711" spans="1:9">
      <c r="A711">
        <v>708</v>
      </c>
      <c r="B711" s="46">
        <v>45329</v>
      </c>
      <c r="C711" s="169">
        <v>122.22068068134585</v>
      </c>
      <c r="D711" s="169">
        <v>123.24675909882176</v>
      </c>
      <c r="E711" s="169">
        <f t="shared" si="47"/>
        <v>122.22068068134585</v>
      </c>
      <c r="F711" s="190" t="str">
        <f t="shared" si="48"/>
        <v/>
      </c>
      <c r="H711" t="str">
        <f t="shared" si="50"/>
        <v/>
      </c>
      <c r="I711" s="190" t="str">
        <f t="shared" si="49"/>
        <v/>
      </c>
    </row>
    <row r="712" spans="1:9">
      <c r="A712">
        <v>709</v>
      </c>
      <c r="B712" s="46">
        <v>45330</v>
      </c>
      <c r="C712" s="169">
        <v>119.06189043334957</v>
      </c>
      <c r="D712" s="169">
        <v>123.24675909882176</v>
      </c>
      <c r="E712" s="169">
        <f t="shared" si="47"/>
        <v>119.06189043334957</v>
      </c>
      <c r="F712" s="190" t="str">
        <f t="shared" si="48"/>
        <v/>
      </c>
      <c r="H712" t="str">
        <f t="shared" si="50"/>
        <v/>
      </c>
      <c r="I712" s="190" t="str">
        <f t="shared" si="49"/>
        <v/>
      </c>
    </row>
    <row r="713" spans="1:9">
      <c r="A713">
        <v>710</v>
      </c>
      <c r="B713" s="46">
        <v>45331</v>
      </c>
      <c r="C713" s="169">
        <v>120.35209517734398</v>
      </c>
      <c r="D713" s="169">
        <v>123.24675909882176</v>
      </c>
      <c r="E713" s="169">
        <f t="shared" si="47"/>
        <v>120.35209517734398</v>
      </c>
      <c r="F713" s="190" t="str">
        <f t="shared" si="48"/>
        <v/>
      </c>
      <c r="H713" t="str">
        <f t="shared" si="50"/>
        <v/>
      </c>
      <c r="I713" s="190" t="str">
        <f t="shared" si="49"/>
        <v/>
      </c>
    </row>
    <row r="714" spans="1:9">
      <c r="A714">
        <v>711</v>
      </c>
      <c r="B714" s="46">
        <v>45332</v>
      </c>
      <c r="C714" s="169">
        <v>79.280241521347719</v>
      </c>
      <c r="D714" s="169">
        <v>123.24675909882176</v>
      </c>
      <c r="E714" s="169">
        <f t="shared" si="47"/>
        <v>79.280241521347719</v>
      </c>
      <c r="F714" s="190" t="str">
        <f t="shared" si="48"/>
        <v/>
      </c>
      <c r="H714" t="str">
        <f t="shared" si="50"/>
        <v/>
      </c>
      <c r="I714" s="190" t="str">
        <f t="shared" si="49"/>
        <v/>
      </c>
    </row>
    <row r="715" spans="1:9">
      <c r="A715">
        <v>712</v>
      </c>
      <c r="B715" s="46">
        <v>45333</v>
      </c>
      <c r="C715" s="169">
        <v>89.377392257349584</v>
      </c>
      <c r="D715" s="169">
        <v>123.24675909882176</v>
      </c>
      <c r="E715" s="169">
        <f t="shared" si="47"/>
        <v>89.377392257349584</v>
      </c>
      <c r="F715" s="190" t="str">
        <f t="shared" si="48"/>
        <v/>
      </c>
      <c r="H715" t="str">
        <f t="shared" si="50"/>
        <v/>
      </c>
      <c r="I715" s="190" t="str">
        <f t="shared" si="49"/>
        <v/>
      </c>
    </row>
    <row r="716" spans="1:9">
      <c r="A716">
        <v>713</v>
      </c>
      <c r="B716" s="46">
        <v>45334</v>
      </c>
      <c r="C716" s="169">
        <v>101.40798592534586</v>
      </c>
      <c r="D716" s="169">
        <v>123.24675909882176</v>
      </c>
      <c r="E716" s="169">
        <f t="shared" si="47"/>
        <v>101.40798592534586</v>
      </c>
      <c r="F716" s="190" t="str">
        <f t="shared" si="48"/>
        <v/>
      </c>
      <c r="H716" t="str">
        <f t="shared" si="50"/>
        <v/>
      </c>
      <c r="I716" s="190" t="str">
        <f t="shared" si="49"/>
        <v/>
      </c>
    </row>
    <row r="717" spans="1:9">
      <c r="A717">
        <v>714</v>
      </c>
      <c r="B717" s="46">
        <v>45335</v>
      </c>
      <c r="C717" s="169">
        <v>153.53880028534772</v>
      </c>
      <c r="D717" s="169">
        <v>123.24675909882176</v>
      </c>
      <c r="E717" s="169">
        <f t="shared" si="47"/>
        <v>123.24675909882176</v>
      </c>
      <c r="F717" s="190" t="str">
        <f t="shared" si="48"/>
        <v/>
      </c>
      <c r="H717" t="str">
        <f t="shared" si="50"/>
        <v/>
      </c>
      <c r="I717" s="190" t="str">
        <f t="shared" si="49"/>
        <v/>
      </c>
    </row>
    <row r="718" spans="1:9">
      <c r="A718">
        <v>715</v>
      </c>
      <c r="B718" s="46">
        <v>45336</v>
      </c>
      <c r="C718" s="169">
        <v>154.06305492467584</v>
      </c>
      <c r="D718" s="169">
        <v>123.24675909882176</v>
      </c>
      <c r="E718" s="169">
        <f t="shared" si="47"/>
        <v>123.24675909882176</v>
      </c>
      <c r="F718" s="190" t="str">
        <f t="shared" si="48"/>
        <v/>
      </c>
      <c r="H718" t="str">
        <f t="shared" si="50"/>
        <v/>
      </c>
      <c r="I718" s="190" t="str">
        <f t="shared" si="49"/>
        <v/>
      </c>
    </row>
    <row r="719" spans="1:9">
      <c r="A719">
        <v>716</v>
      </c>
      <c r="B719" s="46">
        <v>45337</v>
      </c>
      <c r="C719" s="169">
        <v>143.8772107326777</v>
      </c>
      <c r="D719" s="169">
        <v>123.24675909882176</v>
      </c>
      <c r="E719" s="169">
        <f t="shared" ref="E719:E761" si="51">IF(C719&lt;D719,C719,D719)</f>
        <v>123.24675909882176</v>
      </c>
      <c r="F719" s="190" t="str">
        <f t="shared" si="48"/>
        <v>F</v>
      </c>
      <c r="G719" s="191">
        <f>IF(DAY(B719)=15,D719,"")</f>
        <v>123.24675909882176</v>
      </c>
      <c r="H719" t="str">
        <f t="shared" si="50"/>
        <v/>
      </c>
      <c r="I719" s="190" t="str">
        <f t="shared" si="49"/>
        <v>F</v>
      </c>
    </row>
    <row r="720" spans="1:9">
      <c r="A720">
        <v>717</v>
      </c>
      <c r="B720" s="46">
        <v>45338</v>
      </c>
      <c r="C720" s="169">
        <v>131.99856114867583</v>
      </c>
      <c r="D720" s="169">
        <v>123.24675909882176</v>
      </c>
      <c r="E720" s="169">
        <f t="shared" si="51"/>
        <v>123.24675909882176</v>
      </c>
      <c r="F720" s="190" t="str">
        <f t="shared" si="48"/>
        <v/>
      </c>
      <c r="H720" t="str">
        <f t="shared" si="50"/>
        <v/>
      </c>
      <c r="I720" s="190" t="str">
        <f t="shared" si="49"/>
        <v/>
      </c>
    </row>
    <row r="721" spans="1:9">
      <c r="A721">
        <v>718</v>
      </c>
      <c r="B721" s="46">
        <v>45339</v>
      </c>
      <c r="C721" s="169">
        <v>117.48944197267397</v>
      </c>
      <c r="D721" s="169">
        <v>123.24675909882176</v>
      </c>
      <c r="E721" s="169">
        <f t="shared" si="51"/>
        <v>117.48944197267397</v>
      </c>
      <c r="F721" s="190" t="str">
        <f t="shared" si="48"/>
        <v/>
      </c>
      <c r="H721" t="str">
        <f t="shared" si="50"/>
        <v/>
      </c>
      <c r="I721" s="190" t="str">
        <f t="shared" si="49"/>
        <v/>
      </c>
    </row>
    <row r="722" spans="1:9">
      <c r="A722">
        <v>719</v>
      </c>
      <c r="B722" s="46">
        <v>45340</v>
      </c>
      <c r="C722" s="169">
        <v>109.62150693667769</v>
      </c>
      <c r="D722" s="169">
        <v>123.24675909882176</v>
      </c>
      <c r="E722" s="169">
        <f t="shared" si="51"/>
        <v>109.62150693667769</v>
      </c>
      <c r="F722" s="190" t="str">
        <f t="shared" si="48"/>
        <v/>
      </c>
      <c r="H722" t="str">
        <f t="shared" si="50"/>
        <v/>
      </c>
      <c r="I722" s="190" t="str">
        <f t="shared" si="49"/>
        <v/>
      </c>
    </row>
    <row r="723" spans="1:9">
      <c r="A723">
        <v>720</v>
      </c>
      <c r="B723" s="46">
        <v>45341</v>
      </c>
      <c r="C723" s="169">
        <v>102.85124453667584</v>
      </c>
      <c r="D723" s="169">
        <v>123.24675909882176</v>
      </c>
      <c r="E723" s="169">
        <f t="shared" si="51"/>
        <v>102.85124453667584</v>
      </c>
      <c r="F723" s="190" t="str">
        <f t="shared" si="48"/>
        <v/>
      </c>
      <c r="H723" t="str">
        <f t="shared" si="50"/>
        <v/>
      </c>
      <c r="I723" s="190" t="str">
        <f t="shared" si="49"/>
        <v/>
      </c>
    </row>
    <row r="724" spans="1:9">
      <c r="A724">
        <v>721</v>
      </c>
      <c r="B724" s="46">
        <v>45342</v>
      </c>
      <c r="C724" s="169">
        <v>140.4131380446758</v>
      </c>
      <c r="D724" s="169">
        <v>123.24675909882176</v>
      </c>
      <c r="E724" s="169">
        <f t="shared" si="51"/>
        <v>123.24675909882176</v>
      </c>
      <c r="F724" s="190" t="str">
        <f t="shared" si="48"/>
        <v/>
      </c>
      <c r="H724" t="str">
        <f t="shared" si="50"/>
        <v/>
      </c>
      <c r="I724" s="190" t="str">
        <f t="shared" si="49"/>
        <v/>
      </c>
    </row>
    <row r="725" spans="1:9">
      <c r="A725">
        <v>722</v>
      </c>
      <c r="B725" s="46">
        <v>45343</v>
      </c>
      <c r="C725" s="169">
        <v>178.84460396162029</v>
      </c>
      <c r="D725" s="169">
        <v>123.24675909882176</v>
      </c>
      <c r="E725" s="169">
        <f t="shared" si="51"/>
        <v>123.24675909882176</v>
      </c>
      <c r="F725" s="190" t="str">
        <f t="shared" si="48"/>
        <v/>
      </c>
      <c r="H725" t="str">
        <f t="shared" si="50"/>
        <v/>
      </c>
      <c r="I725" s="190" t="str">
        <f t="shared" si="49"/>
        <v/>
      </c>
    </row>
    <row r="726" spans="1:9">
      <c r="A726">
        <v>723</v>
      </c>
      <c r="B726" s="46">
        <v>45344</v>
      </c>
      <c r="C726" s="169">
        <v>123.09941888562219</v>
      </c>
      <c r="D726" s="169">
        <v>123.24675909882176</v>
      </c>
      <c r="E726" s="169">
        <f t="shared" si="51"/>
        <v>123.09941888562219</v>
      </c>
      <c r="F726" s="190" t="str">
        <f t="shared" si="48"/>
        <v/>
      </c>
      <c r="H726" t="str">
        <f t="shared" si="50"/>
        <v/>
      </c>
      <c r="I726" s="190" t="str">
        <f t="shared" si="49"/>
        <v/>
      </c>
    </row>
    <row r="727" spans="1:9">
      <c r="A727">
        <v>724</v>
      </c>
      <c r="B727" s="46">
        <v>45345</v>
      </c>
      <c r="C727" s="169">
        <v>108.94874475362033</v>
      </c>
      <c r="D727" s="169">
        <v>123.24675909882176</v>
      </c>
      <c r="E727" s="169">
        <f t="shared" si="51"/>
        <v>108.94874475362033</v>
      </c>
      <c r="F727" s="190" t="str">
        <f t="shared" si="48"/>
        <v/>
      </c>
      <c r="H727" t="str">
        <f t="shared" si="50"/>
        <v/>
      </c>
      <c r="I727" s="190" t="str">
        <f t="shared" si="49"/>
        <v/>
      </c>
    </row>
    <row r="728" spans="1:9">
      <c r="A728">
        <v>725</v>
      </c>
      <c r="B728" s="46">
        <v>45346</v>
      </c>
      <c r="C728" s="169">
        <v>102.35199537762031</v>
      </c>
      <c r="D728" s="169">
        <v>123.24675909882176</v>
      </c>
      <c r="E728" s="169">
        <f t="shared" si="51"/>
        <v>102.35199537762031</v>
      </c>
      <c r="F728" s="190" t="str">
        <f t="shared" si="48"/>
        <v/>
      </c>
      <c r="H728" t="str">
        <f t="shared" si="50"/>
        <v/>
      </c>
      <c r="I728" s="190" t="str">
        <f t="shared" si="49"/>
        <v/>
      </c>
    </row>
    <row r="729" spans="1:9">
      <c r="A729">
        <v>726</v>
      </c>
      <c r="B729" s="46">
        <v>45347</v>
      </c>
      <c r="C729" s="169">
        <v>101.27404481762032</v>
      </c>
      <c r="D729" s="169">
        <v>123.24675909882176</v>
      </c>
      <c r="E729" s="169">
        <f t="shared" si="51"/>
        <v>101.27404481762032</v>
      </c>
      <c r="F729" s="190" t="str">
        <f t="shared" si="48"/>
        <v/>
      </c>
      <c r="H729" t="str">
        <f t="shared" si="50"/>
        <v/>
      </c>
      <c r="I729" s="190" t="str">
        <f t="shared" si="49"/>
        <v/>
      </c>
    </row>
    <row r="730" spans="1:9">
      <c r="A730">
        <v>727</v>
      </c>
      <c r="B730" s="46">
        <v>45348</v>
      </c>
      <c r="C730" s="169">
        <v>132.19599849762403</v>
      </c>
      <c r="D730" s="169">
        <v>123.24675909882176</v>
      </c>
      <c r="E730" s="169">
        <f t="shared" si="51"/>
        <v>123.24675909882176</v>
      </c>
      <c r="F730" s="190" t="str">
        <f t="shared" si="48"/>
        <v/>
      </c>
      <c r="H730" t="str">
        <f t="shared" si="50"/>
        <v/>
      </c>
      <c r="I730" s="190" t="str">
        <f t="shared" si="49"/>
        <v/>
      </c>
    </row>
    <row r="731" spans="1:9">
      <c r="A731">
        <v>728</v>
      </c>
      <c r="B731" s="46">
        <v>45349</v>
      </c>
      <c r="C731" s="169">
        <v>143.35656574162033</v>
      </c>
      <c r="D731" s="169">
        <v>123.24675909882176</v>
      </c>
      <c r="E731" s="169">
        <f t="shared" si="51"/>
        <v>123.24675909882176</v>
      </c>
      <c r="F731" s="190" t="str">
        <f t="shared" si="48"/>
        <v/>
      </c>
      <c r="H731" t="str">
        <f t="shared" si="50"/>
        <v/>
      </c>
      <c r="I731" s="190" t="str">
        <f t="shared" si="49"/>
        <v/>
      </c>
    </row>
    <row r="732" spans="1:9">
      <c r="A732">
        <v>729</v>
      </c>
      <c r="B732" s="46">
        <v>45350</v>
      </c>
      <c r="C732" s="169">
        <v>202.50733048474109</v>
      </c>
      <c r="D732" s="169">
        <v>123.24675909882176</v>
      </c>
      <c r="E732" s="169">
        <f t="shared" si="51"/>
        <v>123.24675909882176</v>
      </c>
      <c r="F732" s="190" t="str">
        <f t="shared" si="48"/>
        <v/>
      </c>
      <c r="H732" t="str">
        <f t="shared" si="50"/>
        <v/>
      </c>
      <c r="I732" s="190" t="str">
        <f t="shared" si="49"/>
        <v/>
      </c>
    </row>
    <row r="733" spans="1:9">
      <c r="A733">
        <v>730</v>
      </c>
      <c r="B733" s="46">
        <v>45351</v>
      </c>
      <c r="C733" s="169">
        <v>206.91297946474481</v>
      </c>
      <c r="D733" s="169">
        <v>123.24675909882176</v>
      </c>
      <c r="E733" s="169">
        <f t="shared" si="51"/>
        <v>123.24675909882176</v>
      </c>
      <c r="F733" s="190" t="str">
        <f t="shared" si="48"/>
        <v/>
      </c>
      <c r="H733" t="str">
        <f t="shared" si="50"/>
        <v/>
      </c>
      <c r="I733" s="190" t="str">
        <f t="shared" si="49"/>
        <v/>
      </c>
    </row>
    <row r="734" spans="1:9">
      <c r="A734">
        <v>731</v>
      </c>
      <c r="B734" s="46">
        <v>45352</v>
      </c>
      <c r="C734" s="169">
        <v>208.5153227607392</v>
      </c>
      <c r="D734" s="169">
        <v>124.20934941128793</v>
      </c>
      <c r="E734" s="169">
        <f t="shared" si="51"/>
        <v>124.20934941128793</v>
      </c>
      <c r="F734" s="190" t="str">
        <f t="shared" si="48"/>
        <v/>
      </c>
      <c r="H734" t="str">
        <f t="shared" si="50"/>
        <v/>
      </c>
      <c r="I734" s="190" t="str">
        <f t="shared" si="49"/>
        <v/>
      </c>
    </row>
    <row r="735" spans="1:9">
      <c r="A735">
        <v>732</v>
      </c>
      <c r="B735" s="46">
        <v>45353</v>
      </c>
      <c r="C735" s="169">
        <v>208.50941681274296</v>
      </c>
      <c r="D735" s="169">
        <v>124.20934941128793</v>
      </c>
      <c r="E735" s="169">
        <f t="shared" si="51"/>
        <v>124.20934941128793</v>
      </c>
      <c r="F735" s="190" t="str">
        <f t="shared" si="48"/>
        <v/>
      </c>
      <c r="H735" t="str">
        <f t="shared" si="50"/>
        <v/>
      </c>
      <c r="I735" s="190" t="str">
        <f t="shared" si="49"/>
        <v/>
      </c>
    </row>
    <row r="736" spans="1:9">
      <c r="A736">
        <v>733</v>
      </c>
      <c r="B736" s="46">
        <v>45354</v>
      </c>
      <c r="C736" s="169">
        <v>194.89624524074105</v>
      </c>
      <c r="D736" s="169">
        <v>124.20934941128793</v>
      </c>
      <c r="E736" s="169">
        <f t="shared" si="51"/>
        <v>124.20934941128793</v>
      </c>
      <c r="F736" s="190" t="str">
        <f t="shared" si="48"/>
        <v/>
      </c>
      <c r="H736" t="str">
        <f t="shared" si="50"/>
        <v/>
      </c>
      <c r="I736" s="190" t="str">
        <f t="shared" si="49"/>
        <v/>
      </c>
    </row>
    <row r="737" spans="1:9">
      <c r="A737">
        <v>734</v>
      </c>
      <c r="B737" s="46">
        <v>45355</v>
      </c>
      <c r="C737" s="169">
        <v>210.18869139274292</v>
      </c>
      <c r="D737" s="169">
        <v>124.20934941128793</v>
      </c>
      <c r="E737" s="169">
        <f t="shared" si="51"/>
        <v>124.20934941128793</v>
      </c>
      <c r="F737" s="190" t="str">
        <f t="shared" si="48"/>
        <v/>
      </c>
      <c r="H737" t="str">
        <f t="shared" si="50"/>
        <v/>
      </c>
      <c r="I737" s="190" t="str">
        <f t="shared" si="49"/>
        <v/>
      </c>
    </row>
    <row r="738" spans="1:9">
      <c r="A738">
        <v>735</v>
      </c>
      <c r="B738" s="46">
        <v>45356</v>
      </c>
      <c r="C738" s="169">
        <v>234.72106074874105</v>
      </c>
      <c r="D738" s="169">
        <v>124.20934941128793</v>
      </c>
      <c r="E738" s="169">
        <f t="shared" si="51"/>
        <v>124.20934941128793</v>
      </c>
      <c r="F738" s="190" t="str">
        <f t="shared" si="48"/>
        <v/>
      </c>
      <c r="H738" t="str">
        <f t="shared" si="50"/>
        <v/>
      </c>
      <c r="I738" s="190" t="str">
        <f t="shared" si="49"/>
        <v/>
      </c>
    </row>
    <row r="739" spans="1:9">
      <c r="A739">
        <v>736</v>
      </c>
      <c r="B739" s="46">
        <v>45357</v>
      </c>
      <c r="C739" s="169">
        <v>231.1980186648228</v>
      </c>
      <c r="D739" s="169">
        <v>124.20934941128793</v>
      </c>
      <c r="E739" s="169">
        <f t="shared" si="51"/>
        <v>124.20934941128793</v>
      </c>
      <c r="F739" s="190" t="str">
        <f t="shared" si="48"/>
        <v/>
      </c>
      <c r="H739" t="str">
        <f t="shared" si="50"/>
        <v/>
      </c>
      <c r="I739" s="190" t="str">
        <f t="shared" si="49"/>
        <v/>
      </c>
    </row>
    <row r="740" spans="1:9">
      <c r="A740">
        <v>737</v>
      </c>
      <c r="B740" s="46">
        <v>45358</v>
      </c>
      <c r="C740" s="169">
        <v>212.32132484482278</v>
      </c>
      <c r="D740" s="169">
        <v>124.20934941128793</v>
      </c>
      <c r="E740" s="169">
        <f t="shared" si="51"/>
        <v>124.20934941128793</v>
      </c>
      <c r="F740" s="190" t="str">
        <f t="shared" si="48"/>
        <v/>
      </c>
      <c r="H740" t="str">
        <f t="shared" si="50"/>
        <v/>
      </c>
      <c r="I740" s="190" t="str">
        <f t="shared" si="49"/>
        <v/>
      </c>
    </row>
    <row r="741" spans="1:9">
      <c r="A741">
        <v>738</v>
      </c>
      <c r="B741" s="46">
        <v>45359</v>
      </c>
      <c r="C741" s="169">
        <v>218.19600545282464</v>
      </c>
      <c r="D741" s="169">
        <v>124.20934941128793</v>
      </c>
      <c r="E741" s="169">
        <f t="shared" si="51"/>
        <v>124.20934941128793</v>
      </c>
      <c r="F741" s="190" t="str">
        <f t="shared" si="48"/>
        <v/>
      </c>
      <c r="H741" t="str">
        <f t="shared" si="50"/>
        <v/>
      </c>
      <c r="I741" s="190" t="str">
        <f t="shared" si="49"/>
        <v/>
      </c>
    </row>
    <row r="742" spans="1:9">
      <c r="A742">
        <v>739</v>
      </c>
      <c r="B742" s="46">
        <v>45360</v>
      </c>
      <c r="C742" s="169">
        <v>215.00641125682279</v>
      </c>
      <c r="D742" s="169">
        <v>124.20934941128793</v>
      </c>
      <c r="E742" s="169">
        <f t="shared" si="51"/>
        <v>124.20934941128793</v>
      </c>
      <c r="F742" s="190" t="str">
        <f t="shared" si="48"/>
        <v/>
      </c>
      <c r="H742" t="str">
        <f t="shared" si="50"/>
        <v/>
      </c>
      <c r="I742" s="190" t="str">
        <f t="shared" si="49"/>
        <v/>
      </c>
    </row>
    <row r="743" spans="1:9">
      <c r="A743">
        <v>740</v>
      </c>
      <c r="B743" s="46">
        <v>45361</v>
      </c>
      <c r="C743" s="169">
        <v>198.48193970882093</v>
      </c>
      <c r="D743" s="169">
        <v>124.20934941128793</v>
      </c>
      <c r="E743" s="169">
        <f t="shared" si="51"/>
        <v>124.20934941128793</v>
      </c>
      <c r="F743" s="190" t="str">
        <f t="shared" si="48"/>
        <v/>
      </c>
      <c r="H743" t="str">
        <f t="shared" si="50"/>
        <v/>
      </c>
      <c r="I743" s="190" t="str">
        <f t="shared" si="49"/>
        <v/>
      </c>
    </row>
    <row r="744" spans="1:9">
      <c r="A744">
        <v>741</v>
      </c>
      <c r="B744" s="46">
        <v>45362</v>
      </c>
      <c r="C744" s="169">
        <v>217.64867564882465</v>
      </c>
      <c r="D744" s="169">
        <v>124.20934941128793</v>
      </c>
      <c r="E744" s="169">
        <f t="shared" si="51"/>
        <v>124.20934941128793</v>
      </c>
      <c r="F744" s="190" t="str">
        <f t="shared" si="48"/>
        <v/>
      </c>
      <c r="H744" t="str">
        <f t="shared" si="50"/>
        <v/>
      </c>
      <c r="I744" s="190" t="str">
        <f t="shared" si="49"/>
        <v/>
      </c>
    </row>
    <row r="745" spans="1:9">
      <c r="A745">
        <v>742</v>
      </c>
      <c r="B745" s="46">
        <v>45363</v>
      </c>
      <c r="C745" s="169">
        <v>231.11323628482464</v>
      </c>
      <c r="D745" s="169">
        <v>124.20934941128793</v>
      </c>
      <c r="E745" s="169">
        <f t="shared" si="51"/>
        <v>124.20934941128793</v>
      </c>
      <c r="F745" s="190" t="str">
        <f t="shared" si="48"/>
        <v/>
      </c>
      <c r="H745" t="str">
        <f t="shared" si="50"/>
        <v/>
      </c>
      <c r="I745" s="190" t="str">
        <f t="shared" si="49"/>
        <v/>
      </c>
    </row>
    <row r="746" spans="1:9">
      <c r="A746">
        <v>743</v>
      </c>
      <c r="B746" s="46">
        <v>45364</v>
      </c>
      <c r="C746" s="169">
        <v>208.45652243101571</v>
      </c>
      <c r="D746" s="169">
        <v>124.20934941128793</v>
      </c>
      <c r="E746" s="169">
        <f t="shared" si="51"/>
        <v>124.20934941128793</v>
      </c>
      <c r="F746" s="190" t="str">
        <f t="shared" si="48"/>
        <v/>
      </c>
      <c r="H746" t="str">
        <f t="shared" si="50"/>
        <v/>
      </c>
      <c r="I746" s="190" t="str">
        <f t="shared" si="49"/>
        <v/>
      </c>
    </row>
    <row r="747" spans="1:9">
      <c r="A747">
        <v>744</v>
      </c>
      <c r="B747" s="46">
        <v>45365</v>
      </c>
      <c r="C747" s="169">
        <v>212.5277563390157</v>
      </c>
      <c r="D747" s="169">
        <v>124.20934941128793</v>
      </c>
      <c r="E747" s="169">
        <f t="shared" si="51"/>
        <v>124.20934941128793</v>
      </c>
      <c r="F747" s="190" t="str">
        <f t="shared" si="48"/>
        <v/>
      </c>
      <c r="H747" t="str">
        <f t="shared" si="50"/>
        <v/>
      </c>
      <c r="I747" s="190" t="str">
        <f>IF(DAY(B747)=15,IF(MONTH(B747)=1,"E",IF(MONTH(B747)=2,"F",IF(MONTH(B747)=3,"M",IF(MONTH(B747)=4,"A",IF(MONTH(B747)=5,"M",IF(MONTH(B747)=6,"J",IF(MONTH(B747)=7,"J",IF(MONTH(B747)=8,"A",IF(MONTH(B747)=9,"S",IF(MONTH(B747)=10,"O",IF(MONTH(B747)=11,"N",IF(MONTH(B747)=12,"D","")))))))))))),"")</f>
        <v/>
      </c>
    </row>
    <row r="748" spans="1:9">
      <c r="A748">
        <v>745</v>
      </c>
      <c r="B748" s="46">
        <v>45366</v>
      </c>
      <c r="C748" s="169">
        <v>219.39037056701946</v>
      </c>
      <c r="D748" s="169">
        <v>124.20934941128793</v>
      </c>
      <c r="E748" s="169">
        <f t="shared" si="51"/>
        <v>124.20934941128793</v>
      </c>
      <c r="F748" s="190" t="str">
        <f t="shared" si="48"/>
        <v>M</v>
      </c>
      <c r="G748" s="191">
        <f>IF(DAY(B748)=15,D748,"")</f>
        <v>124.20934941128793</v>
      </c>
      <c r="H748" t="str">
        <f t="shared" si="50"/>
        <v/>
      </c>
      <c r="I748" s="190" t="str">
        <f t="shared" ref="I748:I763" si="52">IF(DAY(B748)=15,IF(MONTH(B748)=1,"E",IF(MONTH(B748)=2,"F",IF(MONTH(B748)=3,"M",IF(MONTH(B748)=4,"A",IF(MONTH(B748)=5,"M",IF(MONTH(B748)=6,"J",IF(MONTH(B748)=7,"J",IF(MONTH(B748)=8,"A",IF(MONTH(B748)=9,"S",IF(MONTH(B748)=10,"O",IF(MONTH(B748)=11,"N",IF(MONTH(B748)=12,"D","")))))))))))),"")</f>
        <v>M</v>
      </c>
    </row>
    <row r="749" spans="1:9">
      <c r="A749">
        <v>746</v>
      </c>
      <c r="B749" s="46">
        <v>45367</v>
      </c>
      <c r="C749" s="169">
        <v>203.04853758701572</v>
      </c>
      <c r="D749" s="169">
        <v>124.20934941128793</v>
      </c>
      <c r="E749" s="169">
        <f t="shared" si="51"/>
        <v>124.20934941128793</v>
      </c>
      <c r="F749" s="190" t="str">
        <f t="shared" si="48"/>
        <v/>
      </c>
      <c r="H749" t="str">
        <f t="shared" si="50"/>
        <v/>
      </c>
      <c r="I749" s="190" t="str">
        <f t="shared" si="52"/>
        <v/>
      </c>
    </row>
    <row r="750" spans="1:9">
      <c r="A750">
        <v>747</v>
      </c>
      <c r="B750" s="46">
        <v>45368</v>
      </c>
      <c r="C750" s="169">
        <v>204.17193140701571</v>
      </c>
      <c r="D750" s="169">
        <v>124.20934941128793</v>
      </c>
      <c r="E750" s="169">
        <f t="shared" si="51"/>
        <v>124.20934941128793</v>
      </c>
      <c r="F750" s="190" t="str">
        <f t="shared" si="48"/>
        <v/>
      </c>
      <c r="H750" t="str">
        <f t="shared" si="50"/>
        <v/>
      </c>
      <c r="I750" s="190" t="str">
        <f t="shared" si="52"/>
        <v/>
      </c>
    </row>
    <row r="751" spans="1:9">
      <c r="A751">
        <v>748</v>
      </c>
      <c r="B751" s="46">
        <v>45369</v>
      </c>
      <c r="C751" s="169">
        <v>223.70635718701757</v>
      </c>
      <c r="D751" s="169">
        <v>124.20934941128793</v>
      </c>
      <c r="E751" s="169">
        <f t="shared" si="51"/>
        <v>124.20934941128793</v>
      </c>
      <c r="F751" s="190" t="str">
        <f t="shared" si="48"/>
        <v/>
      </c>
      <c r="H751" t="str">
        <f t="shared" si="50"/>
        <v/>
      </c>
      <c r="I751" s="190" t="str">
        <f t="shared" si="52"/>
        <v/>
      </c>
    </row>
    <row r="752" spans="1:9">
      <c r="A752">
        <v>749</v>
      </c>
      <c r="B752" s="46">
        <v>45370</v>
      </c>
      <c r="C752" s="169">
        <v>230.34451166701942</v>
      </c>
      <c r="D752" s="169">
        <v>124.20934941128793</v>
      </c>
      <c r="E752" s="169">
        <f t="shared" si="51"/>
        <v>124.20934941128793</v>
      </c>
      <c r="F752" s="190" t="str">
        <f t="shared" si="48"/>
        <v/>
      </c>
      <c r="H752" t="str">
        <f t="shared" si="50"/>
        <v/>
      </c>
      <c r="I752" s="190" t="str">
        <f t="shared" si="52"/>
        <v/>
      </c>
    </row>
    <row r="753" spans="1:9">
      <c r="A753">
        <v>750</v>
      </c>
      <c r="B753" s="46">
        <v>45371</v>
      </c>
      <c r="C753" s="169">
        <v>194.48203342418341</v>
      </c>
      <c r="D753" s="169">
        <v>124.20934941128793</v>
      </c>
      <c r="E753" s="169">
        <f t="shared" si="51"/>
        <v>124.20934941128793</v>
      </c>
      <c r="F753" s="190" t="str">
        <f t="shared" si="48"/>
        <v/>
      </c>
      <c r="H753" t="str">
        <f t="shared" si="50"/>
        <v/>
      </c>
      <c r="I753" s="190" t="str">
        <f t="shared" si="52"/>
        <v/>
      </c>
    </row>
    <row r="754" spans="1:9">
      <c r="A754">
        <v>751</v>
      </c>
      <c r="B754" s="46">
        <v>45372</v>
      </c>
      <c r="C754" s="169">
        <v>172.47899721218712</v>
      </c>
      <c r="D754" s="169">
        <v>124.20934941128793</v>
      </c>
      <c r="E754" s="169">
        <f t="shared" si="51"/>
        <v>124.20934941128793</v>
      </c>
      <c r="F754" s="190" t="str">
        <f t="shared" si="48"/>
        <v/>
      </c>
      <c r="H754" t="str">
        <f t="shared" si="50"/>
        <v/>
      </c>
      <c r="I754" s="190" t="str">
        <f t="shared" si="52"/>
        <v/>
      </c>
    </row>
    <row r="755" spans="1:9">
      <c r="A755">
        <v>752</v>
      </c>
      <c r="B755" s="46">
        <v>45373</v>
      </c>
      <c r="C755" s="169">
        <v>180.72038138818525</v>
      </c>
      <c r="D755" s="169">
        <v>124.20934941128793</v>
      </c>
      <c r="E755" s="169">
        <f t="shared" si="51"/>
        <v>124.20934941128793</v>
      </c>
      <c r="F755" s="190" t="str">
        <f t="shared" si="48"/>
        <v/>
      </c>
      <c r="H755" t="str">
        <f t="shared" si="50"/>
        <v/>
      </c>
      <c r="I755" s="190" t="str">
        <f t="shared" si="52"/>
        <v/>
      </c>
    </row>
    <row r="756" spans="1:9">
      <c r="A756">
        <v>753</v>
      </c>
      <c r="B756" s="46">
        <v>45374</v>
      </c>
      <c r="C756" s="169">
        <v>141.49051618018339</v>
      </c>
      <c r="D756" s="169">
        <v>124.20934941128793</v>
      </c>
      <c r="E756" s="169">
        <f t="shared" si="51"/>
        <v>124.20934941128793</v>
      </c>
      <c r="F756" s="190" t="str">
        <f t="shared" si="48"/>
        <v/>
      </c>
      <c r="H756" t="str">
        <f t="shared" si="50"/>
        <v/>
      </c>
      <c r="I756" s="190" t="str">
        <f t="shared" si="52"/>
        <v/>
      </c>
    </row>
    <row r="757" spans="1:9">
      <c r="A757">
        <v>754</v>
      </c>
      <c r="B757" s="46">
        <v>45375</v>
      </c>
      <c r="C757" s="169">
        <v>132.50837361218896</v>
      </c>
      <c r="D757" s="169">
        <v>124.20934941128793</v>
      </c>
      <c r="E757" s="169">
        <f t="shared" si="51"/>
        <v>124.20934941128793</v>
      </c>
      <c r="F757" s="190" t="str">
        <f t="shared" si="48"/>
        <v/>
      </c>
      <c r="H757" t="str">
        <f t="shared" si="50"/>
        <v/>
      </c>
      <c r="I757" s="190" t="str">
        <f t="shared" si="52"/>
        <v/>
      </c>
    </row>
    <row r="758" spans="1:9">
      <c r="A758">
        <v>755</v>
      </c>
      <c r="B758" s="46">
        <v>45376</v>
      </c>
      <c r="C758" s="169">
        <v>185.24161184818712</v>
      </c>
      <c r="D758" s="169">
        <v>124.20934941128793</v>
      </c>
      <c r="E758" s="169">
        <f t="shared" si="51"/>
        <v>124.20934941128793</v>
      </c>
      <c r="F758" s="190" t="str">
        <f t="shared" si="48"/>
        <v/>
      </c>
      <c r="H758" t="str">
        <f t="shared" si="50"/>
        <v/>
      </c>
      <c r="I758" s="190" t="str">
        <f t="shared" si="52"/>
        <v/>
      </c>
    </row>
    <row r="759" spans="1:9">
      <c r="A759">
        <v>756</v>
      </c>
      <c r="B759" s="46">
        <v>45377</v>
      </c>
      <c r="C759" s="169">
        <v>174.46497657218526</v>
      </c>
      <c r="D759" s="169">
        <v>124.20934941128793</v>
      </c>
      <c r="E759" s="169">
        <f t="shared" si="51"/>
        <v>124.20934941128793</v>
      </c>
      <c r="F759" s="190" t="str">
        <f t="shared" si="48"/>
        <v/>
      </c>
      <c r="H759" t="str">
        <f t="shared" si="50"/>
        <v/>
      </c>
      <c r="I759" s="190" t="str">
        <f t="shared" si="52"/>
        <v/>
      </c>
    </row>
    <row r="760" spans="1:9">
      <c r="A760">
        <v>757</v>
      </c>
      <c r="B760" s="46">
        <v>45378</v>
      </c>
      <c r="C760" s="169">
        <v>220.13236308788723</v>
      </c>
      <c r="D760" s="169">
        <v>124.20934941128793</v>
      </c>
      <c r="E760" s="169">
        <f t="shared" si="51"/>
        <v>124.20934941128793</v>
      </c>
      <c r="F760" s="190" t="str">
        <f t="shared" si="48"/>
        <v/>
      </c>
      <c r="H760" t="str">
        <f t="shared" si="50"/>
        <v/>
      </c>
      <c r="I760" s="190" t="str">
        <f t="shared" si="52"/>
        <v/>
      </c>
    </row>
    <row r="761" spans="1:9">
      <c r="A761">
        <v>758</v>
      </c>
      <c r="B761" s="46">
        <v>45379</v>
      </c>
      <c r="C761" s="169">
        <v>225.81516933589097</v>
      </c>
      <c r="D761" s="169">
        <v>124.20934941128793</v>
      </c>
      <c r="E761" s="169">
        <f t="shared" si="51"/>
        <v>124.20934941128793</v>
      </c>
      <c r="F761" s="190" t="str">
        <f t="shared" si="48"/>
        <v/>
      </c>
      <c r="H761" t="str">
        <f t="shared" si="50"/>
        <v/>
      </c>
      <c r="I761" s="190" t="str">
        <f t="shared" si="52"/>
        <v/>
      </c>
    </row>
    <row r="762" spans="1:9">
      <c r="A762">
        <v>759</v>
      </c>
      <c r="B762" s="46">
        <v>45380</v>
      </c>
      <c r="C762" s="169">
        <v>240.04929627988727</v>
      </c>
      <c r="D762" s="169">
        <v>124.20934941128793</v>
      </c>
      <c r="E762" s="169">
        <f t="shared" ref="E762:E764" si="53">IF(C762&lt;D762,C762,D762)</f>
        <v>124.20934941128793</v>
      </c>
      <c r="F762" s="190" t="str">
        <f t="shared" si="48"/>
        <v/>
      </c>
      <c r="H762" t="str">
        <f t="shared" si="50"/>
        <v/>
      </c>
      <c r="I762" s="190" t="str">
        <f t="shared" si="52"/>
        <v/>
      </c>
    </row>
    <row r="763" spans="1:9">
      <c r="A763">
        <v>760</v>
      </c>
      <c r="B763" s="46">
        <v>45381</v>
      </c>
      <c r="C763" s="169">
        <v>247.67715040788536</v>
      </c>
      <c r="D763" s="169">
        <v>124.20934941128793</v>
      </c>
      <c r="E763" s="169">
        <f t="shared" si="53"/>
        <v>124.20934941128793</v>
      </c>
      <c r="F763" s="190" t="str">
        <f t="shared" si="48"/>
        <v/>
      </c>
      <c r="H763" t="str">
        <f t="shared" si="50"/>
        <v/>
      </c>
      <c r="I763" s="190" t="str">
        <f t="shared" si="52"/>
        <v/>
      </c>
    </row>
    <row r="764" spans="1:9">
      <c r="A764">
        <v>761</v>
      </c>
      <c r="B764" s="46">
        <v>45382</v>
      </c>
      <c r="C764" s="169">
        <v>240.10454129988912</v>
      </c>
      <c r="D764" s="169">
        <v>124.20934941128793</v>
      </c>
      <c r="E764" s="169">
        <f t="shared" si="53"/>
        <v>124.20934941128793</v>
      </c>
    </row>
    <row r="765" spans="1:9">
      <c r="B765" s="46"/>
      <c r="C765" s="169"/>
      <c r="D765" s="169"/>
      <c r="E765" s="169"/>
    </row>
    <row r="766" spans="1:9">
      <c r="B766" s="46"/>
      <c r="C766" s="169"/>
      <c r="D766" s="169"/>
      <c r="E766" s="169"/>
    </row>
    <row r="767" spans="1:9">
      <c r="B767" s="46"/>
      <c r="C767" s="169"/>
      <c r="D767" s="169"/>
      <c r="E767" s="169"/>
    </row>
    <row r="768" spans="1:9">
      <c r="B768" s="46"/>
      <c r="C768" s="169"/>
      <c r="D768" s="169"/>
      <c r="E768" s="169"/>
    </row>
    <row r="769" spans="2:5">
      <c r="B769" s="46"/>
      <c r="C769" s="169"/>
      <c r="D769" s="169"/>
      <c r="E769" s="169"/>
    </row>
    <row r="770" spans="2:5">
      <c r="B770" s="46"/>
      <c r="C770" s="169"/>
      <c r="D770" s="169"/>
      <c r="E770" s="169"/>
    </row>
    <row r="771" spans="2:5">
      <c r="B771" s="46"/>
      <c r="C771" s="169"/>
      <c r="D771" s="169"/>
      <c r="E771" s="169"/>
    </row>
    <row r="772" spans="2:5">
      <c r="B772" s="46"/>
      <c r="C772" s="169"/>
      <c r="D772" s="169"/>
      <c r="E772" s="169"/>
    </row>
    <row r="773" spans="2:5">
      <c r="B773" s="46"/>
      <c r="C773" s="169"/>
      <c r="D773" s="169"/>
      <c r="E773" s="169"/>
    </row>
    <row r="774" spans="2:5">
      <c r="B774" s="46"/>
      <c r="C774" s="169"/>
      <c r="D774" s="169"/>
      <c r="E774" s="169"/>
    </row>
    <row r="775" spans="2:5">
      <c r="B775" s="46"/>
      <c r="C775" s="169"/>
      <c r="D775" s="169"/>
      <c r="E775" s="169"/>
    </row>
    <row r="776" spans="2:5">
      <c r="B776" s="46"/>
      <c r="C776" s="169"/>
      <c r="D776" s="169"/>
      <c r="E776" s="169"/>
    </row>
    <row r="777" spans="2:5">
      <c r="B777" s="46"/>
      <c r="C777" s="169"/>
      <c r="D777" s="169"/>
      <c r="E777" s="169"/>
    </row>
    <row r="778" spans="2:5">
      <c r="B778" s="46"/>
      <c r="C778" s="169"/>
      <c r="D778" s="169"/>
      <c r="E778" s="169"/>
    </row>
    <row r="779" spans="2:5">
      <c r="B779" s="46"/>
      <c r="C779" s="169"/>
      <c r="D779" s="169"/>
      <c r="E779" s="169"/>
    </row>
    <row r="780" spans="2:5">
      <c r="B780" s="46"/>
      <c r="C780" s="169"/>
      <c r="D780" s="169"/>
      <c r="E780" s="169"/>
    </row>
    <row r="781" spans="2:5">
      <c r="B781" s="46"/>
      <c r="C781" s="169"/>
      <c r="D781" s="169"/>
      <c r="E781" s="169"/>
    </row>
    <row r="782" spans="2:5">
      <c r="B782" s="46"/>
      <c r="C782" s="169"/>
      <c r="D782" s="169"/>
      <c r="E782" s="169"/>
    </row>
    <row r="783" spans="2:5">
      <c r="B783" s="46"/>
      <c r="C783" s="169"/>
      <c r="D783" s="169"/>
      <c r="E783" s="169"/>
    </row>
    <row r="784" spans="2:5">
      <c r="B784" s="46"/>
      <c r="C784" s="169"/>
      <c r="D784" s="169"/>
      <c r="E784" s="169"/>
    </row>
    <row r="785" spans="2:5">
      <c r="B785" s="46"/>
      <c r="C785" s="169"/>
      <c r="D785" s="169"/>
      <c r="E785" s="169"/>
    </row>
    <row r="786" spans="2:5">
      <c r="B786" s="46"/>
      <c r="C786" s="169"/>
      <c r="D786" s="169"/>
      <c r="E786" s="169"/>
    </row>
    <row r="787" spans="2:5">
      <c r="B787" s="46"/>
      <c r="C787" s="169"/>
      <c r="D787" s="169"/>
      <c r="E787" s="169"/>
    </row>
    <row r="788" spans="2:5">
      <c r="B788" s="46"/>
      <c r="C788" s="169"/>
      <c r="D788" s="169"/>
      <c r="E788" s="169"/>
    </row>
    <row r="789" spans="2:5">
      <c r="B789" s="46"/>
      <c r="C789" s="169"/>
      <c r="D789" s="169"/>
      <c r="E789" s="169"/>
    </row>
    <row r="790" spans="2:5">
      <c r="B790" s="46"/>
      <c r="C790" s="169"/>
      <c r="D790" s="169"/>
      <c r="E790" s="169"/>
    </row>
    <row r="791" spans="2:5">
      <c r="B791" s="46"/>
      <c r="C791" s="169"/>
      <c r="D791" s="169"/>
      <c r="E791" s="169"/>
    </row>
    <row r="792" spans="2:5">
      <c r="B792" s="46"/>
      <c r="C792" s="169"/>
      <c r="D792" s="169"/>
      <c r="E792" s="169"/>
    </row>
    <row r="793" spans="2:5">
      <c r="B793" s="46"/>
      <c r="C793" s="169"/>
      <c r="D793" s="169"/>
      <c r="E793" s="169"/>
    </row>
    <row r="794" spans="2:5">
      <c r="B794" s="46"/>
      <c r="C794" s="169"/>
      <c r="D794" s="169"/>
      <c r="E794" s="169"/>
    </row>
    <row r="795" spans="2:5">
      <c r="B795" s="46"/>
      <c r="C795" s="169"/>
      <c r="D795" s="169"/>
      <c r="E795" s="169"/>
    </row>
    <row r="796" spans="2:5">
      <c r="B796" s="46"/>
      <c r="C796" s="169"/>
      <c r="D796" s="169"/>
      <c r="E796" s="169"/>
    </row>
    <row r="797" spans="2:5">
      <c r="B797" s="46"/>
      <c r="C797" s="169"/>
      <c r="D797" s="169"/>
      <c r="E797" s="169"/>
    </row>
    <row r="798" spans="2:5">
      <c r="B798" s="46"/>
      <c r="C798" s="169"/>
      <c r="D798" s="169"/>
      <c r="E798" s="169"/>
    </row>
    <row r="799" spans="2:5">
      <c r="B799" s="46"/>
      <c r="C799" s="169"/>
      <c r="D799" s="169"/>
      <c r="E799" s="169"/>
    </row>
    <row r="800" spans="2:5">
      <c r="B800" s="46"/>
      <c r="C800" s="169"/>
      <c r="D800" s="169"/>
      <c r="E800" s="169"/>
    </row>
    <row r="801" spans="2:5">
      <c r="B801" s="46"/>
      <c r="C801" s="169"/>
      <c r="D801" s="169"/>
      <c r="E801" s="169"/>
    </row>
    <row r="802" spans="2:5">
      <c r="B802" s="46"/>
      <c r="C802" s="169"/>
      <c r="D802" s="169"/>
      <c r="E802" s="169"/>
    </row>
    <row r="803" spans="2:5">
      <c r="B803" s="46"/>
      <c r="C803" s="169"/>
      <c r="D803" s="169"/>
      <c r="E803" s="169"/>
    </row>
    <row r="804" spans="2:5">
      <c r="B804" s="46"/>
      <c r="C804" s="169"/>
      <c r="D804" s="169"/>
      <c r="E804" s="169"/>
    </row>
    <row r="805" spans="2:5">
      <c r="B805" s="46"/>
      <c r="C805" s="169"/>
      <c r="D805" s="169"/>
      <c r="E805" s="169"/>
    </row>
    <row r="806" spans="2:5">
      <c r="B806" s="46"/>
      <c r="C806" s="169"/>
      <c r="D806" s="169"/>
      <c r="E806" s="169"/>
    </row>
    <row r="807" spans="2:5">
      <c r="B807" s="46"/>
      <c r="C807" s="169"/>
      <c r="D807" s="169"/>
      <c r="E807" s="169"/>
    </row>
    <row r="808" spans="2:5">
      <c r="B808" s="46"/>
      <c r="C808" s="169"/>
      <c r="D808" s="169"/>
      <c r="E808" s="169"/>
    </row>
    <row r="809" spans="2:5">
      <c r="B809" s="46"/>
      <c r="C809" s="169"/>
      <c r="D809" s="169"/>
      <c r="E809" s="169"/>
    </row>
    <row r="810" spans="2:5">
      <c r="B810" s="46"/>
      <c r="C810" s="169"/>
      <c r="D810" s="169"/>
      <c r="E810" s="169"/>
    </row>
    <row r="811" spans="2:5">
      <c r="B811" s="46"/>
      <c r="C811" s="169"/>
      <c r="D811" s="169"/>
      <c r="E811" s="169"/>
    </row>
    <row r="812" spans="2:5">
      <c r="B812" s="46"/>
      <c r="C812" s="169"/>
      <c r="D812" s="169"/>
      <c r="E812" s="169"/>
    </row>
    <row r="813" spans="2:5">
      <c r="B813" s="46"/>
      <c r="C813" s="169"/>
      <c r="D813" s="169"/>
      <c r="E813" s="169"/>
    </row>
    <row r="814" spans="2:5">
      <c r="B814" s="46"/>
      <c r="C814" s="169"/>
      <c r="D814" s="169"/>
      <c r="E814" s="169"/>
    </row>
    <row r="815" spans="2:5">
      <c r="B815" s="46"/>
      <c r="C815" s="169"/>
      <c r="D815" s="169"/>
      <c r="E815" s="169"/>
    </row>
    <row r="816" spans="2:5">
      <c r="B816" s="46"/>
      <c r="C816" s="169"/>
      <c r="D816" s="169"/>
      <c r="E816" s="169"/>
    </row>
    <row r="817" spans="2:5">
      <c r="B817" s="46"/>
      <c r="C817" s="169"/>
      <c r="D817" s="169"/>
      <c r="E817" s="169"/>
    </row>
    <row r="818" spans="2:5">
      <c r="B818" s="46"/>
      <c r="C818" s="169"/>
      <c r="D818" s="169"/>
      <c r="E818" s="169"/>
    </row>
    <row r="819" spans="2:5">
      <c r="B819" s="46"/>
      <c r="C819" s="169"/>
      <c r="D819" s="169"/>
      <c r="E819" s="169"/>
    </row>
    <row r="820" spans="2:5">
      <c r="B820" s="46"/>
      <c r="C820" s="169"/>
      <c r="D820" s="169"/>
      <c r="E820" s="169"/>
    </row>
    <row r="821" spans="2:5">
      <c r="B821" s="46"/>
      <c r="C821" s="169"/>
      <c r="D821" s="169"/>
      <c r="E821" s="169"/>
    </row>
    <row r="822" spans="2:5">
      <c r="B822" s="46"/>
      <c r="C822" s="169"/>
      <c r="D822" s="169"/>
      <c r="E822" s="169"/>
    </row>
    <row r="823" spans="2:5">
      <c r="B823" s="46"/>
      <c r="C823" s="169"/>
      <c r="D823" s="169"/>
      <c r="E823" s="169"/>
    </row>
    <row r="824" spans="2:5">
      <c r="B824" s="46"/>
      <c r="C824" s="169"/>
      <c r="D824" s="169"/>
      <c r="E824" s="169"/>
    </row>
    <row r="825" spans="2:5">
      <c r="B825" s="46"/>
      <c r="C825" s="169"/>
      <c r="D825" s="169"/>
      <c r="E825" s="169"/>
    </row>
    <row r="826" spans="2:5">
      <c r="B826" s="46"/>
      <c r="C826" s="169"/>
      <c r="D826" s="169"/>
      <c r="E826" s="169"/>
    </row>
    <row r="827" spans="2:5">
      <c r="B827" s="46"/>
      <c r="C827" s="169"/>
      <c r="D827" s="169"/>
      <c r="E827" s="169"/>
    </row>
    <row r="828" spans="2:5">
      <c r="B828" s="46"/>
      <c r="C828" s="169"/>
      <c r="D828" s="169"/>
      <c r="E828" s="169"/>
    </row>
    <row r="829" spans="2:5">
      <c r="B829" s="46"/>
      <c r="C829" s="169"/>
      <c r="D829" s="169"/>
      <c r="E829" s="169"/>
    </row>
    <row r="830" spans="2:5">
      <c r="B830" s="46"/>
      <c r="C830" s="169"/>
      <c r="D830" s="169"/>
      <c r="E830" s="169"/>
    </row>
    <row r="831" spans="2:5">
      <c r="B831" s="46"/>
      <c r="C831" s="169"/>
      <c r="D831" s="169"/>
      <c r="E831" s="169"/>
    </row>
    <row r="832" spans="2:5">
      <c r="B832" s="46"/>
      <c r="C832" s="169"/>
      <c r="D832" s="169"/>
      <c r="E832" s="169"/>
    </row>
    <row r="833" spans="2:5">
      <c r="B833" s="46"/>
      <c r="C833" s="169"/>
      <c r="D833" s="169"/>
      <c r="E833" s="169"/>
    </row>
    <row r="834" spans="2:5">
      <c r="B834" s="46"/>
      <c r="C834" s="169"/>
      <c r="D834" s="169"/>
      <c r="E834" s="169"/>
    </row>
    <row r="835" spans="2:5">
      <c r="B835" s="46"/>
      <c r="C835" s="169"/>
      <c r="D835" s="169"/>
      <c r="E835" s="169"/>
    </row>
    <row r="836" spans="2:5">
      <c r="B836" s="46"/>
      <c r="C836" s="169"/>
      <c r="D836" s="169"/>
      <c r="E836" s="169"/>
    </row>
    <row r="837" spans="2:5">
      <c r="B837" s="46"/>
      <c r="C837" s="169"/>
      <c r="D837" s="169"/>
      <c r="E837" s="169"/>
    </row>
    <row r="838" spans="2:5">
      <c r="B838" s="46"/>
      <c r="C838" s="169"/>
      <c r="D838" s="169"/>
      <c r="E838" s="169"/>
    </row>
    <row r="839" spans="2:5">
      <c r="B839" s="46"/>
      <c r="C839" s="169"/>
      <c r="D839" s="169"/>
      <c r="E839" s="169"/>
    </row>
    <row r="840" spans="2:5">
      <c r="B840" s="46"/>
      <c r="C840" s="169"/>
      <c r="D840" s="169"/>
      <c r="E840" s="169"/>
    </row>
    <row r="841" spans="2:5">
      <c r="B841" s="46"/>
      <c r="C841" s="169"/>
      <c r="D841" s="169"/>
      <c r="E841" s="169"/>
    </row>
    <row r="842" spans="2:5">
      <c r="B842" s="46"/>
      <c r="C842" s="169"/>
      <c r="D842" s="169"/>
      <c r="E842" s="169"/>
    </row>
    <row r="843" spans="2:5">
      <c r="B843" s="46"/>
      <c r="C843" s="169"/>
      <c r="D843" s="169"/>
      <c r="E843" s="169"/>
    </row>
    <row r="844" spans="2:5">
      <c r="B844" s="46"/>
      <c r="C844" s="169"/>
      <c r="D844" s="169"/>
      <c r="E844" s="169"/>
    </row>
    <row r="845" spans="2:5">
      <c r="B845" s="46"/>
      <c r="C845" s="169"/>
      <c r="D845" s="169"/>
      <c r="E845" s="169"/>
    </row>
    <row r="846" spans="2:5">
      <c r="B846" s="46"/>
      <c r="C846" s="169"/>
      <c r="D846" s="169"/>
      <c r="E846" s="169"/>
    </row>
    <row r="847" spans="2:5">
      <c r="B847" s="46"/>
      <c r="C847" s="169"/>
      <c r="D847" s="169"/>
      <c r="E847" s="169"/>
    </row>
    <row r="848" spans="2:5">
      <c r="B848" s="46"/>
      <c r="C848" s="169"/>
      <c r="D848" s="169"/>
      <c r="E848" s="169"/>
    </row>
    <row r="849" spans="2:5">
      <c r="B849" s="46"/>
      <c r="C849" s="169"/>
      <c r="D849" s="169"/>
      <c r="E849" s="169"/>
    </row>
    <row r="850" spans="2:5">
      <c r="B850" s="46"/>
      <c r="C850" s="169"/>
      <c r="D850" s="169"/>
      <c r="E850" s="169"/>
    </row>
    <row r="851" spans="2:5">
      <c r="B851" s="46"/>
      <c r="C851" s="169"/>
      <c r="D851" s="169"/>
      <c r="E851" s="169"/>
    </row>
    <row r="852" spans="2:5">
      <c r="B852" s="46"/>
      <c r="C852" s="169"/>
      <c r="D852" s="169"/>
      <c r="E852" s="169"/>
    </row>
    <row r="853" spans="2:5">
      <c r="B853" s="46"/>
      <c r="C853" s="169"/>
      <c r="D853" s="169"/>
      <c r="E853" s="169"/>
    </row>
    <row r="854" spans="2:5">
      <c r="B854" s="46"/>
      <c r="C854" s="169"/>
      <c r="D854" s="169"/>
      <c r="E854" s="169"/>
    </row>
    <row r="855" spans="2:5">
      <c r="B855" s="46"/>
      <c r="C855" s="169"/>
      <c r="D855" s="169"/>
      <c r="E855" s="169"/>
    </row>
    <row r="856" spans="2:5">
      <c r="B856" s="46"/>
      <c r="C856" s="169"/>
      <c r="D856" s="169"/>
      <c r="E856" s="169"/>
    </row>
    <row r="857" spans="2:5">
      <c r="B857" s="46"/>
      <c r="C857" s="169"/>
      <c r="D857" s="169"/>
      <c r="E857" s="169"/>
    </row>
    <row r="858" spans="2:5">
      <c r="B858" s="46"/>
      <c r="C858" s="169"/>
      <c r="D858" s="169"/>
      <c r="E858" s="169"/>
    </row>
    <row r="859" spans="2:5">
      <c r="B859" s="46"/>
      <c r="C859" s="169"/>
      <c r="D859" s="169"/>
      <c r="E859" s="169"/>
    </row>
    <row r="860" spans="2:5">
      <c r="B860" s="46"/>
      <c r="C860" s="169"/>
      <c r="D860" s="169"/>
      <c r="E860" s="169"/>
    </row>
    <row r="861" spans="2:5">
      <c r="B861" s="46"/>
      <c r="C861" s="169"/>
      <c r="D861" s="169"/>
      <c r="E861" s="169"/>
    </row>
    <row r="862" spans="2:5">
      <c r="B862" s="46"/>
      <c r="C862" s="169"/>
      <c r="D862" s="169"/>
      <c r="E862" s="169"/>
    </row>
    <row r="863" spans="2:5">
      <c r="B863" s="46"/>
      <c r="C863" s="169"/>
      <c r="D863" s="169"/>
      <c r="E863" s="169"/>
    </row>
    <row r="864" spans="2:5">
      <c r="B864" s="46"/>
      <c r="C864" s="169"/>
      <c r="D864" s="169"/>
      <c r="E864" s="169"/>
    </row>
    <row r="865" spans="2:5">
      <c r="B865" s="46"/>
      <c r="C865" s="169"/>
      <c r="D865" s="169"/>
      <c r="E865" s="169"/>
    </row>
    <row r="866" spans="2:5">
      <c r="B866" s="46"/>
      <c r="C866" s="169"/>
      <c r="D866" s="169"/>
      <c r="E866" s="169"/>
    </row>
    <row r="867" spans="2:5">
      <c r="B867" s="46"/>
      <c r="C867" s="169"/>
      <c r="D867" s="169"/>
      <c r="E867" s="169"/>
    </row>
    <row r="868" spans="2:5">
      <c r="B868" s="46"/>
      <c r="C868" s="169"/>
      <c r="D868" s="169"/>
      <c r="E868" s="169"/>
    </row>
    <row r="869" spans="2:5">
      <c r="B869" s="46"/>
      <c r="C869" s="169"/>
      <c r="D869" s="169"/>
      <c r="E869" s="169"/>
    </row>
    <row r="870" spans="2:5">
      <c r="B870" s="46"/>
      <c r="C870" s="169"/>
      <c r="D870" s="169"/>
      <c r="E870" s="169"/>
    </row>
    <row r="871" spans="2:5">
      <c r="B871" s="46"/>
      <c r="C871" s="169"/>
      <c r="D871" s="169"/>
      <c r="E871" s="169"/>
    </row>
    <row r="872" spans="2:5">
      <c r="B872" s="46"/>
      <c r="C872" s="169"/>
      <c r="D872" s="169"/>
      <c r="E872" s="169"/>
    </row>
    <row r="873" spans="2:5">
      <c r="B873" s="46"/>
      <c r="C873" s="169"/>
      <c r="D873" s="169"/>
      <c r="E873" s="169"/>
    </row>
    <row r="874" spans="2:5">
      <c r="B874" s="46"/>
      <c r="C874" s="169"/>
      <c r="D874" s="169"/>
      <c r="E874" s="169"/>
    </row>
    <row r="875" spans="2:5">
      <c r="B875" s="46"/>
      <c r="C875" s="169"/>
      <c r="D875" s="169"/>
      <c r="E875" s="169"/>
    </row>
    <row r="876" spans="2:5">
      <c r="B876" s="46"/>
      <c r="C876" s="169"/>
      <c r="D876" s="169"/>
      <c r="E876" s="169"/>
    </row>
    <row r="877" spans="2:5">
      <c r="B877" s="46"/>
      <c r="C877" s="169"/>
      <c r="D877" s="169"/>
      <c r="E877" s="169"/>
    </row>
    <row r="878" spans="2:5">
      <c r="B878" s="46"/>
      <c r="C878" s="169"/>
      <c r="D878" s="169"/>
      <c r="E878" s="169"/>
    </row>
    <row r="879" spans="2:5">
      <c r="B879" s="46"/>
      <c r="C879" s="169"/>
      <c r="D879" s="169"/>
      <c r="E879" s="169"/>
    </row>
    <row r="880" spans="2:5">
      <c r="B880" s="46"/>
      <c r="C880" s="169"/>
      <c r="D880" s="169"/>
      <c r="E880" s="169"/>
    </row>
    <row r="881" spans="2:5">
      <c r="B881" s="46"/>
      <c r="C881" s="169"/>
      <c r="D881" s="169"/>
      <c r="E881" s="169"/>
    </row>
    <row r="882" spans="2:5">
      <c r="B882" s="46"/>
      <c r="C882" s="169"/>
      <c r="D882" s="169"/>
      <c r="E882" s="169"/>
    </row>
    <row r="883" spans="2:5">
      <c r="B883" s="46"/>
      <c r="C883" s="169"/>
      <c r="D883" s="169"/>
      <c r="E883" s="169"/>
    </row>
    <row r="884" spans="2:5">
      <c r="B884" s="46"/>
      <c r="C884" s="169"/>
      <c r="D884" s="169"/>
      <c r="E884" s="169"/>
    </row>
    <row r="885" spans="2:5">
      <c r="B885" s="46"/>
      <c r="C885" s="169"/>
      <c r="D885" s="169"/>
      <c r="E885" s="169"/>
    </row>
    <row r="886" spans="2:5">
      <c r="B886" s="46"/>
      <c r="C886" s="169"/>
      <c r="D886" s="169"/>
      <c r="E886" s="169"/>
    </row>
    <row r="887" spans="2:5">
      <c r="B887" s="46"/>
      <c r="C887" s="169"/>
      <c r="D887" s="169"/>
      <c r="E887" s="169"/>
    </row>
    <row r="888" spans="2:5">
      <c r="B888" s="46"/>
      <c r="C888" s="169"/>
      <c r="D888" s="169"/>
      <c r="E888" s="169"/>
    </row>
    <row r="889" spans="2:5">
      <c r="B889" s="46"/>
      <c r="C889" s="169"/>
      <c r="D889" s="169"/>
      <c r="E889" s="169"/>
    </row>
    <row r="890" spans="2:5">
      <c r="B890" s="46"/>
      <c r="C890" s="169"/>
      <c r="D890" s="169"/>
      <c r="E890" s="169"/>
    </row>
    <row r="891" spans="2:5">
      <c r="B891" s="46"/>
      <c r="C891" s="169"/>
      <c r="D891" s="169"/>
      <c r="E891" s="169"/>
    </row>
    <row r="892" spans="2:5">
      <c r="B892" s="46"/>
      <c r="C892" s="169"/>
      <c r="D892" s="169"/>
      <c r="E892" s="169"/>
    </row>
    <row r="893" spans="2:5">
      <c r="B893" s="46"/>
      <c r="C893" s="169"/>
      <c r="D893" s="169"/>
      <c r="E893" s="169"/>
    </row>
    <row r="894" spans="2:5">
      <c r="B894" s="46"/>
      <c r="C894" s="169"/>
      <c r="D894" s="169"/>
      <c r="E894" s="169"/>
    </row>
    <row r="895" spans="2:5">
      <c r="B895" s="46"/>
      <c r="C895" s="169"/>
      <c r="D895" s="169"/>
      <c r="E895" s="169"/>
    </row>
    <row r="896" spans="2:5">
      <c r="B896" s="46"/>
      <c r="C896" s="169"/>
      <c r="D896" s="169"/>
      <c r="E896" s="169"/>
    </row>
    <row r="897" spans="2:5">
      <c r="B897" s="46"/>
      <c r="C897" s="169"/>
      <c r="D897" s="169"/>
      <c r="E897" s="169"/>
    </row>
    <row r="898" spans="2:5">
      <c r="B898" s="46"/>
      <c r="C898" s="169"/>
      <c r="D898" s="169"/>
      <c r="E898" s="169"/>
    </row>
    <row r="899" spans="2:5">
      <c r="B899" s="46"/>
      <c r="C899" s="169"/>
      <c r="D899" s="169"/>
      <c r="E899" s="169"/>
    </row>
    <row r="900" spans="2:5">
      <c r="B900" s="46"/>
      <c r="C900" s="169"/>
      <c r="D900" s="169"/>
      <c r="E900" s="169"/>
    </row>
    <row r="901" spans="2:5">
      <c r="B901" s="46"/>
      <c r="C901" s="169"/>
      <c r="D901" s="169"/>
      <c r="E901" s="169"/>
    </row>
    <row r="902" spans="2:5">
      <c r="B902" s="46"/>
      <c r="C902" s="169"/>
      <c r="D902" s="169"/>
      <c r="E902" s="169"/>
    </row>
    <row r="903" spans="2:5">
      <c r="B903" s="46"/>
      <c r="C903" s="169"/>
      <c r="D903" s="169"/>
      <c r="E903" s="169"/>
    </row>
    <row r="904" spans="2:5">
      <c r="B904" s="46"/>
      <c r="C904" s="169"/>
      <c r="D904" s="169"/>
      <c r="E904" s="169"/>
    </row>
    <row r="905" spans="2:5">
      <c r="B905" s="46"/>
      <c r="C905" s="169"/>
      <c r="D905" s="169"/>
      <c r="E905" s="169"/>
    </row>
    <row r="906" spans="2:5">
      <c r="B906" s="46"/>
      <c r="C906" s="169"/>
      <c r="D906" s="169"/>
      <c r="E906" s="169"/>
    </row>
    <row r="907" spans="2:5">
      <c r="B907" s="46"/>
      <c r="C907" s="169"/>
      <c r="D907" s="169"/>
      <c r="E907" s="169"/>
    </row>
    <row r="908" spans="2:5">
      <c r="B908" s="46"/>
      <c r="C908" s="169"/>
      <c r="D908" s="169"/>
      <c r="E908" s="169"/>
    </row>
    <row r="909" spans="2:5">
      <c r="B909" s="46"/>
      <c r="C909" s="169"/>
      <c r="D909" s="169"/>
      <c r="E909" s="169"/>
    </row>
    <row r="910" spans="2:5">
      <c r="B910" s="46"/>
      <c r="C910" s="169"/>
      <c r="D910" s="169"/>
      <c r="E910" s="169"/>
    </row>
    <row r="911" spans="2:5">
      <c r="B911" s="46"/>
      <c r="C911" s="169"/>
      <c r="D911" s="169"/>
      <c r="E911" s="169"/>
    </row>
    <row r="912" spans="2:5">
      <c r="B912" s="46"/>
      <c r="C912" s="169"/>
      <c r="D912" s="169"/>
      <c r="E912" s="169"/>
    </row>
    <row r="913" spans="2:5">
      <c r="B913" s="46"/>
      <c r="C913" s="169"/>
      <c r="D913" s="169"/>
      <c r="E913" s="169"/>
    </row>
    <row r="914" spans="2:5">
      <c r="B914" s="46"/>
      <c r="C914" s="169"/>
      <c r="D914" s="169"/>
      <c r="E914" s="169"/>
    </row>
    <row r="915" spans="2:5">
      <c r="B915" s="46"/>
      <c r="C915" s="169"/>
      <c r="D915" s="169"/>
      <c r="E915" s="169"/>
    </row>
    <row r="916" spans="2:5">
      <c r="B916" s="46"/>
      <c r="C916" s="169"/>
      <c r="D916" s="169"/>
      <c r="E916" s="169"/>
    </row>
    <row r="917" spans="2:5">
      <c r="B917" s="46"/>
      <c r="C917" s="169"/>
      <c r="D917" s="169"/>
      <c r="E917" s="169"/>
    </row>
    <row r="918" spans="2:5">
      <c r="B918" s="46"/>
      <c r="C918" s="169"/>
      <c r="D918" s="169"/>
      <c r="E918" s="169"/>
    </row>
    <row r="919" spans="2:5">
      <c r="B919" s="46"/>
      <c r="C919" s="169"/>
      <c r="D919" s="169"/>
      <c r="E919" s="169"/>
    </row>
    <row r="920" spans="2:5">
      <c r="B920" s="46"/>
      <c r="C920" s="169"/>
      <c r="D920" s="169"/>
      <c r="E920" s="169"/>
    </row>
    <row r="921" spans="2:5">
      <c r="B921" s="46"/>
      <c r="C921" s="169"/>
      <c r="D921" s="169"/>
      <c r="E921" s="169"/>
    </row>
    <row r="922" spans="2:5">
      <c r="B922" s="46"/>
      <c r="C922" s="169"/>
      <c r="D922" s="169"/>
      <c r="E922" s="169"/>
    </row>
    <row r="923" spans="2:5">
      <c r="B923" s="46"/>
      <c r="C923" s="169"/>
      <c r="D923" s="169"/>
      <c r="E923" s="169"/>
    </row>
    <row r="924" spans="2:5">
      <c r="B924" s="46"/>
      <c r="C924" s="169"/>
      <c r="D924" s="169"/>
      <c r="E924" s="169"/>
    </row>
    <row r="925" spans="2:5">
      <c r="B925" s="46"/>
      <c r="C925" s="169"/>
      <c r="D925" s="169"/>
      <c r="E925" s="169"/>
    </row>
    <row r="926" spans="2:5">
      <c r="B926" s="46"/>
      <c r="C926" s="169"/>
      <c r="D926" s="169"/>
      <c r="E926" s="169"/>
    </row>
    <row r="927" spans="2:5">
      <c r="B927" s="46"/>
      <c r="C927" s="169"/>
      <c r="D927" s="169"/>
      <c r="E927" s="169"/>
    </row>
    <row r="928" spans="2:5">
      <c r="B928" s="46"/>
      <c r="C928" s="169"/>
      <c r="D928" s="169"/>
      <c r="E928" s="169"/>
    </row>
    <row r="929" spans="2:5">
      <c r="B929" s="46"/>
      <c r="C929" s="169"/>
      <c r="D929" s="169"/>
      <c r="E929" s="169"/>
    </row>
    <row r="930" spans="2:5">
      <c r="B930" s="46"/>
      <c r="C930" s="169"/>
      <c r="D930" s="169"/>
      <c r="E930" s="169"/>
    </row>
    <row r="931" spans="2:5">
      <c r="B931" s="46"/>
      <c r="C931" s="169"/>
      <c r="D931" s="169"/>
      <c r="E931" s="169"/>
    </row>
    <row r="932" spans="2:5">
      <c r="B932" s="46"/>
      <c r="C932" s="169"/>
      <c r="D932" s="169"/>
      <c r="E932" s="169"/>
    </row>
    <row r="933" spans="2:5">
      <c r="B933" s="46"/>
      <c r="C933" s="169"/>
      <c r="D933" s="169"/>
      <c r="E933" s="169"/>
    </row>
    <row r="934" spans="2:5">
      <c r="B934" s="46"/>
      <c r="C934" s="169"/>
      <c r="D934" s="169"/>
      <c r="E934" s="169"/>
    </row>
    <row r="935" spans="2:5">
      <c r="B935" s="46"/>
      <c r="C935" s="169"/>
      <c r="D935" s="169"/>
      <c r="E935" s="169"/>
    </row>
    <row r="936" spans="2:5">
      <c r="B936" s="46"/>
      <c r="C936" s="169"/>
      <c r="D936" s="169"/>
      <c r="E936" s="169"/>
    </row>
    <row r="937" spans="2:5">
      <c r="B937" s="46"/>
      <c r="C937" s="169"/>
      <c r="D937" s="169"/>
      <c r="E937" s="169"/>
    </row>
    <row r="938" spans="2:5">
      <c r="B938" s="46"/>
      <c r="C938" s="169"/>
      <c r="D938" s="169"/>
      <c r="E938" s="169"/>
    </row>
    <row r="939" spans="2:5">
      <c r="B939" s="46"/>
      <c r="C939" s="169"/>
      <c r="D939" s="169"/>
      <c r="E939" s="169"/>
    </row>
    <row r="940" spans="2:5">
      <c r="B940" s="46"/>
      <c r="C940" s="169"/>
      <c r="D940" s="169"/>
      <c r="E940" s="169"/>
    </row>
    <row r="941" spans="2:5">
      <c r="B941" s="46"/>
      <c r="C941" s="169"/>
      <c r="D941" s="169"/>
      <c r="E941" s="169"/>
    </row>
    <row r="942" spans="2:5">
      <c r="B942" s="46"/>
      <c r="C942" s="169"/>
      <c r="D942" s="169"/>
      <c r="E942" s="169"/>
    </row>
    <row r="943" spans="2:5">
      <c r="B943" s="46"/>
      <c r="C943" s="169"/>
      <c r="D943" s="169"/>
      <c r="E943" s="169"/>
    </row>
    <row r="944" spans="2:5">
      <c r="B944" s="46"/>
      <c r="C944" s="169"/>
      <c r="D944" s="169"/>
      <c r="E944" s="169"/>
    </row>
    <row r="945" spans="2:5">
      <c r="B945" s="46"/>
      <c r="C945" s="169"/>
      <c r="D945" s="169"/>
      <c r="E945" s="169"/>
    </row>
    <row r="946" spans="2:5">
      <c r="B946" s="46"/>
      <c r="C946" s="169"/>
      <c r="D946" s="169"/>
      <c r="E946" s="169"/>
    </row>
    <row r="947" spans="2:5">
      <c r="B947" s="46"/>
      <c r="C947" s="169"/>
      <c r="D947" s="169"/>
      <c r="E947" s="169"/>
    </row>
    <row r="948" spans="2:5">
      <c r="B948" s="46"/>
      <c r="C948" s="169"/>
      <c r="D948" s="169"/>
      <c r="E948" s="169"/>
    </row>
    <row r="949" spans="2:5">
      <c r="B949" s="46"/>
      <c r="C949" s="169"/>
      <c r="D949" s="169"/>
      <c r="E949" s="169"/>
    </row>
    <row r="950" spans="2:5">
      <c r="B950" s="46"/>
      <c r="C950" s="169"/>
      <c r="D950" s="169"/>
      <c r="E950" s="169"/>
    </row>
    <row r="951" spans="2:5">
      <c r="B951" s="46"/>
      <c r="C951" s="169"/>
      <c r="D951" s="169"/>
      <c r="E951" s="169"/>
    </row>
    <row r="952" spans="2:5">
      <c r="B952" s="46"/>
      <c r="C952" s="169"/>
      <c r="D952" s="169"/>
      <c r="E952" s="169"/>
    </row>
    <row r="953" spans="2:5">
      <c r="B953" s="46"/>
      <c r="C953" s="169"/>
      <c r="D953" s="169"/>
      <c r="E953" s="169"/>
    </row>
    <row r="954" spans="2:5">
      <c r="B954" s="46"/>
      <c r="C954" s="169"/>
      <c r="D954" s="169"/>
      <c r="E954" s="169"/>
    </row>
    <row r="955" spans="2:5">
      <c r="B955" s="46"/>
      <c r="C955" s="169"/>
      <c r="D955" s="169"/>
      <c r="E955" s="169"/>
    </row>
    <row r="956" spans="2:5">
      <c r="B956" s="46"/>
      <c r="C956" s="169"/>
      <c r="D956" s="169"/>
      <c r="E956" s="169"/>
    </row>
    <row r="957" spans="2:5">
      <c r="B957" s="46"/>
      <c r="C957" s="169"/>
      <c r="D957" s="169"/>
      <c r="E957" s="169"/>
    </row>
    <row r="958" spans="2:5">
      <c r="B958" s="46"/>
      <c r="C958" s="169"/>
      <c r="D958" s="169"/>
      <c r="E958" s="169"/>
    </row>
    <row r="959" spans="2:5">
      <c r="B959" s="46"/>
      <c r="C959" s="169"/>
      <c r="D959" s="169"/>
      <c r="E959" s="169"/>
    </row>
    <row r="960" spans="2:5">
      <c r="B960" s="46"/>
      <c r="C960" s="169"/>
      <c r="D960" s="169"/>
      <c r="E960" s="169"/>
    </row>
    <row r="961" spans="2:5">
      <c r="B961" s="46"/>
      <c r="C961" s="169"/>
      <c r="D961" s="169"/>
      <c r="E961" s="169"/>
    </row>
    <row r="962" spans="2:5">
      <c r="B962" s="46"/>
      <c r="C962" s="169"/>
      <c r="D962" s="169"/>
      <c r="E962" s="169"/>
    </row>
    <row r="963" spans="2:5">
      <c r="B963" s="46"/>
      <c r="C963" s="169"/>
      <c r="D963" s="169"/>
      <c r="E963" s="169"/>
    </row>
    <row r="964" spans="2:5">
      <c r="B964" s="46"/>
      <c r="C964" s="169"/>
      <c r="D964" s="169"/>
      <c r="E964" s="169"/>
    </row>
    <row r="965" spans="2:5">
      <c r="B965" s="46"/>
      <c r="C965" s="169"/>
      <c r="D965" s="169"/>
      <c r="E965" s="169"/>
    </row>
    <row r="966" spans="2:5">
      <c r="B966" s="46"/>
      <c r="C966" s="169"/>
      <c r="D966" s="169"/>
      <c r="E966" s="169"/>
    </row>
    <row r="967" spans="2:5">
      <c r="B967" s="46"/>
      <c r="C967" s="169"/>
      <c r="D967" s="169"/>
      <c r="E967" s="169"/>
    </row>
    <row r="968" spans="2:5">
      <c r="B968" s="46"/>
      <c r="C968" s="169"/>
      <c r="D968" s="169"/>
      <c r="E968" s="169"/>
    </row>
    <row r="969" spans="2:5">
      <c r="B969" s="46"/>
      <c r="C969" s="169"/>
      <c r="D969" s="169"/>
      <c r="E969" s="169"/>
    </row>
    <row r="970" spans="2:5">
      <c r="B970" s="46"/>
      <c r="C970" s="169"/>
      <c r="D970" s="169"/>
      <c r="E970" s="169"/>
    </row>
    <row r="971" spans="2:5">
      <c r="B971" s="46"/>
      <c r="C971" s="169"/>
      <c r="D971" s="169"/>
      <c r="E971" s="169"/>
    </row>
    <row r="972" spans="2:5">
      <c r="B972" s="46"/>
      <c r="C972" s="169"/>
      <c r="D972" s="169"/>
      <c r="E972" s="169"/>
    </row>
    <row r="973" spans="2:5">
      <c r="B973" s="46"/>
      <c r="C973" s="169"/>
      <c r="D973" s="169"/>
      <c r="E973" s="169"/>
    </row>
    <row r="974" spans="2:5">
      <c r="B974" s="46"/>
      <c r="C974" s="169"/>
      <c r="D974" s="169"/>
      <c r="E974" s="169"/>
    </row>
    <row r="975" spans="2:5">
      <c r="B975" s="46"/>
      <c r="C975" s="169"/>
      <c r="D975" s="169"/>
      <c r="E975" s="169"/>
    </row>
    <row r="976" spans="2:5">
      <c r="B976" s="46"/>
      <c r="C976" s="169"/>
      <c r="D976" s="169"/>
      <c r="E976" s="169"/>
    </row>
    <row r="977" spans="2:5">
      <c r="B977" s="46"/>
      <c r="C977" s="169"/>
      <c r="D977" s="169"/>
      <c r="E977" s="169"/>
    </row>
    <row r="978" spans="2:5">
      <c r="B978" s="46"/>
      <c r="C978" s="169"/>
      <c r="D978" s="169"/>
      <c r="E978" s="169"/>
    </row>
    <row r="979" spans="2:5">
      <c r="B979" s="46"/>
      <c r="C979" s="169"/>
      <c r="D979" s="169"/>
      <c r="E979" s="169"/>
    </row>
    <row r="980" spans="2:5">
      <c r="B980" s="46"/>
      <c r="C980" s="169"/>
      <c r="D980" s="169"/>
      <c r="E980" s="169"/>
    </row>
    <row r="981" spans="2:5">
      <c r="B981" s="46"/>
      <c r="C981" s="169"/>
      <c r="D981" s="169"/>
      <c r="E981" s="169"/>
    </row>
    <row r="982" spans="2:5">
      <c r="B982" s="46"/>
      <c r="C982" s="169"/>
      <c r="D982" s="169"/>
      <c r="E982" s="169"/>
    </row>
    <row r="983" spans="2:5">
      <c r="B983" s="46"/>
      <c r="C983" s="169"/>
      <c r="D983" s="169"/>
      <c r="E983" s="169"/>
    </row>
    <row r="984" spans="2:5">
      <c r="B984" s="46"/>
      <c r="C984" s="169"/>
      <c r="D984" s="169"/>
      <c r="E984" s="169"/>
    </row>
    <row r="985" spans="2:5">
      <c r="B985" s="46"/>
      <c r="C985" s="169"/>
      <c r="D985" s="169"/>
      <c r="E985" s="169"/>
    </row>
    <row r="986" spans="2:5">
      <c r="B986" s="46"/>
      <c r="C986" s="169"/>
      <c r="D986" s="169"/>
      <c r="E986" s="169"/>
    </row>
    <row r="987" spans="2:5">
      <c r="B987" s="46"/>
      <c r="C987" s="169"/>
      <c r="D987" s="169"/>
      <c r="E987" s="169"/>
    </row>
    <row r="988" spans="2:5">
      <c r="B988" s="46"/>
      <c r="C988" s="169"/>
      <c r="D988" s="169"/>
      <c r="E988" s="169"/>
    </row>
    <row r="989" spans="2:5">
      <c r="B989" s="46"/>
      <c r="C989" s="169"/>
      <c r="D989" s="169"/>
      <c r="E989" s="169"/>
    </row>
    <row r="990" spans="2:5">
      <c r="B990" s="46"/>
      <c r="C990" s="169"/>
      <c r="D990" s="169"/>
      <c r="E990" s="169"/>
    </row>
    <row r="991" spans="2:5">
      <c r="B991" s="46"/>
      <c r="C991" s="169"/>
      <c r="D991" s="169"/>
      <c r="E991" s="169"/>
    </row>
    <row r="992" spans="2:5">
      <c r="B992" s="46"/>
      <c r="C992" s="169"/>
      <c r="D992" s="169"/>
      <c r="E992" s="169"/>
    </row>
    <row r="993" spans="2:5">
      <c r="B993" s="46"/>
      <c r="C993" s="169"/>
      <c r="D993" s="169"/>
      <c r="E993" s="169"/>
    </row>
    <row r="994" spans="2:5">
      <c r="B994" s="46"/>
      <c r="C994" s="169"/>
      <c r="D994" s="169"/>
      <c r="E994" s="169"/>
    </row>
    <row r="995" spans="2:5">
      <c r="B995" s="46"/>
      <c r="C995" s="169"/>
      <c r="D995" s="169"/>
      <c r="E995" s="169"/>
    </row>
    <row r="996" spans="2:5">
      <c r="B996" s="46"/>
      <c r="C996" s="169"/>
      <c r="D996" s="169"/>
      <c r="E996" s="169"/>
    </row>
    <row r="997" spans="2:5">
      <c r="B997" s="46"/>
      <c r="C997" s="169"/>
      <c r="D997" s="169"/>
      <c r="E997" s="169"/>
    </row>
    <row r="998" spans="2:5">
      <c r="B998" s="46"/>
      <c r="C998" s="169"/>
      <c r="D998" s="169"/>
      <c r="E998" s="169"/>
    </row>
    <row r="999" spans="2:5">
      <c r="B999" s="46"/>
      <c r="C999" s="169"/>
      <c r="D999" s="169"/>
      <c r="E999" s="169"/>
    </row>
    <row r="1000" spans="2:5">
      <c r="B1000" s="46"/>
      <c r="C1000" s="169"/>
      <c r="D1000" s="169"/>
      <c r="E1000" s="169"/>
    </row>
    <row r="1001" spans="2:5">
      <c r="B1001" s="46"/>
      <c r="C1001" s="169"/>
      <c r="D1001" s="169"/>
      <c r="E1001" s="169"/>
    </row>
    <row r="1002" spans="2:5">
      <c r="B1002" s="46"/>
      <c r="C1002" s="169"/>
      <c r="D1002" s="169"/>
      <c r="E1002" s="169"/>
    </row>
    <row r="1003" spans="2:5">
      <c r="B1003" s="46"/>
      <c r="C1003" s="169"/>
      <c r="D1003" s="169"/>
      <c r="E1003" s="169"/>
    </row>
    <row r="1004" spans="2:5">
      <c r="B1004" s="46"/>
      <c r="C1004" s="169"/>
      <c r="D1004" s="169"/>
      <c r="E1004" s="169"/>
    </row>
    <row r="1005" spans="2:5">
      <c r="B1005" s="46"/>
      <c r="C1005" s="169"/>
      <c r="D1005" s="169"/>
      <c r="E1005" s="169"/>
    </row>
    <row r="1006" spans="2:5">
      <c r="B1006" s="46"/>
      <c r="C1006" s="169"/>
      <c r="D1006" s="169"/>
      <c r="E1006" s="169"/>
    </row>
    <row r="1007" spans="2:5">
      <c r="B1007" s="46"/>
      <c r="C1007" s="169"/>
      <c r="D1007" s="169"/>
      <c r="E1007" s="169"/>
    </row>
    <row r="1008" spans="2:5">
      <c r="B1008" s="46"/>
      <c r="C1008" s="169"/>
      <c r="D1008" s="169"/>
      <c r="E1008" s="169"/>
    </row>
    <row r="1009" spans="2:5">
      <c r="B1009" s="46"/>
      <c r="C1009" s="169"/>
      <c r="D1009" s="169"/>
      <c r="E1009" s="169"/>
    </row>
    <row r="1010" spans="2:5">
      <c r="B1010" s="46"/>
      <c r="C1010" s="169"/>
      <c r="D1010" s="169"/>
      <c r="E1010" s="169"/>
    </row>
    <row r="1011" spans="2:5">
      <c r="B1011" s="46"/>
      <c r="C1011" s="169"/>
      <c r="D1011" s="169"/>
      <c r="E1011" s="169"/>
    </row>
    <row r="1012" spans="2:5">
      <c r="B1012" s="46"/>
      <c r="C1012" s="169"/>
      <c r="D1012" s="169"/>
      <c r="E1012" s="169"/>
    </row>
    <row r="1013" spans="2:5">
      <c r="B1013" s="46"/>
      <c r="C1013" s="169"/>
      <c r="D1013" s="169"/>
      <c r="E1013" s="169"/>
    </row>
    <row r="1014" spans="2:5">
      <c r="B1014" s="46"/>
      <c r="C1014" s="169"/>
      <c r="D1014" s="169"/>
      <c r="E1014" s="169"/>
    </row>
    <row r="1015" spans="2:5">
      <c r="B1015" s="46"/>
      <c r="C1015" s="169"/>
      <c r="D1015" s="169"/>
      <c r="E1015" s="169"/>
    </row>
    <row r="1016" spans="2:5">
      <c r="B1016" s="46"/>
      <c r="C1016" s="169"/>
      <c r="D1016" s="169"/>
      <c r="E1016" s="169"/>
    </row>
    <row r="1017" spans="2:5">
      <c r="B1017" s="46"/>
      <c r="C1017" s="169"/>
      <c r="D1017" s="169"/>
      <c r="E1017" s="169"/>
    </row>
    <row r="1018" spans="2:5">
      <c r="B1018" s="46"/>
      <c r="C1018" s="169"/>
      <c r="D1018" s="169"/>
      <c r="E1018" s="169"/>
    </row>
    <row r="1019" spans="2:5">
      <c r="B1019" s="46"/>
      <c r="C1019" s="169"/>
      <c r="D1019" s="169"/>
      <c r="E1019" s="169"/>
    </row>
    <row r="1020" spans="2:5">
      <c r="B1020" s="46"/>
      <c r="C1020" s="169"/>
      <c r="D1020" s="169"/>
      <c r="E1020" s="169"/>
    </row>
    <row r="1021" spans="2:5">
      <c r="B1021" s="46"/>
      <c r="C1021" s="169"/>
      <c r="D1021" s="169"/>
      <c r="E1021" s="169"/>
    </row>
    <row r="1022" spans="2:5">
      <c r="B1022" s="46"/>
      <c r="C1022" s="169"/>
      <c r="D1022" s="169"/>
      <c r="E1022" s="169"/>
    </row>
    <row r="1023" spans="2:5">
      <c r="B1023" s="46"/>
      <c r="C1023" s="169"/>
      <c r="D1023" s="169"/>
      <c r="E1023" s="169"/>
    </row>
    <row r="1024" spans="2:5">
      <c r="B1024" s="46"/>
      <c r="C1024" s="169"/>
      <c r="D1024" s="169"/>
      <c r="E1024" s="169"/>
    </row>
    <row r="1025" spans="2:5">
      <c r="B1025" s="46"/>
      <c r="C1025" s="169"/>
      <c r="D1025" s="169"/>
      <c r="E1025" s="169"/>
    </row>
    <row r="1026" spans="2:5">
      <c r="B1026" s="46"/>
      <c r="C1026" s="169"/>
      <c r="D1026" s="169"/>
      <c r="E1026" s="169"/>
    </row>
    <row r="1027" spans="2:5">
      <c r="B1027" s="46"/>
      <c r="C1027" s="169"/>
      <c r="D1027" s="169"/>
      <c r="E1027" s="169"/>
    </row>
    <row r="1028" spans="2:5">
      <c r="B1028" s="46"/>
      <c r="C1028" s="169"/>
      <c r="D1028" s="169"/>
      <c r="E1028" s="169"/>
    </row>
    <row r="1029" spans="2:5">
      <c r="B1029" s="46"/>
      <c r="C1029" s="169"/>
      <c r="D1029" s="169"/>
      <c r="E1029" s="169"/>
    </row>
    <row r="1030" spans="2:5">
      <c r="B1030" s="46"/>
      <c r="C1030" s="169"/>
      <c r="D1030" s="169"/>
      <c r="E1030" s="169"/>
    </row>
    <row r="1031" spans="2:5">
      <c r="B1031" s="46"/>
      <c r="C1031" s="169"/>
      <c r="D1031" s="169"/>
      <c r="E1031" s="169"/>
    </row>
    <row r="1032" spans="2:5">
      <c r="B1032" s="46"/>
      <c r="C1032" s="169"/>
      <c r="D1032" s="169"/>
      <c r="E1032" s="169"/>
    </row>
    <row r="1033" spans="2:5">
      <c r="B1033" s="46"/>
      <c r="C1033" s="169"/>
      <c r="D1033" s="169"/>
      <c r="E1033" s="169"/>
    </row>
    <row r="1034" spans="2:5">
      <c r="B1034" s="46"/>
      <c r="C1034" s="169"/>
      <c r="D1034" s="169"/>
      <c r="E1034" s="169"/>
    </row>
    <row r="1035" spans="2:5">
      <c r="B1035" s="46"/>
      <c r="C1035" s="169"/>
      <c r="D1035" s="169"/>
      <c r="E1035" s="169"/>
    </row>
    <row r="1036" spans="2:5">
      <c r="B1036" s="46"/>
      <c r="C1036" s="169"/>
      <c r="D1036" s="169"/>
      <c r="E1036" s="169"/>
    </row>
    <row r="1037" spans="2:5">
      <c r="B1037" s="46"/>
      <c r="C1037" s="169"/>
      <c r="D1037" s="169"/>
      <c r="E1037" s="169"/>
    </row>
    <row r="1038" spans="2:5">
      <c r="B1038" s="46"/>
      <c r="C1038" s="169"/>
      <c r="D1038" s="169"/>
      <c r="E1038" s="169"/>
    </row>
    <row r="1039" spans="2:5">
      <c r="B1039" s="46"/>
      <c r="C1039" s="169"/>
      <c r="D1039" s="169"/>
      <c r="E1039" s="169"/>
    </row>
    <row r="1040" spans="2:5">
      <c r="B1040" s="46"/>
      <c r="C1040" s="169"/>
      <c r="D1040" s="169"/>
      <c r="E1040" s="169"/>
    </row>
    <row r="1041" spans="2:5">
      <c r="B1041" s="46"/>
      <c r="C1041" s="169"/>
      <c r="D1041" s="169"/>
      <c r="E1041" s="169"/>
    </row>
    <row r="1042" spans="2:5">
      <c r="B1042" s="46"/>
      <c r="C1042" s="169"/>
      <c r="D1042" s="169"/>
      <c r="E1042" s="169"/>
    </row>
    <row r="1043" spans="2:5">
      <c r="B1043" s="46"/>
      <c r="C1043" s="169"/>
      <c r="D1043" s="169"/>
      <c r="E1043" s="169"/>
    </row>
    <row r="1044" spans="2:5">
      <c r="B1044" s="46"/>
      <c r="C1044" s="169"/>
      <c r="D1044" s="169"/>
      <c r="E1044" s="169"/>
    </row>
    <row r="1045" spans="2:5">
      <c r="B1045" s="46"/>
      <c r="C1045" s="169"/>
      <c r="D1045" s="169"/>
      <c r="E1045" s="169"/>
    </row>
    <row r="1046" spans="2:5">
      <c r="B1046" s="46"/>
      <c r="C1046" s="169"/>
      <c r="D1046" s="169"/>
      <c r="E1046" s="169"/>
    </row>
    <row r="1047" spans="2:5">
      <c r="B1047" s="46"/>
      <c r="C1047" s="169"/>
      <c r="D1047" s="169"/>
      <c r="E1047" s="169"/>
    </row>
    <row r="1048" spans="2:5">
      <c r="B1048" s="46"/>
      <c r="C1048" s="169"/>
      <c r="D1048" s="169"/>
      <c r="E1048" s="169"/>
    </row>
    <row r="1049" spans="2:5">
      <c r="B1049" s="46"/>
      <c r="C1049" s="169"/>
      <c r="D1049" s="169"/>
      <c r="E1049" s="169"/>
    </row>
    <row r="1050" spans="2:5">
      <c r="B1050" s="46"/>
      <c r="C1050" s="169"/>
      <c r="D1050" s="169"/>
      <c r="E1050" s="169"/>
    </row>
    <row r="1051" spans="2:5">
      <c r="B1051" s="46"/>
      <c r="C1051" s="169"/>
      <c r="D1051" s="169"/>
      <c r="E1051" s="169"/>
    </row>
    <row r="1052" spans="2:5">
      <c r="B1052" s="46"/>
      <c r="C1052" s="169"/>
      <c r="D1052" s="169"/>
      <c r="E1052" s="169"/>
    </row>
    <row r="1053" spans="2:5">
      <c r="B1053" s="46"/>
      <c r="C1053" s="169"/>
      <c r="D1053" s="169"/>
      <c r="E1053" s="169"/>
    </row>
    <row r="1054" spans="2:5">
      <c r="B1054" s="46"/>
      <c r="C1054" s="169"/>
      <c r="D1054" s="169"/>
      <c r="E1054" s="169"/>
    </row>
    <row r="1055" spans="2:5">
      <c r="B1055" s="46"/>
      <c r="C1055" s="169"/>
      <c r="D1055" s="169"/>
      <c r="E1055" s="169"/>
    </row>
    <row r="1056" spans="2:5">
      <c r="B1056" s="46"/>
      <c r="C1056" s="169"/>
      <c r="D1056" s="169"/>
      <c r="E1056" s="169"/>
    </row>
    <row r="1057" spans="2:5">
      <c r="B1057" s="46"/>
      <c r="C1057" s="169"/>
      <c r="D1057" s="169"/>
      <c r="E1057" s="169"/>
    </row>
    <row r="1058" spans="2:5">
      <c r="B1058" s="46"/>
      <c r="C1058" s="169"/>
      <c r="D1058" s="169"/>
      <c r="E1058" s="169"/>
    </row>
    <row r="1059" spans="2:5">
      <c r="B1059" s="46"/>
      <c r="C1059" s="169"/>
      <c r="D1059" s="169"/>
      <c r="E1059" s="169"/>
    </row>
    <row r="1060" spans="2:5">
      <c r="B1060" s="46"/>
      <c r="C1060" s="169"/>
      <c r="D1060" s="169"/>
      <c r="E1060" s="169"/>
    </row>
    <row r="1061" spans="2:5">
      <c r="B1061" s="46"/>
      <c r="C1061" s="169"/>
      <c r="D1061" s="169"/>
      <c r="E1061" s="169"/>
    </row>
    <row r="1062" spans="2:5">
      <c r="B1062" s="46"/>
      <c r="C1062" s="169"/>
      <c r="D1062" s="169"/>
      <c r="E1062" s="169"/>
    </row>
    <row r="1063" spans="2:5">
      <c r="B1063" s="46"/>
      <c r="C1063" s="169"/>
      <c r="D1063" s="169"/>
      <c r="E1063" s="169"/>
    </row>
    <row r="1064" spans="2:5">
      <c r="B1064" s="46"/>
      <c r="C1064" s="169"/>
      <c r="D1064" s="169"/>
      <c r="E1064" s="169"/>
    </row>
    <row r="1065" spans="2:5">
      <c r="B1065" s="46"/>
      <c r="C1065" s="169"/>
      <c r="D1065" s="169"/>
      <c r="E1065" s="169"/>
    </row>
    <row r="1066" spans="2:5">
      <c r="B1066" s="46"/>
      <c r="C1066" s="169"/>
      <c r="D1066" s="169"/>
      <c r="E1066" s="169"/>
    </row>
    <row r="1067" spans="2:5">
      <c r="B1067" s="46"/>
      <c r="C1067" s="169"/>
      <c r="D1067" s="169"/>
      <c r="E1067" s="169"/>
    </row>
    <row r="1068" spans="2:5">
      <c r="B1068" s="46"/>
      <c r="C1068" s="169"/>
      <c r="D1068" s="169"/>
      <c r="E1068" s="169"/>
    </row>
    <row r="1069" spans="2:5">
      <c r="B1069" s="46"/>
      <c r="C1069" s="169"/>
      <c r="D1069" s="169"/>
      <c r="E1069" s="169"/>
    </row>
    <row r="1070" spans="2:5">
      <c r="B1070" s="46"/>
      <c r="C1070" s="169"/>
      <c r="D1070" s="169"/>
      <c r="E1070" s="169"/>
    </row>
    <row r="1071" spans="2:5">
      <c r="B1071" s="46"/>
      <c r="C1071" s="169"/>
      <c r="D1071" s="169"/>
      <c r="E1071" s="169"/>
    </row>
    <row r="1072" spans="2:5">
      <c r="B1072" s="46"/>
      <c r="C1072" s="169"/>
      <c r="D1072" s="169"/>
      <c r="E1072" s="169"/>
    </row>
    <row r="1073" spans="2:5">
      <c r="B1073" s="46"/>
      <c r="C1073" s="169"/>
      <c r="D1073" s="169"/>
      <c r="E1073" s="169"/>
    </row>
    <row r="1074" spans="2:5">
      <c r="B1074" s="46"/>
      <c r="C1074" s="169"/>
      <c r="D1074" s="169"/>
      <c r="E1074" s="169"/>
    </row>
    <row r="1075" spans="2:5">
      <c r="B1075" s="46"/>
      <c r="C1075" s="169"/>
      <c r="D1075" s="169"/>
      <c r="E1075" s="169"/>
    </row>
    <row r="1076" spans="2:5">
      <c r="B1076" s="46"/>
      <c r="C1076" s="169"/>
      <c r="D1076" s="169"/>
      <c r="E1076" s="169"/>
    </row>
    <row r="1077" spans="2:5">
      <c r="B1077" s="46"/>
      <c r="C1077" s="169"/>
      <c r="D1077" s="169"/>
      <c r="E1077" s="169"/>
    </row>
    <row r="1078" spans="2:5">
      <c r="B1078" s="46"/>
      <c r="C1078" s="169"/>
      <c r="D1078" s="169"/>
      <c r="E1078" s="169"/>
    </row>
    <row r="1079" spans="2:5">
      <c r="B1079" s="46"/>
      <c r="C1079" s="169"/>
      <c r="D1079" s="169"/>
      <c r="E1079" s="169"/>
    </row>
    <row r="1080" spans="2:5">
      <c r="B1080" s="46"/>
      <c r="C1080" s="169"/>
      <c r="D1080" s="169"/>
      <c r="E1080" s="169"/>
    </row>
    <row r="1081" spans="2:5">
      <c r="B1081" s="46"/>
      <c r="C1081" s="169"/>
      <c r="D1081" s="169"/>
      <c r="E1081" s="169"/>
    </row>
    <row r="1082" spans="2:5">
      <c r="B1082" s="46"/>
      <c r="C1082" s="169"/>
      <c r="D1082" s="169"/>
      <c r="E1082" s="169"/>
    </row>
    <row r="1083" spans="2:5">
      <c r="B1083" s="46"/>
      <c r="C1083" s="169"/>
      <c r="D1083" s="169"/>
      <c r="E1083" s="169"/>
    </row>
    <row r="1084" spans="2:5">
      <c r="B1084" s="46"/>
      <c r="C1084" s="169"/>
      <c r="D1084" s="169"/>
      <c r="E1084" s="169"/>
    </row>
    <row r="1085" spans="2:5">
      <c r="B1085" s="46"/>
      <c r="C1085" s="169"/>
      <c r="D1085" s="169"/>
      <c r="E1085" s="169"/>
    </row>
    <row r="1086" spans="2:5">
      <c r="B1086" s="46"/>
      <c r="C1086" s="169"/>
      <c r="D1086" s="169"/>
      <c r="E1086" s="169"/>
    </row>
    <row r="1087" spans="2:5">
      <c r="B1087" s="46"/>
      <c r="C1087" s="169"/>
      <c r="D1087" s="169"/>
      <c r="E1087" s="169"/>
    </row>
    <row r="1088" spans="2:5">
      <c r="B1088" s="46"/>
      <c r="C1088" s="169"/>
      <c r="D1088" s="169"/>
      <c r="E1088" s="169"/>
    </row>
    <row r="1089" spans="2:5">
      <c r="B1089" s="46"/>
      <c r="C1089" s="169"/>
      <c r="D1089" s="169"/>
      <c r="E1089" s="169"/>
    </row>
    <row r="1090" spans="2:5">
      <c r="B1090" s="46"/>
      <c r="C1090" s="169"/>
      <c r="D1090" s="169"/>
      <c r="E1090" s="169"/>
    </row>
    <row r="1091" spans="2:5">
      <c r="B1091" s="46"/>
      <c r="C1091" s="169"/>
      <c r="D1091" s="169"/>
      <c r="E1091" s="169"/>
    </row>
    <row r="1092" spans="2:5">
      <c r="B1092" s="46"/>
      <c r="C1092" s="169"/>
      <c r="D1092" s="169"/>
      <c r="E1092" s="169"/>
    </row>
    <row r="1093" spans="2:5">
      <c r="B1093" s="46"/>
      <c r="C1093" s="169"/>
      <c r="D1093" s="169"/>
      <c r="E1093" s="169"/>
    </row>
    <row r="1094" spans="2:5">
      <c r="B1094" s="46"/>
      <c r="C1094" s="169"/>
      <c r="D1094" s="169"/>
      <c r="E1094" s="169"/>
    </row>
    <row r="1095" spans="2:5">
      <c r="B1095" s="46"/>
      <c r="C1095" s="169"/>
      <c r="D1095" s="169"/>
      <c r="E1095" s="169"/>
    </row>
    <row r="1096" spans="2:5">
      <c r="B1096" s="46"/>
      <c r="C1096" s="169"/>
      <c r="D1096" s="169"/>
      <c r="E1096" s="169"/>
    </row>
    <row r="1097" spans="2:5">
      <c r="B1097" s="46"/>
      <c r="C1097" s="169"/>
      <c r="D1097" s="169"/>
      <c r="E1097" s="169"/>
    </row>
    <row r="1098" spans="2:5">
      <c r="B1098" s="46"/>
      <c r="C1098" s="169"/>
      <c r="D1098" s="169"/>
      <c r="E1098" s="169"/>
    </row>
    <row r="1099" spans="2:5">
      <c r="B1099" s="46"/>
      <c r="C1099" s="169"/>
      <c r="D1099" s="169"/>
      <c r="E1099" s="169"/>
    </row>
    <row r="1100" spans="2:5">
      <c r="B1100" s="46"/>
      <c r="C1100" s="169"/>
      <c r="D1100" s="169"/>
      <c r="E1100" s="169"/>
    </row>
    <row r="1101" spans="2:5">
      <c r="B1101" s="46"/>
      <c r="C1101" s="169"/>
      <c r="D1101" s="169"/>
      <c r="E1101" s="169"/>
    </row>
    <row r="1102" spans="2:5">
      <c r="B1102" s="46"/>
      <c r="C1102" s="169"/>
      <c r="D1102" s="169"/>
      <c r="E1102" s="169"/>
    </row>
    <row r="1103" spans="2:5">
      <c r="B1103" s="46"/>
      <c r="C1103" s="169"/>
      <c r="D1103" s="169"/>
      <c r="E1103" s="169"/>
    </row>
    <row r="1104" spans="2:5">
      <c r="B1104" s="46"/>
      <c r="C1104" s="169"/>
      <c r="D1104" s="169"/>
      <c r="E1104" s="169"/>
    </row>
    <row r="1105" spans="2:5">
      <c r="B1105" s="46"/>
      <c r="C1105" s="169"/>
      <c r="D1105" s="169"/>
      <c r="E1105" s="169"/>
    </row>
    <row r="1106" spans="2:5">
      <c r="B1106" s="46"/>
      <c r="C1106" s="169"/>
      <c r="D1106" s="169"/>
      <c r="E1106" s="169"/>
    </row>
    <row r="1107" spans="2:5">
      <c r="B1107" s="46"/>
      <c r="C1107" s="169"/>
      <c r="D1107" s="169"/>
      <c r="E1107" s="169"/>
    </row>
    <row r="1108" spans="2:5">
      <c r="B1108" s="46"/>
      <c r="C1108" s="169"/>
      <c r="D1108" s="169"/>
      <c r="E1108" s="169"/>
    </row>
    <row r="1109" spans="2:5">
      <c r="B1109" s="46"/>
      <c r="C1109" s="169"/>
      <c r="D1109" s="169"/>
      <c r="E1109" s="169"/>
    </row>
    <row r="1110" spans="2:5">
      <c r="B1110" s="46"/>
      <c r="C1110" s="169"/>
      <c r="D1110" s="169"/>
      <c r="E1110" s="169"/>
    </row>
    <row r="1111" spans="2:5">
      <c r="B1111" s="46"/>
      <c r="C1111" s="169"/>
      <c r="D1111" s="169"/>
      <c r="E1111" s="169"/>
    </row>
    <row r="1112" spans="2:5">
      <c r="B1112" s="46"/>
      <c r="C1112" s="169"/>
      <c r="D1112" s="169"/>
      <c r="E1112" s="169"/>
    </row>
    <row r="1113" spans="2:5">
      <c r="B1113" s="46"/>
      <c r="C1113" s="169"/>
      <c r="D1113" s="169"/>
      <c r="E1113" s="169"/>
    </row>
    <row r="1114" spans="2:5">
      <c r="B1114" s="46"/>
      <c r="C1114" s="169"/>
      <c r="D1114" s="169"/>
      <c r="E1114" s="169"/>
    </row>
    <row r="1115" spans="2:5">
      <c r="B1115" s="46"/>
      <c r="C1115" s="169"/>
      <c r="D1115" s="169"/>
      <c r="E1115" s="169"/>
    </row>
    <row r="1116" spans="2:5">
      <c r="B1116" s="46"/>
      <c r="C1116" s="169"/>
      <c r="D1116" s="169"/>
      <c r="E1116" s="169"/>
    </row>
    <row r="1117" spans="2:5">
      <c r="B1117" s="46"/>
      <c r="C1117" s="169"/>
      <c r="D1117" s="169"/>
      <c r="E1117" s="169"/>
    </row>
    <row r="1118" spans="2:5">
      <c r="B1118" s="46"/>
      <c r="C1118" s="169"/>
      <c r="D1118" s="169"/>
      <c r="E1118" s="169"/>
    </row>
    <row r="1119" spans="2:5">
      <c r="B1119" s="46"/>
      <c r="C1119" s="169"/>
      <c r="D1119" s="169"/>
      <c r="E1119" s="169"/>
    </row>
    <row r="1120" spans="2:5">
      <c r="B1120" s="46"/>
      <c r="C1120" s="169"/>
      <c r="D1120" s="169"/>
      <c r="E1120" s="169"/>
    </row>
    <row r="1121" spans="2:5">
      <c r="B1121" s="46"/>
      <c r="C1121" s="169"/>
      <c r="D1121" s="169"/>
      <c r="E1121" s="169"/>
    </row>
    <row r="1122" spans="2:5">
      <c r="B1122" s="46"/>
      <c r="C1122" s="169"/>
      <c r="D1122" s="169"/>
      <c r="E1122" s="169"/>
    </row>
    <row r="1123" spans="2:5">
      <c r="B1123" s="46"/>
      <c r="C1123" s="169"/>
      <c r="D1123" s="169"/>
      <c r="E1123" s="169"/>
    </row>
    <row r="1124" spans="2:5">
      <c r="B1124" s="46"/>
      <c r="C1124" s="169"/>
      <c r="D1124" s="169"/>
      <c r="E1124" s="169"/>
    </row>
    <row r="1125" spans="2:5">
      <c r="B1125" s="46"/>
      <c r="C1125" s="169"/>
      <c r="D1125" s="169"/>
      <c r="E1125" s="169"/>
    </row>
    <row r="1126" spans="2:5">
      <c r="B1126" s="46"/>
      <c r="C1126" s="169"/>
      <c r="D1126" s="169"/>
      <c r="E1126" s="169"/>
    </row>
    <row r="1127" spans="2:5">
      <c r="B1127" s="46"/>
      <c r="C1127" s="169"/>
      <c r="D1127" s="169"/>
      <c r="E1127" s="169"/>
    </row>
    <row r="1128" spans="2:5">
      <c r="B1128" s="46"/>
      <c r="C1128" s="169"/>
      <c r="D1128" s="169"/>
      <c r="E1128" s="169"/>
    </row>
    <row r="1129" spans="2:5">
      <c r="B1129" s="46"/>
      <c r="C1129" s="169"/>
      <c r="D1129" s="169"/>
      <c r="E1129" s="169"/>
    </row>
    <row r="1130" spans="2:5">
      <c r="B1130" s="46"/>
      <c r="C1130" s="169"/>
      <c r="D1130" s="169"/>
      <c r="E1130" s="169"/>
    </row>
    <row r="1131" spans="2:5">
      <c r="B1131" s="46"/>
      <c r="C1131" s="169"/>
      <c r="D1131" s="169"/>
      <c r="E1131" s="169"/>
    </row>
    <row r="1132" spans="2:5">
      <c r="B1132" s="46"/>
      <c r="C1132" s="169"/>
      <c r="D1132" s="169"/>
      <c r="E1132" s="169"/>
    </row>
    <row r="1133" spans="2:5">
      <c r="B1133" s="46"/>
      <c r="C1133" s="169"/>
      <c r="D1133" s="169"/>
      <c r="E1133" s="169"/>
    </row>
    <row r="1134" spans="2:5">
      <c r="B1134" s="46"/>
      <c r="C1134" s="169"/>
      <c r="D1134" s="169"/>
      <c r="E1134" s="169"/>
    </row>
    <row r="1135" spans="2:5">
      <c r="B1135" s="46"/>
      <c r="C1135" s="169"/>
      <c r="D1135" s="169"/>
      <c r="E1135" s="169"/>
    </row>
    <row r="1136" spans="2:5">
      <c r="B1136" s="46"/>
      <c r="C1136" s="169"/>
      <c r="D1136" s="169"/>
      <c r="E1136" s="169"/>
    </row>
    <row r="1137" spans="2:5">
      <c r="B1137" s="46"/>
      <c r="C1137" s="169"/>
      <c r="D1137" s="169"/>
      <c r="E1137" s="169"/>
    </row>
    <row r="1138" spans="2:5">
      <c r="B1138" s="46"/>
      <c r="C1138" s="169"/>
      <c r="D1138" s="169"/>
      <c r="E1138" s="169"/>
    </row>
    <row r="1139" spans="2:5">
      <c r="B1139" s="46"/>
      <c r="C1139" s="169"/>
      <c r="D1139" s="169"/>
      <c r="E1139" s="169"/>
    </row>
    <row r="1140" spans="2:5">
      <c r="B1140" s="46"/>
      <c r="C1140" s="169"/>
      <c r="D1140" s="169"/>
      <c r="E1140" s="169"/>
    </row>
    <row r="1141" spans="2:5">
      <c r="B1141" s="46"/>
      <c r="C1141" s="169"/>
      <c r="D1141" s="169"/>
      <c r="E1141" s="169"/>
    </row>
    <row r="1142" spans="2:5">
      <c r="B1142" s="46"/>
      <c r="C1142" s="169"/>
      <c r="D1142" s="169"/>
      <c r="E1142" s="169"/>
    </row>
    <row r="1143" spans="2:5">
      <c r="B1143" s="46"/>
      <c r="C1143" s="169"/>
      <c r="D1143" s="169"/>
      <c r="E1143" s="169"/>
    </row>
    <row r="1144" spans="2:5">
      <c r="B1144" s="46"/>
      <c r="C1144" s="169"/>
      <c r="D1144" s="169"/>
      <c r="E1144" s="169"/>
    </row>
    <row r="1145" spans="2:5">
      <c r="B1145" s="46"/>
      <c r="C1145" s="169"/>
      <c r="D1145" s="169"/>
      <c r="E1145" s="169"/>
    </row>
    <row r="1146" spans="2:5">
      <c r="B1146" s="46"/>
      <c r="C1146" s="169"/>
      <c r="D1146" s="169"/>
      <c r="E1146" s="169"/>
    </row>
    <row r="1147" spans="2:5">
      <c r="B1147" s="46"/>
      <c r="C1147" s="169"/>
      <c r="D1147" s="169"/>
      <c r="E1147" s="169"/>
    </row>
    <row r="1148" spans="2:5">
      <c r="B1148" s="46"/>
      <c r="C1148" s="169"/>
      <c r="D1148" s="169"/>
      <c r="E1148" s="169"/>
    </row>
    <row r="1149" spans="2:5">
      <c r="B1149" s="46"/>
      <c r="C1149" s="169"/>
      <c r="D1149" s="169"/>
      <c r="E1149" s="169"/>
    </row>
    <row r="1150" spans="2:5">
      <c r="B1150" s="46"/>
      <c r="C1150" s="169"/>
      <c r="D1150" s="169"/>
      <c r="E1150" s="169"/>
    </row>
    <row r="1151" spans="2:5">
      <c r="B1151" s="46"/>
      <c r="C1151" s="169"/>
      <c r="D1151" s="169"/>
      <c r="E1151" s="169"/>
    </row>
    <row r="1152" spans="2:5">
      <c r="B1152" s="46"/>
      <c r="C1152" s="169"/>
      <c r="D1152" s="169"/>
      <c r="E1152" s="169"/>
    </row>
    <row r="1153" spans="2:5">
      <c r="B1153" s="46"/>
      <c r="C1153" s="169"/>
      <c r="D1153" s="169"/>
      <c r="E1153" s="169"/>
    </row>
    <row r="1154" spans="2:5">
      <c r="B1154" s="46"/>
      <c r="C1154" s="169"/>
      <c r="D1154" s="169"/>
      <c r="E1154" s="169"/>
    </row>
    <row r="1155" spans="2:5">
      <c r="B1155" s="46"/>
      <c r="C1155" s="169"/>
      <c r="D1155" s="169"/>
      <c r="E1155" s="169"/>
    </row>
    <row r="1156" spans="2:5">
      <c r="B1156" s="46"/>
      <c r="C1156" s="169"/>
      <c r="D1156" s="169"/>
      <c r="E1156" s="169"/>
    </row>
    <row r="1157" spans="2:5">
      <c r="B1157" s="46"/>
      <c r="C1157" s="169"/>
      <c r="D1157" s="169"/>
      <c r="E1157" s="169"/>
    </row>
    <row r="1158" spans="2:5">
      <c r="B1158" s="46"/>
      <c r="C1158" s="169"/>
      <c r="D1158" s="169"/>
      <c r="E1158" s="169"/>
    </row>
    <row r="1159" spans="2:5">
      <c r="B1159" s="46"/>
      <c r="C1159" s="169"/>
      <c r="D1159" s="169"/>
      <c r="E1159" s="169"/>
    </row>
    <row r="1160" spans="2:5">
      <c r="B1160" s="46"/>
      <c r="C1160" s="169"/>
      <c r="D1160" s="169"/>
      <c r="E1160" s="169"/>
    </row>
    <row r="1161" spans="2:5">
      <c r="B1161" s="46"/>
      <c r="C1161" s="169"/>
      <c r="D1161" s="169"/>
      <c r="E1161" s="169"/>
    </row>
    <row r="1162" spans="2:5">
      <c r="B1162" s="46"/>
      <c r="C1162" s="169"/>
      <c r="D1162" s="169"/>
      <c r="E1162" s="169"/>
    </row>
    <row r="1163" spans="2:5">
      <c r="B1163" s="46"/>
      <c r="C1163" s="169"/>
      <c r="D1163" s="169"/>
      <c r="E1163" s="169"/>
    </row>
    <row r="1164" spans="2:5">
      <c r="B1164" s="46"/>
      <c r="C1164" s="169"/>
      <c r="D1164" s="169"/>
      <c r="E1164" s="169"/>
    </row>
    <row r="1165" spans="2:5">
      <c r="B1165" s="46"/>
      <c r="C1165" s="169"/>
      <c r="D1165" s="169"/>
      <c r="E1165" s="169"/>
    </row>
    <row r="1166" spans="2:5">
      <c r="B1166" s="46"/>
      <c r="C1166" s="169"/>
      <c r="D1166" s="169"/>
      <c r="E1166" s="169"/>
    </row>
    <row r="1167" spans="2:5">
      <c r="B1167" s="46"/>
      <c r="C1167" s="169"/>
      <c r="D1167" s="169"/>
      <c r="E1167" s="169"/>
    </row>
    <row r="1168" spans="2:5">
      <c r="B1168" s="46"/>
      <c r="C1168" s="169"/>
      <c r="D1168" s="169"/>
      <c r="E1168" s="169"/>
    </row>
    <row r="1169" spans="2:5">
      <c r="B1169" s="46"/>
      <c r="C1169" s="169"/>
      <c r="D1169" s="169"/>
      <c r="E1169" s="169"/>
    </row>
    <row r="1170" spans="2:5">
      <c r="B1170" s="46"/>
      <c r="C1170" s="169"/>
      <c r="D1170" s="169"/>
      <c r="E1170" s="169"/>
    </row>
    <row r="1171" spans="2:5">
      <c r="B1171" s="46"/>
      <c r="C1171" s="169"/>
      <c r="D1171" s="169"/>
      <c r="E1171" s="169"/>
    </row>
    <row r="1172" spans="2:5">
      <c r="B1172" s="46"/>
      <c r="C1172" s="169"/>
      <c r="D1172" s="169"/>
      <c r="E1172" s="169"/>
    </row>
    <row r="1173" spans="2:5">
      <c r="B1173" s="46"/>
      <c r="C1173" s="169"/>
      <c r="D1173" s="169"/>
      <c r="E1173" s="169"/>
    </row>
    <row r="1174" spans="2:5">
      <c r="B1174" s="46"/>
      <c r="C1174" s="169"/>
      <c r="D1174" s="169"/>
      <c r="E1174" s="169"/>
    </row>
    <row r="1175" spans="2:5">
      <c r="B1175" s="46"/>
      <c r="C1175" s="169"/>
      <c r="D1175" s="169"/>
      <c r="E1175" s="169"/>
    </row>
    <row r="1176" spans="2:5">
      <c r="B1176" s="46"/>
      <c r="C1176" s="169"/>
      <c r="D1176" s="169"/>
      <c r="E1176" s="169"/>
    </row>
    <row r="1177" spans="2:5">
      <c r="B1177" s="46"/>
      <c r="C1177" s="169"/>
      <c r="D1177" s="169"/>
      <c r="E1177" s="169"/>
    </row>
    <row r="1178" spans="2:5">
      <c r="B1178" s="46"/>
      <c r="C1178" s="169"/>
      <c r="D1178" s="169"/>
      <c r="E1178" s="169"/>
    </row>
    <row r="1179" spans="2:5">
      <c r="B1179" s="46"/>
      <c r="C1179" s="169"/>
      <c r="D1179" s="169"/>
      <c r="E1179" s="169"/>
    </row>
    <row r="1180" spans="2:5">
      <c r="B1180" s="46"/>
      <c r="C1180" s="169"/>
      <c r="D1180" s="169"/>
      <c r="E1180" s="169"/>
    </row>
    <row r="1181" spans="2:5">
      <c r="B1181" s="46"/>
      <c r="C1181" s="169"/>
      <c r="D1181" s="169"/>
      <c r="E1181" s="169"/>
    </row>
    <row r="1182" spans="2:5">
      <c r="B1182" s="46"/>
      <c r="C1182" s="169"/>
      <c r="D1182" s="169"/>
      <c r="E1182" s="169"/>
    </row>
    <row r="1183" spans="2:5">
      <c r="B1183" s="46"/>
      <c r="C1183" s="169"/>
      <c r="D1183" s="169"/>
      <c r="E1183" s="169"/>
    </row>
    <row r="1184" spans="2:5">
      <c r="B1184" s="46"/>
      <c r="C1184" s="169"/>
      <c r="D1184" s="169"/>
      <c r="E1184" s="169"/>
    </row>
    <row r="1185" spans="2:5">
      <c r="B1185" s="46"/>
      <c r="C1185" s="169"/>
      <c r="D1185" s="169"/>
      <c r="E1185" s="169"/>
    </row>
    <row r="1186" spans="2:5">
      <c r="B1186" s="46"/>
      <c r="C1186" s="169"/>
      <c r="D1186" s="169"/>
      <c r="E1186" s="169"/>
    </row>
    <row r="1187" spans="2:5">
      <c r="B1187" s="46"/>
      <c r="C1187" s="169"/>
      <c r="D1187" s="169"/>
      <c r="E1187" s="169"/>
    </row>
    <row r="1188" spans="2:5">
      <c r="B1188" s="46"/>
      <c r="C1188" s="169"/>
      <c r="D1188" s="169"/>
      <c r="E1188" s="169"/>
    </row>
    <row r="1189" spans="2:5">
      <c r="B1189" s="46"/>
      <c r="C1189" s="169"/>
      <c r="D1189" s="169"/>
      <c r="E1189" s="169"/>
    </row>
    <row r="1190" spans="2:5">
      <c r="B1190" s="46"/>
      <c r="C1190" s="169"/>
      <c r="D1190" s="169"/>
      <c r="E1190" s="169"/>
    </row>
    <row r="1191" spans="2:5">
      <c r="B1191" s="46"/>
      <c r="C1191" s="169"/>
      <c r="D1191" s="169"/>
      <c r="E1191" s="169"/>
    </row>
    <row r="1192" spans="2:5">
      <c r="B1192" s="46"/>
      <c r="C1192" s="169"/>
      <c r="D1192" s="169"/>
      <c r="E1192" s="169"/>
    </row>
    <row r="1193" spans="2:5">
      <c r="B1193" s="46"/>
      <c r="C1193" s="169"/>
      <c r="D1193" s="169"/>
      <c r="E1193" s="169"/>
    </row>
    <row r="1194" spans="2:5">
      <c r="B1194" s="46"/>
      <c r="C1194" s="169"/>
      <c r="D1194" s="169"/>
      <c r="E1194" s="169"/>
    </row>
    <row r="1195" spans="2:5">
      <c r="B1195" s="46"/>
      <c r="C1195" s="169"/>
      <c r="D1195" s="169"/>
      <c r="E1195" s="169"/>
    </row>
    <row r="1196" spans="2:5">
      <c r="B1196" s="46"/>
      <c r="C1196" s="169"/>
      <c r="D1196" s="169"/>
      <c r="E1196" s="169"/>
    </row>
    <row r="1197" spans="2:5">
      <c r="B1197" s="46"/>
      <c r="C1197" s="169"/>
      <c r="D1197" s="169"/>
      <c r="E1197" s="169"/>
    </row>
    <row r="1198" spans="2:5">
      <c r="B1198" s="46"/>
      <c r="C1198" s="169"/>
      <c r="D1198" s="169"/>
      <c r="E1198" s="169"/>
    </row>
    <row r="1199" spans="2:5">
      <c r="B1199" s="46"/>
      <c r="C1199" s="169"/>
      <c r="D1199" s="169"/>
      <c r="E1199" s="169"/>
    </row>
    <row r="1200" spans="2:5">
      <c r="B1200" s="46"/>
      <c r="C1200" s="169"/>
      <c r="D1200" s="169"/>
      <c r="E1200" s="169"/>
    </row>
    <row r="1201" spans="2:5">
      <c r="B1201" s="46"/>
      <c r="C1201" s="169"/>
      <c r="D1201" s="169"/>
      <c r="E1201" s="169"/>
    </row>
    <row r="1202" spans="2:5">
      <c r="B1202" s="46"/>
      <c r="C1202" s="169"/>
      <c r="D1202" s="169"/>
      <c r="E1202" s="169"/>
    </row>
    <row r="1203" spans="2:5">
      <c r="B1203" s="46"/>
      <c r="C1203" s="169"/>
      <c r="D1203" s="169"/>
      <c r="E1203" s="169"/>
    </row>
    <row r="1204" spans="2:5">
      <c r="B1204" s="46"/>
      <c r="C1204" s="169"/>
      <c r="D1204" s="169"/>
      <c r="E1204" s="169"/>
    </row>
    <row r="1205" spans="2:5">
      <c r="B1205" s="46"/>
      <c r="C1205" s="169"/>
      <c r="D1205" s="169"/>
      <c r="E1205" s="169"/>
    </row>
    <row r="1206" spans="2:5">
      <c r="B1206" s="46"/>
      <c r="C1206" s="169"/>
      <c r="D1206" s="169"/>
      <c r="E1206" s="169"/>
    </row>
    <row r="1207" spans="2:5">
      <c r="B1207" s="46"/>
      <c r="C1207" s="169"/>
      <c r="D1207" s="169"/>
      <c r="E1207" s="169"/>
    </row>
    <row r="1208" spans="2:5">
      <c r="B1208" s="46"/>
      <c r="C1208" s="169"/>
      <c r="D1208" s="169"/>
      <c r="E1208" s="169"/>
    </row>
    <row r="1209" spans="2:5">
      <c r="B1209" s="46"/>
      <c r="C1209" s="169"/>
      <c r="D1209" s="169"/>
      <c r="E1209" s="169"/>
    </row>
  </sheetData>
  <sortState xmlns:xlrd2="http://schemas.microsoft.com/office/spreadsheetml/2017/richdata2" ref="L3:N398">
    <sortCondition ref="L3:L398"/>
  </sortState>
  <mergeCells count="1">
    <mergeCell ref="C2:E2"/>
  </mergeCell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Hoja19"/>
  <dimension ref="B2:K813"/>
  <sheetViews>
    <sheetView workbookViewId="0"/>
  </sheetViews>
  <sheetFormatPr baseColWidth="10" defaultColWidth="11.42578125" defaultRowHeight="11.25"/>
  <cols>
    <col min="1" max="2" width="11.42578125" style="104"/>
    <col min="3" max="3" width="13.42578125" style="104" bestFit="1" customWidth="1"/>
    <col min="4" max="9" width="11.42578125" style="104"/>
    <col min="10" max="10" width="11.42578125" style="218"/>
    <col min="11" max="16384" width="11.42578125" style="104"/>
  </cols>
  <sheetData>
    <row r="2" spans="2:11">
      <c r="B2" s="143" t="s">
        <v>26</v>
      </c>
    </row>
    <row r="3" spans="2:11" ht="22.5">
      <c r="B3" s="219" t="s">
        <v>30</v>
      </c>
      <c r="C3" s="220" t="s">
        <v>31</v>
      </c>
      <c r="D3" s="234"/>
      <c r="E3" s="221" t="s">
        <v>32</v>
      </c>
      <c r="F3" s="221" t="s">
        <v>33</v>
      </c>
      <c r="G3" s="220" t="s">
        <v>34</v>
      </c>
      <c r="H3" s="222"/>
      <c r="I3" s="223"/>
      <c r="J3" s="148"/>
    </row>
    <row r="4" spans="2:11">
      <c r="B4" s="224" t="s">
        <v>178</v>
      </c>
      <c r="C4" s="225">
        <f>Dat_02!B3</f>
        <v>44621</v>
      </c>
      <c r="D4" s="224"/>
      <c r="E4" s="226">
        <f>Dat_02!C3</f>
        <v>31.391719412993378</v>
      </c>
      <c r="F4" s="226">
        <f>Dat_02!D3</f>
        <v>128.70213492494773</v>
      </c>
      <c r="G4" s="226">
        <f>Dat_02!E3</f>
        <v>31.391719412993378</v>
      </c>
      <c r="I4" s="227">
        <f>Dat_02!G3</f>
        <v>0</v>
      </c>
      <c r="J4" s="233">
        <f>IF(Dat_02!H3=0,"",Dat_02!H3)</f>
        <v>2022</v>
      </c>
      <c r="K4" s="104">
        <f>IF(J4=0,"",J4)</f>
        <v>2022</v>
      </c>
    </row>
    <row r="5" spans="2:11">
      <c r="B5" s="224"/>
      <c r="C5" s="225">
        <f>Dat_02!B4</f>
        <v>44622</v>
      </c>
      <c r="D5" s="224"/>
      <c r="E5" s="226">
        <f>Dat_02!C4</f>
        <v>40.784673179673312</v>
      </c>
      <c r="F5" s="226">
        <f>Dat_02!D4</f>
        <v>128.70213492494773</v>
      </c>
      <c r="G5" s="226">
        <f>Dat_02!E4</f>
        <v>40.784673179673312</v>
      </c>
      <c r="I5" s="227">
        <f>Dat_02!G4</f>
        <v>0</v>
      </c>
      <c r="J5" s="233" t="str">
        <f>IF(Dat_02!H4=0,"",Dat_02!H4)</f>
        <v/>
      </c>
    </row>
    <row r="6" spans="2:11">
      <c r="B6" s="224"/>
      <c r="C6" s="225">
        <f>Dat_02!B5</f>
        <v>44623</v>
      </c>
      <c r="D6" s="224"/>
      <c r="E6" s="226">
        <f>Dat_02!C5</f>
        <v>49.315927419673315</v>
      </c>
      <c r="F6" s="226">
        <f>Dat_02!D5</f>
        <v>128.70213492494773</v>
      </c>
      <c r="G6" s="226">
        <f>Dat_02!E5</f>
        <v>49.315927419673315</v>
      </c>
      <c r="I6" s="227">
        <f>Dat_02!G5</f>
        <v>0</v>
      </c>
      <c r="J6" s="233" t="str">
        <f>IF(Dat_02!H5=0,"",Dat_02!H5)</f>
        <v/>
      </c>
    </row>
    <row r="7" spans="2:11">
      <c r="B7" s="224"/>
      <c r="C7" s="225">
        <f>Dat_02!B6</f>
        <v>44624</v>
      </c>
      <c r="D7" s="224"/>
      <c r="E7" s="226">
        <f>Dat_02!C6</f>
        <v>39.349748935674242</v>
      </c>
      <c r="F7" s="226">
        <f>Dat_02!D6</f>
        <v>128.70213492494773</v>
      </c>
      <c r="G7" s="226">
        <f>Dat_02!E6</f>
        <v>39.349748935674242</v>
      </c>
      <c r="I7" s="227">
        <f>Dat_02!G6</f>
        <v>0</v>
      </c>
      <c r="J7" s="233" t="str">
        <f>IF(Dat_02!H6=0,"",Dat_02!H6)</f>
        <v/>
      </c>
    </row>
    <row r="8" spans="2:11">
      <c r="B8" s="224"/>
      <c r="C8" s="225">
        <f>Dat_02!B7</f>
        <v>44625</v>
      </c>
      <c r="D8" s="224"/>
      <c r="E8" s="226">
        <f>Dat_02!C7</f>
        <v>48.881724543674245</v>
      </c>
      <c r="F8" s="226">
        <f>Dat_02!D7</f>
        <v>128.70213492494773</v>
      </c>
      <c r="G8" s="226">
        <f>Dat_02!E7</f>
        <v>48.881724543674245</v>
      </c>
      <c r="I8" s="227">
        <f>Dat_02!G7</f>
        <v>0</v>
      </c>
      <c r="J8" s="233" t="str">
        <f>IF(Dat_02!H7=0,"",Dat_02!H7)</f>
        <v/>
      </c>
    </row>
    <row r="9" spans="2:11">
      <c r="B9" s="224"/>
      <c r="C9" s="225">
        <f>Dat_02!B8</f>
        <v>44626</v>
      </c>
      <c r="D9" s="224"/>
      <c r="E9" s="226">
        <f>Dat_02!C8</f>
        <v>45.742094035673311</v>
      </c>
      <c r="F9" s="226">
        <f>Dat_02!D8</f>
        <v>128.70213492494773</v>
      </c>
      <c r="G9" s="226">
        <f>Dat_02!E8</f>
        <v>45.742094035673311</v>
      </c>
      <c r="I9" s="227">
        <f>Dat_02!G8</f>
        <v>0</v>
      </c>
      <c r="J9" s="233" t="str">
        <f>IF(Dat_02!H8=0,"",Dat_02!H8)</f>
        <v/>
      </c>
    </row>
    <row r="10" spans="2:11">
      <c r="B10" s="224"/>
      <c r="C10" s="225">
        <f>Dat_02!B9</f>
        <v>44627</v>
      </c>
      <c r="D10" s="224"/>
      <c r="E10" s="226">
        <f>Dat_02!C9</f>
        <v>60.618987323673309</v>
      </c>
      <c r="F10" s="226">
        <f>Dat_02!D9</f>
        <v>128.70213492494773</v>
      </c>
      <c r="G10" s="226">
        <f>Dat_02!E9</f>
        <v>60.618987323673309</v>
      </c>
      <c r="I10" s="227">
        <f>Dat_02!G9</f>
        <v>0</v>
      </c>
      <c r="J10" s="233" t="str">
        <f>IF(Dat_02!H9=0,"",Dat_02!H9)</f>
        <v/>
      </c>
    </row>
    <row r="11" spans="2:11">
      <c r="B11" s="224"/>
      <c r="C11" s="225">
        <f>Dat_02!B10</f>
        <v>44628</v>
      </c>
      <c r="D11" s="224"/>
      <c r="E11" s="226">
        <f>Dat_02!C10</f>
        <v>36.964099775673311</v>
      </c>
      <c r="F11" s="226">
        <f>Dat_02!D10</f>
        <v>128.70213492494773</v>
      </c>
      <c r="G11" s="226">
        <f>Dat_02!E10</f>
        <v>36.964099775673311</v>
      </c>
      <c r="I11" s="227">
        <f>Dat_02!G10</f>
        <v>0</v>
      </c>
      <c r="J11" s="233" t="str">
        <f>IF(Dat_02!H10=0,"",Dat_02!H10)</f>
        <v/>
      </c>
    </row>
    <row r="12" spans="2:11">
      <c r="B12" s="224"/>
      <c r="C12" s="225">
        <f>Dat_02!B11</f>
        <v>44629</v>
      </c>
      <c r="D12" s="224"/>
      <c r="E12" s="226">
        <f>Dat_02!C11</f>
        <v>62.300421105205558</v>
      </c>
      <c r="F12" s="226">
        <f>Dat_02!D11</f>
        <v>128.70213492494773</v>
      </c>
      <c r="G12" s="226">
        <f>Dat_02!E11</f>
        <v>62.300421105205558</v>
      </c>
      <c r="I12" s="227">
        <f>Dat_02!G11</f>
        <v>0</v>
      </c>
      <c r="J12" s="233" t="str">
        <f>IF(Dat_02!H11=0,"",Dat_02!H11)</f>
        <v/>
      </c>
    </row>
    <row r="13" spans="2:11">
      <c r="B13" s="224"/>
      <c r="C13" s="225">
        <f>Dat_02!B12</f>
        <v>44630</v>
      </c>
      <c r="D13" s="224"/>
      <c r="E13" s="226">
        <f>Dat_02!C12</f>
        <v>54.79258792720556</v>
      </c>
      <c r="F13" s="226">
        <f>Dat_02!D12</f>
        <v>128.70213492494773</v>
      </c>
      <c r="G13" s="226">
        <f>Dat_02!E12</f>
        <v>54.79258792720556</v>
      </c>
      <c r="I13" s="227">
        <f>Dat_02!G12</f>
        <v>0</v>
      </c>
      <c r="J13" s="233" t="str">
        <f>IF(Dat_02!H12=0,"",Dat_02!H12)</f>
        <v/>
      </c>
    </row>
    <row r="14" spans="2:11">
      <c r="B14" s="224"/>
      <c r="C14" s="225">
        <f>Dat_02!B13</f>
        <v>44631</v>
      </c>
      <c r="D14" s="224"/>
      <c r="E14" s="226">
        <f>Dat_02!C13</f>
        <v>60.629858955205556</v>
      </c>
      <c r="F14" s="226">
        <f>Dat_02!D13</f>
        <v>128.70213492494773</v>
      </c>
      <c r="G14" s="226">
        <f>Dat_02!E13</f>
        <v>60.629858955205556</v>
      </c>
      <c r="I14" s="227">
        <f>Dat_02!G13</f>
        <v>0</v>
      </c>
      <c r="J14" s="233" t="str">
        <f>IF(Dat_02!H13=0,"",Dat_02!H13)</f>
        <v/>
      </c>
    </row>
    <row r="15" spans="2:11">
      <c r="B15" s="224"/>
      <c r="C15" s="225">
        <f>Dat_02!B14</f>
        <v>44632</v>
      </c>
      <c r="D15" s="224"/>
      <c r="E15" s="226">
        <f>Dat_02!C14</f>
        <v>59.165812285206492</v>
      </c>
      <c r="F15" s="226">
        <f>Dat_02!D14</f>
        <v>128.70213492494773</v>
      </c>
      <c r="G15" s="226">
        <f>Dat_02!E14</f>
        <v>59.165812285206492</v>
      </c>
      <c r="I15" s="227">
        <f>Dat_02!G14</f>
        <v>0</v>
      </c>
      <c r="J15" s="233" t="str">
        <f>IF(Dat_02!H14=0,"",Dat_02!H14)</f>
        <v/>
      </c>
    </row>
    <row r="16" spans="2:11">
      <c r="B16" s="224"/>
      <c r="C16" s="225">
        <f>Dat_02!B15</f>
        <v>44633</v>
      </c>
      <c r="D16" s="224"/>
      <c r="E16" s="226">
        <f>Dat_02!C15</f>
        <v>60.547653731206488</v>
      </c>
      <c r="F16" s="226">
        <f>Dat_02!D15</f>
        <v>128.70213492494773</v>
      </c>
      <c r="G16" s="226">
        <f>Dat_02!E15</f>
        <v>60.547653731206488</v>
      </c>
      <c r="I16" s="227">
        <f>Dat_02!G15</f>
        <v>0</v>
      </c>
      <c r="J16" s="233" t="str">
        <f>IF(Dat_02!H15=0,"",Dat_02!H15)</f>
        <v/>
      </c>
    </row>
    <row r="17" spans="2:10">
      <c r="B17" s="224"/>
      <c r="C17" s="225">
        <f>Dat_02!B16</f>
        <v>44634</v>
      </c>
      <c r="D17" s="224"/>
      <c r="E17" s="226">
        <f>Dat_02!C16</f>
        <v>63.689207503205559</v>
      </c>
      <c r="F17" s="226">
        <f>Dat_02!D16</f>
        <v>128.70213492494773</v>
      </c>
      <c r="G17" s="226">
        <f>Dat_02!E16</f>
        <v>63.689207503205559</v>
      </c>
      <c r="I17" s="227">
        <f>Dat_02!G16</f>
        <v>0</v>
      </c>
      <c r="J17" s="233" t="str">
        <f>IF(Dat_02!H16=0,"",Dat_02!H16)</f>
        <v/>
      </c>
    </row>
    <row r="18" spans="2:10">
      <c r="B18" s="224"/>
      <c r="C18" s="225">
        <f>Dat_02!B17</f>
        <v>44635</v>
      </c>
      <c r="D18" s="224"/>
      <c r="E18" s="226">
        <f>Dat_02!C17</f>
        <v>88.789314825206489</v>
      </c>
      <c r="F18" s="226">
        <f>Dat_02!D17</f>
        <v>128.70213492494773</v>
      </c>
      <c r="G18" s="226">
        <f>Dat_02!E17</f>
        <v>88.789314825206489</v>
      </c>
      <c r="I18" s="227">
        <f>Dat_02!G17</f>
        <v>128.70213492494773</v>
      </c>
      <c r="J18" s="233" t="str">
        <f>IF(Dat_02!H17=0,"",Dat_02!H17)</f>
        <v/>
      </c>
    </row>
    <row r="19" spans="2:10">
      <c r="B19" s="224"/>
      <c r="C19" s="225">
        <f>Dat_02!B18</f>
        <v>44636</v>
      </c>
      <c r="D19" s="224"/>
      <c r="E19" s="226">
        <f>Dat_02!C18</f>
        <v>106.00299378317858</v>
      </c>
      <c r="F19" s="226">
        <f>Dat_02!D18</f>
        <v>128.70213492494773</v>
      </c>
      <c r="G19" s="226">
        <f>Dat_02!E18</f>
        <v>106.00299378317858</v>
      </c>
      <c r="I19" s="227">
        <f>Dat_02!G18</f>
        <v>0</v>
      </c>
      <c r="J19" s="233" t="str">
        <f>IF(Dat_02!H18=0,"",Dat_02!H18)</f>
        <v/>
      </c>
    </row>
    <row r="20" spans="2:10">
      <c r="B20" s="224"/>
      <c r="C20" s="225">
        <f>Dat_02!B19</f>
        <v>44637</v>
      </c>
      <c r="D20" s="224"/>
      <c r="E20" s="226">
        <f>Dat_02!C19</f>
        <v>76.527726677176716</v>
      </c>
      <c r="F20" s="226">
        <f>Dat_02!D19</f>
        <v>128.70213492494773</v>
      </c>
      <c r="G20" s="226">
        <f>Dat_02!E19</f>
        <v>76.527726677176716</v>
      </c>
      <c r="I20" s="227">
        <f>Dat_02!G19</f>
        <v>0</v>
      </c>
      <c r="J20" s="233" t="str">
        <f>IF(Dat_02!H19=0,"",Dat_02!H19)</f>
        <v/>
      </c>
    </row>
    <row r="21" spans="2:10">
      <c r="B21" s="224"/>
      <c r="C21" s="225">
        <f>Dat_02!B20</f>
        <v>44638</v>
      </c>
      <c r="D21" s="224"/>
      <c r="E21" s="226">
        <f>Dat_02!C20</f>
        <v>83.819214599177656</v>
      </c>
      <c r="F21" s="226">
        <f>Dat_02!D20</f>
        <v>128.70213492494773</v>
      </c>
      <c r="G21" s="226">
        <f>Dat_02!E20</f>
        <v>83.819214599177656</v>
      </c>
      <c r="I21" s="227">
        <f>Dat_02!G20</f>
        <v>0</v>
      </c>
      <c r="J21" s="233" t="str">
        <f>IF(Dat_02!H20=0,"",Dat_02!H20)</f>
        <v/>
      </c>
    </row>
    <row r="22" spans="2:10">
      <c r="B22" s="224"/>
      <c r="C22" s="225">
        <f>Dat_02!B21</f>
        <v>44639</v>
      </c>
      <c r="D22" s="224"/>
      <c r="E22" s="226">
        <f>Dat_02!C21</f>
        <v>73.140999351177655</v>
      </c>
      <c r="F22" s="226">
        <f>Dat_02!D21</f>
        <v>128.70213492494773</v>
      </c>
      <c r="G22" s="226">
        <f>Dat_02!E21</f>
        <v>73.140999351177655</v>
      </c>
      <c r="I22" s="227">
        <f>Dat_02!G21</f>
        <v>0</v>
      </c>
      <c r="J22" s="233" t="str">
        <f>IF(Dat_02!H21=0,"",Dat_02!H21)</f>
        <v/>
      </c>
    </row>
    <row r="23" spans="2:10">
      <c r="B23" s="224"/>
      <c r="C23" s="225">
        <f>Dat_02!B22</f>
        <v>44640</v>
      </c>
      <c r="D23" s="224"/>
      <c r="E23" s="226">
        <f>Dat_02!C22</f>
        <v>63.440759083177653</v>
      </c>
      <c r="F23" s="226">
        <f>Dat_02!D22</f>
        <v>128.70213492494773</v>
      </c>
      <c r="G23" s="226">
        <f>Dat_02!E22</f>
        <v>63.440759083177653</v>
      </c>
      <c r="I23" s="227">
        <f>Dat_02!G22</f>
        <v>0</v>
      </c>
      <c r="J23" s="233" t="str">
        <f>IF(Dat_02!H22=0,"",Dat_02!H22)</f>
        <v/>
      </c>
    </row>
    <row r="24" spans="2:10">
      <c r="B24" s="224"/>
      <c r="C24" s="225">
        <f>Dat_02!B23</f>
        <v>44641</v>
      </c>
      <c r="D24" s="224"/>
      <c r="E24" s="226">
        <f>Dat_02!C23</f>
        <v>64.563472147177663</v>
      </c>
      <c r="F24" s="226">
        <f>Dat_02!D23</f>
        <v>128.70213492494773</v>
      </c>
      <c r="G24" s="226">
        <f>Dat_02!E23</f>
        <v>64.563472147177663</v>
      </c>
      <c r="I24" s="227">
        <f>Dat_02!G23</f>
        <v>0</v>
      </c>
      <c r="J24" s="233" t="str">
        <f>IF(Dat_02!H23=0,"",Dat_02!H23)</f>
        <v/>
      </c>
    </row>
    <row r="25" spans="2:10">
      <c r="B25" s="224"/>
      <c r="C25" s="225">
        <f>Dat_02!B24</f>
        <v>44642</v>
      </c>
      <c r="D25" s="224"/>
      <c r="E25" s="226">
        <f>Dat_02!C24</f>
        <v>71.529757761177663</v>
      </c>
      <c r="F25" s="226">
        <f>Dat_02!D24</f>
        <v>128.70213492494773</v>
      </c>
      <c r="G25" s="226">
        <f>Dat_02!E24</f>
        <v>71.529757761177663</v>
      </c>
      <c r="I25" s="227">
        <f>Dat_02!G24</f>
        <v>0</v>
      </c>
      <c r="J25" s="233" t="str">
        <f>IF(Dat_02!H24=0,"",Dat_02!H24)</f>
        <v/>
      </c>
    </row>
    <row r="26" spans="2:10">
      <c r="B26" s="224"/>
      <c r="C26" s="225">
        <f>Dat_02!B25</f>
        <v>44643</v>
      </c>
      <c r="D26" s="224"/>
      <c r="E26" s="226">
        <f>Dat_02!C25</f>
        <v>96.653541922288952</v>
      </c>
      <c r="F26" s="226">
        <f>Dat_02!D25</f>
        <v>128.70213492494773</v>
      </c>
      <c r="G26" s="226">
        <f>Dat_02!E25</f>
        <v>96.653541922288952</v>
      </c>
      <c r="I26" s="227">
        <f>Dat_02!G25</f>
        <v>0</v>
      </c>
      <c r="J26" s="233" t="str">
        <f>IF(Dat_02!H25=0,"",Dat_02!H25)</f>
        <v/>
      </c>
    </row>
    <row r="27" spans="2:10">
      <c r="B27" s="224"/>
      <c r="C27" s="225">
        <f>Dat_02!B26</f>
        <v>44644</v>
      </c>
      <c r="D27" s="224"/>
      <c r="E27" s="226">
        <f>Dat_02!C26</f>
        <v>108.81718818828989</v>
      </c>
      <c r="F27" s="226">
        <f>Dat_02!D26</f>
        <v>128.70213492494773</v>
      </c>
      <c r="G27" s="226">
        <f>Dat_02!E26</f>
        <v>108.81718818828989</v>
      </c>
      <c r="I27" s="227">
        <f>Dat_02!G26</f>
        <v>0</v>
      </c>
      <c r="J27" s="233" t="str">
        <f>IF(Dat_02!H26=0,"",Dat_02!H26)</f>
        <v/>
      </c>
    </row>
    <row r="28" spans="2:10">
      <c r="B28" s="224"/>
      <c r="C28" s="225">
        <f>Dat_02!B27</f>
        <v>44645</v>
      </c>
      <c r="D28" s="224"/>
      <c r="E28" s="226">
        <f>Dat_02!C27</f>
        <v>101.39951637829083</v>
      </c>
      <c r="F28" s="226">
        <f>Dat_02!D27</f>
        <v>128.70213492494773</v>
      </c>
      <c r="G28" s="226">
        <f>Dat_02!E27</f>
        <v>101.39951637829083</v>
      </c>
      <c r="I28" s="227">
        <f>Dat_02!G27</f>
        <v>0</v>
      </c>
      <c r="J28" s="233" t="str">
        <f>IF(Dat_02!H27=0,"",Dat_02!H27)</f>
        <v/>
      </c>
    </row>
    <row r="29" spans="2:10">
      <c r="B29" s="224"/>
      <c r="C29" s="225">
        <f>Dat_02!B28</f>
        <v>44646</v>
      </c>
      <c r="D29" s="224"/>
      <c r="E29" s="226">
        <f>Dat_02!C28</f>
        <v>97.732828272288955</v>
      </c>
      <c r="F29" s="226">
        <f>Dat_02!D28</f>
        <v>128.70213492494773</v>
      </c>
      <c r="G29" s="226">
        <f>Dat_02!E28</f>
        <v>97.732828272288955</v>
      </c>
      <c r="I29" s="227">
        <f>Dat_02!G28</f>
        <v>0</v>
      </c>
      <c r="J29" s="233" t="str">
        <f>IF(Dat_02!H28=0,"",Dat_02!H28)</f>
        <v/>
      </c>
    </row>
    <row r="30" spans="2:10">
      <c r="B30" s="224"/>
      <c r="C30" s="225">
        <f>Dat_02!B29</f>
        <v>44647</v>
      </c>
      <c r="D30" s="224"/>
      <c r="E30" s="226">
        <f>Dat_02!C29</f>
        <v>77.183881546289896</v>
      </c>
      <c r="F30" s="226">
        <f>Dat_02!D29</f>
        <v>128.70213492494773</v>
      </c>
      <c r="G30" s="226">
        <f>Dat_02!E29</f>
        <v>77.183881546289896</v>
      </c>
      <c r="I30" s="227">
        <f>Dat_02!G29</f>
        <v>0</v>
      </c>
      <c r="J30" s="233" t="str">
        <f>IF(Dat_02!H29=0,"",Dat_02!H29)</f>
        <v/>
      </c>
    </row>
    <row r="31" spans="2:10">
      <c r="B31" s="224"/>
      <c r="C31" s="225">
        <f>Dat_02!B30</f>
        <v>44648</v>
      </c>
      <c r="D31" s="224"/>
      <c r="E31" s="226">
        <f>Dat_02!C30</f>
        <v>88.084318582288944</v>
      </c>
      <c r="F31" s="226">
        <f>Dat_02!D30</f>
        <v>128.70213492494773</v>
      </c>
      <c r="G31" s="226">
        <f>Dat_02!E30</f>
        <v>88.084318582288944</v>
      </c>
      <c r="I31" s="227">
        <f>Dat_02!G30</f>
        <v>0</v>
      </c>
      <c r="J31" s="233" t="str">
        <f>IF(Dat_02!H30=0,"",Dat_02!H30)</f>
        <v/>
      </c>
    </row>
    <row r="32" spans="2:10">
      <c r="B32" s="224"/>
      <c r="C32" s="225">
        <f>Dat_02!B31</f>
        <v>44649</v>
      </c>
      <c r="D32" s="224"/>
      <c r="E32" s="226">
        <f>Dat_02!C31</f>
        <v>100.24024737228989</v>
      </c>
      <c r="F32" s="226">
        <f>Dat_02!D31</f>
        <v>128.70213492494773</v>
      </c>
      <c r="G32" s="226">
        <f>Dat_02!E31</f>
        <v>100.24024737228989</v>
      </c>
      <c r="I32" s="227">
        <f>Dat_02!G31</f>
        <v>0</v>
      </c>
      <c r="J32" s="233" t="str">
        <f>IF(Dat_02!H31=0,"",Dat_02!H31)</f>
        <v/>
      </c>
    </row>
    <row r="33" spans="2:10">
      <c r="B33" s="224"/>
      <c r="C33" s="225">
        <f>Dat_02!B32</f>
        <v>44650</v>
      </c>
      <c r="D33" s="224"/>
      <c r="E33" s="226">
        <f>Dat_02!C32</f>
        <v>77.083825651458611</v>
      </c>
      <c r="F33" s="226">
        <f>Dat_02!D32</f>
        <v>128.70213492494773</v>
      </c>
      <c r="G33" s="226">
        <f>Dat_02!E32</f>
        <v>77.083825651458611</v>
      </c>
      <c r="I33" s="227">
        <f>Dat_02!G32</f>
        <v>0</v>
      </c>
      <c r="J33" s="233" t="str">
        <f>IF(Dat_02!H32=0,"",Dat_02!H32)</f>
        <v/>
      </c>
    </row>
    <row r="34" spans="2:10">
      <c r="B34" s="224"/>
      <c r="C34" s="225">
        <f>Dat_02!B33</f>
        <v>44651</v>
      </c>
      <c r="D34" s="224"/>
      <c r="E34" s="226">
        <f>Dat_02!C33</f>
        <v>78.783568207456753</v>
      </c>
      <c r="F34" s="226">
        <f>Dat_02!D33</f>
        <v>128.70213492494773</v>
      </c>
      <c r="G34" s="226">
        <f>Dat_02!E33</f>
        <v>78.783568207456753</v>
      </c>
      <c r="I34" s="227">
        <f>Dat_02!G33</f>
        <v>0</v>
      </c>
      <c r="J34" s="233" t="str">
        <f>IF(Dat_02!H33=0,"",Dat_02!H33)</f>
        <v/>
      </c>
    </row>
    <row r="35" spans="2:10">
      <c r="B35" s="224" t="s">
        <v>185</v>
      </c>
      <c r="C35" s="225">
        <f>Dat_02!B34</f>
        <v>44652</v>
      </c>
      <c r="D35" s="224"/>
      <c r="E35" s="226">
        <f>Dat_02!C34</f>
        <v>79.621652601457697</v>
      </c>
      <c r="F35" s="226">
        <f>Dat_02!D34</f>
        <v>125.24455872987446</v>
      </c>
      <c r="G35" s="226">
        <f>Dat_02!E34</f>
        <v>79.621652601457697</v>
      </c>
      <c r="I35" s="227">
        <f>Dat_02!G34</f>
        <v>0</v>
      </c>
      <c r="J35" s="233" t="str">
        <f>IF(Dat_02!H34=0,"",Dat_02!H34)</f>
        <v/>
      </c>
    </row>
    <row r="36" spans="2:10">
      <c r="B36" s="224"/>
      <c r="C36" s="225">
        <f>Dat_02!B35</f>
        <v>44653</v>
      </c>
      <c r="D36" s="224"/>
      <c r="E36" s="226">
        <f>Dat_02!C35</f>
        <v>63.652071265456755</v>
      </c>
      <c r="F36" s="226">
        <f>Dat_02!D35</f>
        <v>125.24455872987446</v>
      </c>
      <c r="G36" s="226">
        <f>Dat_02!E35</f>
        <v>63.652071265456755</v>
      </c>
      <c r="I36" s="227">
        <f>Dat_02!G35</f>
        <v>0</v>
      </c>
      <c r="J36" s="233" t="str">
        <f>IF(Dat_02!H35=0,"",Dat_02!H35)</f>
        <v/>
      </c>
    </row>
    <row r="37" spans="2:10">
      <c r="B37" s="224"/>
      <c r="C37" s="225">
        <f>Dat_02!B36</f>
        <v>44654</v>
      </c>
      <c r="D37" s="224"/>
      <c r="E37" s="226">
        <f>Dat_02!C36</f>
        <v>52.926250857457688</v>
      </c>
      <c r="F37" s="226">
        <f>Dat_02!D36</f>
        <v>125.24455872987446</v>
      </c>
      <c r="G37" s="226">
        <f>Dat_02!E36</f>
        <v>52.926250857457688</v>
      </c>
      <c r="I37" s="227">
        <f>Dat_02!G36</f>
        <v>0</v>
      </c>
      <c r="J37" s="233" t="str">
        <f>IF(Dat_02!H36=0,"",Dat_02!H36)</f>
        <v/>
      </c>
    </row>
    <row r="38" spans="2:10">
      <c r="B38" s="224"/>
      <c r="C38" s="225">
        <f>Dat_02!B37</f>
        <v>44655</v>
      </c>
      <c r="D38" s="224"/>
      <c r="E38" s="226">
        <f>Dat_02!C37</f>
        <v>72.057024007457684</v>
      </c>
      <c r="F38" s="226">
        <f>Dat_02!D37</f>
        <v>125.24455872987446</v>
      </c>
      <c r="G38" s="226">
        <f>Dat_02!E37</f>
        <v>72.057024007457684</v>
      </c>
      <c r="I38" s="227">
        <f>Dat_02!G37</f>
        <v>0</v>
      </c>
      <c r="J38" s="233" t="str">
        <f>IF(Dat_02!H37=0,"",Dat_02!H37)</f>
        <v/>
      </c>
    </row>
    <row r="39" spans="2:10">
      <c r="B39" s="224"/>
      <c r="C39" s="225">
        <f>Dat_02!B38</f>
        <v>44656</v>
      </c>
      <c r="D39" s="224"/>
      <c r="E39" s="226">
        <f>Dat_02!C38</f>
        <v>96.13378803145676</v>
      </c>
      <c r="F39" s="226">
        <f>Dat_02!D38</f>
        <v>125.24455872987446</v>
      </c>
      <c r="G39" s="226">
        <f>Dat_02!E38</f>
        <v>96.13378803145676</v>
      </c>
      <c r="I39" s="227">
        <f>Dat_02!G38</f>
        <v>0</v>
      </c>
      <c r="J39" s="233" t="str">
        <f>IF(Dat_02!H38=0,"",Dat_02!H38)</f>
        <v/>
      </c>
    </row>
    <row r="40" spans="2:10">
      <c r="B40" s="224"/>
      <c r="C40" s="225">
        <f>Dat_02!B39</f>
        <v>44657</v>
      </c>
      <c r="D40" s="224"/>
      <c r="E40" s="226">
        <f>Dat_02!C39</f>
        <v>76.231480753457234</v>
      </c>
      <c r="F40" s="226">
        <f>Dat_02!D39</f>
        <v>125.24455872987446</v>
      </c>
      <c r="G40" s="226">
        <f>Dat_02!E39</f>
        <v>76.231480753457234</v>
      </c>
      <c r="I40" s="227">
        <f>Dat_02!G39</f>
        <v>0</v>
      </c>
      <c r="J40" s="233" t="str">
        <f>IF(Dat_02!H39=0,"",Dat_02!H39)</f>
        <v/>
      </c>
    </row>
    <row r="41" spans="2:10">
      <c r="B41" s="224"/>
      <c r="C41" s="225">
        <f>Dat_02!B40</f>
        <v>44658</v>
      </c>
      <c r="D41" s="224"/>
      <c r="E41" s="226">
        <f>Dat_02!C40</f>
        <v>56.790206899457232</v>
      </c>
      <c r="F41" s="226">
        <f>Dat_02!D40</f>
        <v>125.24455872987446</v>
      </c>
      <c r="G41" s="226">
        <f>Dat_02!E40</f>
        <v>56.790206899457232</v>
      </c>
      <c r="I41" s="227">
        <f>Dat_02!G40</f>
        <v>0</v>
      </c>
      <c r="J41" s="233" t="str">
        <f>IF(Dat_02!H40=0,"",Dat_02!H40)</f>
        <v/>
      </c>
    </row>
    <row r="42" spans="2:10">
      <c r="B42" s="224"/>
      <c r="C42" s="225">
        <f>Dat_02!B41</f>
        <v>44659</v>
      </c>
      <c r="D42" s="224"/>
      <c r="E42" s="226">
        <f>Dat_02!C41</f>
        <v>53.223992833460024</v>
      </c>
      <c r="F42" s="226">
        <f>Dat_02!D41</f>
        <v>125.24455872987446</v>
      </c>
      <c r="G42" s="226">
        <f>Dat_02!E41</f>
        <v>53.223992833460024</v>
      </c>
      <c r="I42" s="227">
        <f>Dat_02!G41</f>
        <v>0</v>
      </c>
      <c r="J42" s="233" t="str">
        <f>IF(Dat_02!H41=0,"",Dat_02!H41)</f>
        <v/>
      </c>
    </row>
    <row r="43" spans="2:10">
      <c r="B43" s="224"/>
      <c r="C43" s="225">
        <f>Dat_02!B42</f>
        <v>44660</v>
      </c>
      <c r="D43" s="224"/>
      <c r="E43" s="226">
        <f>Dat_02!C42</f>
        <v>70.652818067457233</v>
      </c>
      <c r="F43" s="226">
        <f>Dat_02!D42</f>
        <v>125.24455872987446</v>
      </c>
      <c r="G43" s="226">
        <f>Dat_02!E42</f>
        <v>70.652818067457233</v>
      </c>
      <c r="I43" s="227">
        <f>Dat_02!G42</f>
        <v>0</v>
      </c>
      <c r="J43" s="233" t="str">
        <f>IF(Dat_02!H42=0,"",Dat_02!H42)</f>
        <v/>
      </c>
    </row>
    <row r="44" spans="2:10">
      <c r="B44" s="224"/>
      <c r="C44" s="225">
        <f>Dat_02!B43</f>
        <v>44661</v>
      </c>
      <c r="D44" s="224"/>
      <c r="E44" s="226">
        <f>Dat_02!C43</f>
        <v>40.918056189456301</v>
      </c>
      <c r="F44" s="226">
        <f>Dat_02!D43</f>
        <v>125.24455872987446</v>
      </c>
      <c r="G44" s="226">
        <f>Dat_02!E43</f>
        <v>40.918056189456301</v>
      </c>
      <c r="I44" s="227">
        <f>Dat_02!G43</f>
        <v>0</v>
      </c>
      <c r="J44" s="233" t="str">
        <f>IF(Dat_02!H43=0,"",Dat_02!H43)</f>
        <v/>
      </c>
    </row>
    <row r="45" spans="2:10">
      <c r="B45" s="224"/>
      <c r="C45" s="225">
        <f>Dat_02!B44</f>
        <v>44662</v>
      </c>
      <c r="D45" s="224"/>
      <c r="E45" s="226">
        <f>Dat_02!C44</f>
        <v>46.868316089458169</v>
      </c>
      <c r="F45" s="226">
        <f>Dat_02!D44</f>
        <v>125.24455872987446</v>
      </c>
      <c r="G45" s="226">
        <f>Dat_02!E44</f>
        <v>46.868316089458169</v>
      </c>
      <c r="I45" s="227">
        <f>Dat_02!G44</f>
        <v>0</v>
      </c>
      <c r="J45" s="233" t="str">
        <f>IF(Dat_02!H44=0,"",Dat_02!H44)</f>
        <v/>
      </c>
    </row>
    <row r="46" spans="2:10">
      <c r="B46" s="224"/>
      <c r="C46" s="225">
        <f>Dat_02!B45</f>
        <v>44663</v>
      </c>
      <c r="D46" s="224"/>
      <c r="E46" s="226">
        <f>Dat_02!C45</f>
        <v>73.202432325457238</v>
      </c>
      <c r="F46" s="226">
        <f>Dat_02!D45</f>
        <v>125.24455872987446</v>
      </c>
      <c r="G46" s="226">
        <f>Dat_02!E45</f>
        <v>73.202432325457238</v>
      </c>
      <c r="I46" s="227">
        <f>Dat_02!G45</f>
        <v>0</v>
      </c>
      <c r="J46" s="233" t="str">
        <f>IF(Dat_02!H45=0,"",Dat_02!H45)</f>
        <v/>
      </c>
    </row>
    <row r="47" spans="2:10">
      <c r="B47" s="224"/>
      <c r="C47" s="225">
        <f>Dat_02!B46</f>
        <v>44664</v>
      </c>
      <c r="D47" s="224"/>
      <c r="E47" s="226">
        <f>Dat_02!C46</f>
        <v>97.029967481449177</v>
      </c>
      <c r="F47" s="226">
        <f>Dat_02!D46</f>
        <v>125.24455872987446</v>
      </c>
      <c r="G47" s="226">
        <f>Dat_02!E46</f>
        <v>97.029967481449177</v>
      </c>
      <c r="I47" s="227">
        <f>Dat_02!G46</f>
        <v>0</v>
      </c>
      <c r="J47" s="233" t="str">
        <f>IF(Dat_02!H46=0,"",Dat_02!H46)</f>
        <v/>
      </c>
    </row>
    <row r="48" spans="2:10">
      <c r="B48" s="224"/>
      <c r="C48" s="225">
        <f>Dat_02!B47</f>
        <v>44665</v>
      </c>
      <c r="D48" s="224"/>
      <c r="E48" s="226">
        <f>Dat_02!C47</f>
        <v>81.191819453449156</v>
      </c>
      <c r="F48" s="226">
        <f>Dat_02!D47</f>
        <v>125.24455872987446</v>
      </c>
      <c r="G48" s="226">
        <f>Dat_02!E47</f>
        <v>81.191819453449156</v>
      </c>
      <c r="I48" s="227">
        <f>Dat_02!G47</f>
        <v>0</v>
      </c>
      <c r="J48" s="233" t="str">
        <f>IF(Dat_02!H47=0,"",Dat_02!H47)</f>
        <v/>
      </c>
    </row>
    <row r="49" spans="2:10">
      <c r="B49" s="224"/>
      <c r="C49" s="225">
        <f>Dat_02!B48</f>
        <v>44666</v>
      </c>
      <c r="D49" s="224"/>
      <c r="E49" s="226">
        <f>Dat_02!C48</f>
        <v>74.553324233448251</v>
      </c>
      <c r="F49" s="226">
        <f>Dat_02!D48</f>
        <v>125.24455872987446</v>
      </c>
      <c r="G49" s="226">
        <f>Dat_02!E48</f>
        <v>74.553324233448251</v>
      </c>
      <c r="I49" s="227">
        <f>Dat_02!G48</f>
        <v>125.24455872987446</v>
      </c>
      <c r="J49" s="233" t="str">
        <f>IF(Dat_02!H48=0,"",Dat_02!H48)</f>
        <v/>
      </c>
    </row>
    <row r="50" spans="2:10">
      <c r="B50" s="224"/>
      <c r="C50" s="225">
        <f>Dat_02!B49</f>
        <v>44667</v>
      </c>
      <c r="D50" s="224"/>
      <c r="E50" s="226">
        <f>Dat_02!C49</f>
        <v>65.376347637449172</v>
      </c>
      <c r="F50" s="226">
        <f>Dat_02!D49</f>
        <v>125.24455872987446</v>
      </c>
      <c r="G50" s="226">
        <f>Dat_02!E49</f>
        <v>65.376347637449172</v>
      </c>
      <c r="I50" s="227">
        <f>Dat_02!G49</f>
        <v>0</v>
      </c>
      <c r="J50" s="233" t="str">
        <f>IF(Dat_02!H49=0,"",Dat_02!H49)</f>
        <v/>
      </c>
    </row>
    <row r="51" spans="2:10">
      <c r="B51" s="224"/>
      <c r="C51" s="225">
        <f>Dat_02!B50</f>
        <v>44668</v>
      </c>
      <c r="D51" s="224"/>
      <c r="E51" s="226">
        <f>Dat_02!C50</f>
        <v>72.665358119449166</v>
      </c>
      <c r="F51" s="226">
        <f>Dat_02!D50</f>
        <v>125.24455872987446</v>
      </c>
      <c r="G51" s="226">
        <f>Dat_02!E50</f>
        <v>72.665358119449166</v>
      </c>
      <c r="I51" s="227">
        <f>Dat_02!G50</f>
        <v>0</v>
      </c>
      <c r="J51" s="233" t="str">
        <f>IF(Dat_02!H50=0,"",Dat_02!H50)</f>
        <v/>
      </c>
    </row>
    <row r="52" spans="2:10">
      <c r="B52" s="224"/>
      <c r="C52" s="225">
        <f>Dat_02!B51</f>
        <v>44669</v>
      </c>
      <c r="D52" s="224"/>
      <c r="E52" s="226">
        <f>Dat_02!C51</f>
        <v>79.34810926944823</v>
      </c>
      <c r="F52" s="226">
        <f>Dat_02!D51</f>
        <v>125.24455872987446</v>
      </c>
      <c r="G52" s="226">
        <f>Dat_02!E51</f>
        <v>79.34810926944823</v>
      </c>
      <c r="I52" s="227">
        <f>Dat_02!G51</f>
        <v>0</v>
      </c>
      <c r="J52" s="233" t="str">
        <f>IF(Dat_02!H51=0,"",Dat_02!H51)</f>
        <v/>
      </c>
    </row>
    <row r="53" spans="2:10">
      <c r="B53" s="224"/>
      <c r="C53" s="225">
        <f>Dat_02!B52</f>
        <v>44670</v>
      </c>
      <c r="D53" s="224"/>
      <c r="E53" s="226">
        <f>Dat_02!C52</f>
        <v>82.780507059450102</v>
      </c>
      <c r="F53" s="226">
        <f>Dat_02!D52</f>
        <v>125.24455872987446</v>
      </c>
      <c r="G53" s="226">
        <f>Dat_02!E52</f>
        <v>82.780507059450102</v>
      </c>
      <c r="I53" s="227">
        <f>Dat_02!G52</f>
        <v>0</v>
      </c>
      <c r="J53" s="233" t="str">
        <f>IF(Dat_02!H52=0,"",Dat_02!H52)</f>
        <v/>
      </c>
    </row>
    <row r="54" spans="2:10">
      <c r="B54" s="224"/>
      <c r="C54" s="225">
        <f>Dat_02!B53</f>
        <v>44671</v>
      </c>
      <c r="D54" s="224"/>
      <c r="E54" s="226">
        <f>Dat_02!C53</f>
        <v>91.179375421669945</v>
      </c>
      <c r="F54" s="226">
        <f>Dat_02!D53</f>
        <v>125.24455872987446</v>
      </c>
      <c r="G54" s="226">
        <f>Dat_02!E53</f>
        <v>91.179375421669945</v>
      </c>
      <c r="I54" s="227">
        <f>Dat_02!G53</f>
        <v>0</v>
      </c>
      <c r="J54" s="233" t="str">
        <f>IF(Dat_02!H53=0,"",Dat_02!H53)</f>
        <v/>
      </c>
    </row>
    <row r="55" spans="2:10">
      <c r="B55" s="224"/>
      <c r="C55" s="225">
        <f>Dat_02!B54</f>
        <v>44672</v>
      </c>
      <c r="D55" s="224"/>
      <c r="E55" s="226">
        <f>Dat_02!C54</f>
        <v>107.24645708966996</v>
      </c>
      <c r="F55" s="226">
        <f>Dat_02!D54</f>
        <v>125.24455872987446</v>
      </c>
      <c r="G55" s="226">
        <f>Dat_02!E54</f>
        <v>107.24645708966996</v>
      </c>
      <c r="I55" s="227">
        <f>Dat_02!G54</f>
        <v>0</v>
      </c>
      <c r="J55" s="233" t="str">
        <f>IF(Dat_02!H54=0,"",Dat_02!H54)</f>
        <v/>
      </c>
    </row>
    <row r="56" spans="2:10">
      <c r="B56" s="224"/>
      <c r="C56" s="225">
        <f>Dat_02!B55</f>
        <v>44673</v>
      </c>
      <c r="D56" s="224"/>
      <c r="E56" s="226">
        <f>Dat_02!C55</f>
        <v>109.59587319367088</v>
      </c>
      <c r="F56" s="226">
        <f>Dat_02!D55</f>
        <v>125.24455872987446</v>
      </c>
      <c r="G56" s="226">
        <f>Dat_02!E55</f>
        <v>109.59587319367088</v>
      </c>
      <c r="I56" s="227">
        <f>Dat_02!G55</f>
        <v>0</v>
      </c>
      <c r="J56" s="233" t="str">
        <f>IF(Dat_02!H55=0,"",Dat_02!H55)</f>
        <v/>
      </c>
    </row>
    <row r="57" spans="2:10">
      <c r="B57" s="224"/>
      <c r="C57" s="225">
        <f>Dat_02!B56</f>
        <v>44674</v>
      </c>
      <c r="D57" s="224"/>
      <c r="E57" s="226">
        <f>Dat_02!C56</f>
        <v>79.516294011670894</v>
      </c>
      <c r="F57" s="226">
        <f>Dat_02!D56</f>
        <v>125.24455872987446</v>
      </c>
      <c r="G57" s="226">
        <f>Dat_02!E56</f>
        <v>79.516294011670894</v>
      </c>
      <c r="I57" s="227">
        <f>Dat_02!G56</f>
        <v>0</v>
      </c>
      <c r="J57" s="233" t="str">
        <f>IF(Dat_02!H56=0,"",Dat_02!H56)</f>
        <v/>
      </c>
    </row>
    <row r="58" spans="2:10">
      <c r="B58" s="224"/>
      <c r="C58" s="225">
        <f>Dat_02!B57</f>
        <v>44675</v>
      </c>
      <c r="D58" s="224"/>
      <c r="E58" s="226">
        <f>Dat_02!C57</f>
        <v>91.745059781669966</v>
      </c>
      <c r="F58" s="226">
        <f>Dat_02!D57</f>
        <v>125.24455872987446</v>
      </c>
      <c r="G58" s="226">
        <f>Dat_02!E57</f>
        <v>91.745059781669966</v>
      </c>
      <c r="I58" s="227">
        <f>Dat_02!G57</f>
        <v>0</v>
      </c>
      <c r="J58" s="233" t="str">
        <f>IF(Dat_02!H57=0,"",Dat_02!H57)</f>
        <v/>
      </c>
    </row>
    <row r="59" spans="2:10">
      <c r="B59" s="224"/>
      <c r="C59" s="225">
        <f>Dat_02!B58</f>
        <v>44676</v>
      </c>
      <c r="D59" s="224"/>
      <c r="E59" s="226">
        <f>Dat_02!C58</f>
        <v>101.44792483766902</v>
      </c>
      <c r="F59" s="226">
        <f>Dat_02!D58</f>
        <v>125.24455872987446</v>
      </c>
      <c r="G59" s="226">
        <f>Dat_02!E58</f>
        <v>101.44792483766902</v>
      </c>
      <c r="I59" s="227">
        <f>Dat_02!G58</f>
        <v>0</v>
      </c>
      <c r="J59" s="233" t="str">
        <f>IF(Dat_02!H58=0,"",Dat_02!H58)</f>
        <v/>
      </c>
    </row>
    <row r="60" spans="2:10">
      <c r="B60" s="224"/>
      <c r="C60" s="225">
        <f>Dat_02!B59</f>
        <v>44677</v>
      </c>
      <c r="D60" s="224"/>
      <c r="E60" s="226">
        <f>Dat_02!C59</f>
        <v>104.48264529367088</v>
      </c>
      <c r="F60" s="226">
        <f>Dat_02!D59</f>
        <v>125.24455872987446</v>
      </c>
      <c r="G60" s="226">
        <f>Dat_02!E59</f>
        <v>104.48264529367088</v>
      </c>
      <c r="I60" s="227">
        <f>Dat_02!G59</f>
        <v>0</v>
      </c>
      <c r="J60" s="233" t="str">
        <f>IF(Dat_02!H59=0,"",Dat_02!H59)</f>
        <v/>
      </c>
    </row>
    <row r="61" spans="2:10">
      <c r="B61" s="224"/>
      <c r="C61" s="225">
        <f>Dat_02!B60</f>
        <v>44678</v>
      </c>
      <c r="D61" s="224"/>
      <c r="E61" s="226">
        <f>Dat_02!C60</f>
        <v>99.326831420552693</v>
      </c>
      <c r="F61" s="226">
        <f>Dat_02!D60</f>
        <v>125.24455872987446</v>
      </c>
      <c r="G61" s="226">
        <f>Dat_02!E60</f>
        <v>99.326831420552693</v>
      </c>
      <c r="I61" s="227">
        <f>Dat_02!G60</f>
        <v>0</v>
      </c>
      <c r="J61" s="233" t="str">
        <f>IF(Dat_02!H60=0,"",Dat_02!H60)</f>
        <v/>
      </c>
    </row>
    <row r="62" spans="2:10">
      <c r="B62" s="224"/>
      <c r="C62" s="225">
        <f>Dat_02!B61</f>
        <v>44679</v>
      </c>
      <c r="D62" s="224"/>
      <c r="E62" s="226">
        <f>Dat_02!C61</f>
        <v>114.03566418455084</v>
      </c>
      <c r="F62" s="226">
        <f>Dat_02!D61</f>
        <v>125.24455872987446</v>
      </c>
      <c r="G62" s="226">
        <f>Dat_02!E61</f>
        <v>114.03566418455084</v>
      </c>
      <c r="I62" s="227">
        <f>Dat_02!G61</f>
        <v>0</v>
      </c>
      <c r="J62" s="233" t="str">
        <f>IF(Dat_02!H61=0,"",Dat_02!H61)</f>
        <v/>
      </c>
    </row>
    <row r="63" spans="2:10">
      <c r="B63" s="224"/>
      <c r="C63" s="225">
        <f>Dat_02!B62</f>
        <v>44680</v>
      </c>
      <c r="D63" s="224"/>
      <c r="E63" s="226">
        <f>Dat_02!C62</f>
        <v>117.81579688055271</v>
      </c>
      <c r="F63" s="226">
        <f>Dat_02!D62</f>
        <v>125.24455872987446</v>
      </c>
      <c r="G63" s="226">
        <f>Dat_02!E62</f>
        <v>117.81579688055271</v>
      </c>
      <c r="I63" s="227">
        <f>Dat_02!G62</f>
        <v>0</v>
      </c>
      <c r="J63" s="233" t="str">
        <f>IF(Dat_02!H62=0,"",Dat_02!H62)</f>
        <v/>
      </c>
    </row>
    <row r="64" spans="2:10">
      <c r="B64" s="224"/>
      <c r="C64" s="225">
        <f>Dat_02!B63</f>
        <v>44681</v>
      </c>
      <c r="D64" s="224"/>
      <c r="E64" s="226">
        <f>Dat_02!C63</f>
        <v>104.73164693055364</v>
      </c>
      <c r="F64" s="226">
        <f>Dat_02!D63</f>
        <v>125.24455872987446</v>
      </c>
      <c r="G64" s="226">
        <f>Dat_02!E63</f>
        <v>104.73164693055364</v>
      </c>
      <c r="I64" s="227">
        <f>Dat_02!G63</f>
        <v>0</v>
      </c>
      <c r="J64" s="233" t="str">
        <f>IF(Dat_02!H63=0,"",Dat_02!H63)</f>
        <v/>
      </c>
    </row>
    <row r="65" spans="2:10">
      <c r="B65" s="224" t="s">
        <v>186</v>
      </c>
      <c r="C65" s="225">
        <f>Dat_02!B64</f>
        <v>44682</v>
      </c>
      <c r="D65" s="224"/>
      <c r="E65" s="226">
        <f>Dat_02!C64</f>
        <v>83.156359126549916</v>
      </c>
      <c r="F65" s="226">
        <f>Dat_02!D64</f>
        <v>99.174715760964361</v>
      </c>
      <c r="G65" s="226">
        <f>Dat_02!E64</f>
        <v>83.156359126549916</v>
      </c>
      <c r="I65" s="227">
        <f>Dat_02!G64</f>
        <v>0</v>
      </c>
      <c r="J65" s="233" t="str">
        <f>IF(Dat_02!H64=0,"",Dat_02!H64)</f>
        <v/>
      </c>
    </row>
    <row r="66" spans="2:10">
      <c r="B66" s="224"/>
      <c r="C66" s="225">
        <f>Dat_02!B65</f>
        <v>44683</v>
      </c>
      <c r="D66" s="224"/>
      <c r="E66" s="226">
        <f>Dat_02!C65</f>
        <v>91.21433605255362</v>
      </c>
      <c r="F66" s="226">
        <f>Dat_02!D65</f>
        <v>99.174715760964361</v>
      </c>
      <c r="G66" s="226">
        <f>Dat_02!E65</f>
        <v>91.21433605255362</v>
      </c>
      <c r="I66" s="227">
        <f>Dat_02!G65</f>
        <v>0</v>
      </c>
      <c r="J66" s="233" t="str">
        <f>IF(Dat_02!H65=0,"",Dat_02!H65)</f>
        <v/>
      </c>
    </row>
    <row r="67" spans="2:10">
      <c r="B67" s="224"/>
      <c r="C67" s="225">
        <f>Dat_02!B66</f>
        <v>44684</v>
      </c>
      <c r="D67" s="224"/>
      <c r="E67" s="226">
        <f>Dat_02!C66</f>
        <v>111.0449889485527</v>
      </c>
      <c r="F67" s="226">
        <f>Dat_02!D66</f>
        <v>99.174715760964361</v>
      </c>
      <c r="G67" s="226">
        <f>Dat_02!E66</f>
        <v>99.174715760964361</v>
      </c>
      <c r="I67" s="227">
        <f>Dat_02!G66</f>
        <v>0</v>
      </c>
      <c r="J67" s="233" t="str">
        <f>IF(Dat_02!H66=0,"",Dat_02!H66)</f>
        <v/>
      </c>
    </row>
    <row r="68" spans="2:10">
      <c r="B68" s="224"/>
      <c r="C68" s="225">
        <f>Dat_02!B67</f>
        <v>44685</v>
      </c>
      <c r="D68" s="224"/>
      <c r="E68" s="226">
        <f>Dat_02!C67</f>
        <v>107.26813197630744</v>
      </c>
      <c r="F68" s="226">
        <f>Dat_02!D67</f>
        <v>99.174715760964361</v>
      </c>
      <c r="G68" s="226">
        <f>Dat_02!E67</f>
        <v>99.174715760964361</v>
      </c>
      <c r="I68" s="227">
        <f>Dat_02!G67</f>
        <v>0</v>
      </c>
      <c r="J68" s="233" t="str">
        <f>IF(Dat_02!H67=0,"",Dat_02!H67)</f>
        <v/>
      </c>
    </row>
    <row r="69" spans="2:10">
      <c r="B69" s="224"/>
      <c r="C69" s="225">
        <f>Dat_02!B68</f>
        <v>44686</v>
      </c>
      <c r="D69" s="224"/>
      <c r="E69" s="226">
        <f>Dat_02!C68</f>
        <v>86.8020471523065</v>
      </c>
      <c r="F69" s="226">
        <f>Dat_02!D68</f>
        <v>99.174715760964361</v>
      </c>
      <c r="G69" s="226">
        <f>Dat_02!E68</f>
        <v>86.8020471523065</v>
      </c>
      <c r="I69" s="227">
        <f>Dat_02!G68</f>
        <v>0</v>
      </c>
      <c r="J69" s="233" t="str">
        <f>IF(Dat_02!H68=0,"",Dat_02!H68)</f>
        <v/>
      </c>
    </row>
    <row r="70" spans="2:10">
      <c r="B70" s="224"/>
      <c r="C70" s="225">
        <f>Dat_02!B69</f>
        <v>44687</v>
      </c>
      <c r="D70" s="224"/>
      <c r="E70" s="226">
        <f>Dat_02!C69</f>
        <v>69.103522436307443</v>
      </c>
      <c r="F70" s="226">
        <f>Dat_02!D69</f>
        <v>99.174715760964361</v>
      </c>
      <c r="G70" s="226">
        <f>Dat_02!E69</f>
        <v>69.103522436307443</v>
      </c>
      <c r="I70" s="227">
        <f>Dat_02!G69</f>
        <v>0</v>
      </c>
      <c r="J70" s="233" t="str">
        <f>IF(Dat_02!H69=0,"",Dat_02!H69)</f>
        <v/>
      </c>
    </row>
    <row r="71" spans="2:10">
      <c r="B71" s="224"/>
      <c r="C71" s="225">
        <f>Dat_02!B70</f>
        <v>44688</v>
      </c>
      <c r="D71" s="224"/>
      <c r="E71" s="226">
        <f>Dat_02!C70</f>
        <v>72.622806806305576</v>
      </c>
      <c r="F71" s="226">
        <f>Dat_02!D70</f>
        <v>99.174715760964361</v>
      </c>
      <c r="G71" s="226">
        <f>Dat_02!E70</f>
        <v>72.622806806305576</v>
      </c>
      <c r="I71" s="227">
        <f>Dat_02!G70</f>
        <v>0</v>
      </c>
      <c r="J71" s="233" t="str">
        <f>IF(Dat_02!H70=0,"",Dat_02!H70)</f>
        <v/>
      </c>
    </row>
    <row r="72" spans="2:10">
      <c r="B72" s="224"/>
      <c r="C72" s="225">
        <f>Dat_02!B71</f>
        <v>44689</v>
      </c>
      <c r="D72" s="224"/>
      <c r="E72" s="226">
        <f>Dat_02!C71</f>
        <v>64.835992066308364</v>
      </c>
      <c r="F72" s="226">
        <f>Dat_02!D71</f>
        <v>99.174715760964361</v>
      </c>
      <c r="G72" s="226">
        <f>Dat_02!E71</f>
        <v>64.835992066308364</v>
      </c>
      <c r="I72" s="227">
        <f>Dat_02!G71</f>
        <v>0</v>
      </c>
      <c r="J72" s="233" t="str">
        <f>IF(Dat_02!H71=0,"",Dat_02!H71)</f>
        <v/>
      </c>
    </row>
    <row r="73" spans="2:10">
      <c r="B73" s="224"/>
      <c r="C73" s="225">
        <f>Dat_02!B72</f>
        <v>44690</v>
      </c>
      <c r="D73" s="224"/>
      <c r="E73" s="226">
        <f>Dat_02!C72</f>
        <v>79.258509340306517</v>
      </c>
      <c r="F73" s="226">
        <f>Dat_02!D72</f>
        <v>99.174715760964361</v>
      </c>
      <c r="G73" s="226">
        <f>Dat_02!E72</f>
        <v>79.258509340306517</v>
      </c>
      <c r="I73" s="227">
        <f>Dat_02!G72</f>
        <v>0</v>
      </c>
      <c r="J73" s="233" t="str">
        <f>IF(Dat_02!H72=0,"",Dat_02!H72)</f>
        <v/>
      </c>
    </row>
    <row r="74" spans="2:10">
      <c r="B74" s="224"/>
      <c r="C74" s="225">
        <f>Dat_02!B73</f>
        <v>44691</v>
      </c>
      <c r="D74" s="224"/>
      <c r="E74" s="226">
        <f>Dat_02!C73</f>
        <v>83.370523604307436</v>
      </c>
      <c r="F74" s="226">
        <f>Dat_02!D73</f>
        <v>99.174715760964361</v>
      </c>
      <c r="G74" s="226">
        <f>Dat_02!E73</f>
        <v>83.370523604307436</v>
      </c>
      <c r="I74" s="227">
        <f>Dat_02!G73</f>
        <v>0</v>
      </c>
      <c r="J74" s="233" t="str">
        <f>IF(Dat_02!H73=0,"",Dat_02!H73)</f>
        <v/>
      </c>
    </row>
    <row r="75" spans="2:10">
      <c r="B75" s="224"/>
      <c r="C75" s="225">
        <f>Dat_02!B74</f>
        <v>44692</v>
      </c>
      <c r="D75" s="224"/>
      <c r="E75" s="226">
        <f>Dat_02!C74</f>
        <v>64.487095028005015</v>
      </c>
      <c r="F75" s="226">
        <f>Dat_02!D74</f>
        <v>99.174715760964361</v>
      </c>
      <c r="G75" s="226">
        <f>Dat_02!E74</f>
        <v>64.487095028005015</v>
      </c>
      <c r="I75" s="227">
        <f>Dat_02!G74</f>
        <v>0</v>
      </c>
      <c r="J75" s="233" t="str">
        <f>IF(Dat_02!H74=0,"",Dat_02!H74)</f>
        <v/>
      </c>
    </row>
    <row r="76" spans="2:10">
      <c r="B76" s="224"/>
      <c r="C76" s="225">
        <f>Dat_02!B75</f>
        <v>44693</v>
      </c>
      <c r="D76" s="224"/>
      <c r="E76" s="226">
        <f>Dat_02!C75</f>
        <v>54.860505084005958</v>
      </c>
      <c r="F76" s="226">
        <f>Dat_02!D75</f>
        <v>99.174715760964361</v>
      </c>
      <c r="G76" s="226">
        <f>Dat_02!E75</f>
        <v>54.860505084005958</v>
      </c>
      <c r="I76" s="227">
        <f>Dat_02!G75</f>
        <v>0</v>
      </c>
      <c r="J76" s="233" t="str">
        <f>IF(Dat_02!H75=0,"",Dat_02!H75)</f>
        <v/>
      </c>
    </row>
    <row r="77" spans="2:10">
      <c r="B77" s="224"/>
      <c r="C77" s="225">
        <f>Dat_02!B76</f>
        <v>44694</v>
      </c>
      <c r="D77" s="224"/>
      <c r="E77" s="226">
        <f>Dat_02!C76</f>
        <v>61.607467572005014</v>
      </c>
      <c r="F77" s="226">
        <f>Dat_02!D76</f>
        <v>99.174715760964361</v>
      </c>
      <c r="G77" s="226">
        <f>Dat_02!E76</f>
        <v>61.607467572005014</v>
      </c>
      <c r="I77" s="227">
        <f>Dat_02!G76</f>
        <v>0</v>
      </c>
      <c r="J77" s="233" t="str">
        <f>IF(Dat_02!H76=0,"",Dat_02!H76)</f>
        <v/>
      </c>
    </row>
    <row r="78" spans="2:10">
      <c r="B78" s="224"/>
      <c r="C78" s="225">
        <f>Dat_02!B77</f>
        <v>44695</v>
      </c>
      <c r="D78" s="224"/>
      <c r="E78" s="226">
        <f>Dat_02!C77</f>
        <v>40.143651944004084</v>
      </c>
      <c r="F78" s="226">
        <f>Dat_02!D77</f>
        <v>99.174715760964361</v>
      </c>
      <c r="G78" s="226">
        <f>Dat_02!E77</f>
        <v>40.143651944004084</v>
      </c>
      <c r="I78" s="227">
        <f>Dat_02!G77</f>
        <v>0</v>
      </c>
      <c r="J78" s="233" t="str">
        <f>IF(Dat_02!H77=0,"",Dat_02!H77)</f>
        <v/>
      </c>
    </row>
    <row r="79" spans="2:10">
      <c r="B79" s="224"/>
      <c r="C79" s="225">
        <f>Dat_02!B78</f>
        <v>44696</v>
      </c>
      <c r="D79" s="224"/>
      <c r="E79" s="226">
        <f>Dat_02!C78</f>
        <v>39.209505080005947</v>
      </c>
      <c r="F79" s="226">
        <f>Dat_02!D78</f>
        <v>99.174715760964361</v>
      </c>
      <c r="G79" s="226">
        <f>Dat_02!E78</f>
        <v>39.209505080005947</v>
      </c>
      <c r="I79" s="227">
        <f>Dat_02!G78</f>
        <v>99.174715760964361</v>
      </c>
      <c r="J79" s="233" t="str">
        <f>IF(Dat_02!H78=0,"",Dat_02!H78)</f>
        <v/>
      </c>
    </row>
    <row r="80" spans="2:10">
      <c r="B80" s="224"/>
      <c r="C80" s="225">
        <f>Dat_02!B79</f>
        <v>44697</v>
      </c>
      <c r="D80" s="224"/>
      <c r="E80" s="226">
        <f>Dat_02!C79</f>
        <v>49.212794322006879</v>
      </c>
      <c r="F80" s="226">
        <f>Dat_02!D79</f>
        <v>99.174715760964361</v>
      </c>
      <c r="G80" s="226">
        <f>Dat_02!E79</f>
        <v>49.212794322006879</v>
      </c>
      <c r="I80" s="227">
        <f>Dat_02!G79</f>
        <v>0</v>
      </c>
      <c r="J80" s="233" t="str">
        <f>IF(Dat_02!H79=0,"",Dat_02!H79)</f>
        <v/>
      </c>
    </row>
    <row r="81" spans="2:10">
      <c r="B81" s="224"/>
      <c r="C81" s="225">
        <f>Dat_02!B80</f>
        <v>44698</v>
      </c>
      <c r="D81" s="224"/>
      <c r="E81" s="226">
        <f>Dat_02!C80</f>
        <v>51.786156812005011</v>
      </c>
      <c r="F81" s="226">
        <f>Dat_02!D80</f>
        <v>99.174715760964361</v>
      </c>
      <c r="G81" s="226">
        <f>Dat_02!E80</f>
        <v>51.786156812005011</v>
      </c>
      <c r="I81" s="227">
        <f>Dat_02!G80</f>
        <v>0</v>
      </c>
      <c r="J81" s="233" t="str">
        <f>IF(Dat_02!H80=0,"",Dat_02!H80)</f>
        <v/>
      </c>
    </row>
    <row r="82" spans="2:10">
      <c r="B82" s="224"/>
      <c r="C82" s="225">
        <f>Dat_02!B81</f>
        <v>44699</v>
      </c>
      <c r="D82" s="224"/>
      <c r="E82" s="226">
        <f>Dat_02!C81</f>
        <v>61.161129312259817</v>
      </c>
      <c r="F82" s="226">
        <f>Dat_02!D81</f>
        <v>99.174715760964361</v>
      </c>
      <c r="G82" s="226">
        <f>Dat_02!E81</f>
        <v>61.161129312259817</v>
      </c>
      <c r="I82" s="227">
        <f>Dat_02!G81</f>
        <v>0</v>
      </c>
      <c r="J82" s="233" t="str">
        <f>IF(Dat_02!H81=0,"",Dat_02!H81)</f>
        <v/>
      </c>
    </row>
    <row r="83" spans="2:10">
      <c r="B83" s="224"/>
      <c r="C83" s="225">
        <f>Dat_02!B82</f>
        <v>44700</v>
      </c>
      <c r="D83" s="224"/>
      <c r="E83" s="226">
        <f>Dat_02!C82</f>
        <v>65.167090836259817</v>
      </c>
      <c r="F83" s="226">
        <f>Dat_02!D82</f>
        <v>99.174715760964361</v>
      </c>
      <c r="G83" s="226">
        <f>Dat_02!E82</f>
        <v>65.167090836259817</v>
      </c>
      <c r="I83" s="227">
        <f>Dat_02!G82</f>
        <v>0</v>
      </c>
      <c r="J83" s="233" t="str">
        <f>IF(Dat_02!H82=0,"",Dat_02!H82)</f>
        <v/>
      </c>
    </row>
    <row r="84" spans="2:10">
      <c r="B84" s="224"/>
      <c r="C84" s="225">
        <f>Dat_02!B83</f>
        <v>44701</v>
      </c>
      <c r="D84" s="224"/>
      <c r="E84" s="226">
        <f>Dat_02!C83</f>
        <v>62.089040656260742</v>
      </c>
      <c r="F84" s="226">
        <f>Dat_02!D83</f>
        <v>99.174715760964361</v>
      </c>
      <c r="G84" s="226">
        <f>Dat_02!E83</f>
        <v>62.089040656260742</v>
      </c>
      <c r="I84" s="227">
        <f>Dat_02!G83</f>
        <v>0</v>
      </c>
      <c r="J84" s="233" t="str">
        <f>IF(Dat_02!H83=0,"",Dat_02!H83)</f>
        <v/>
      </c>
    </row>
    <row r="85" spans="2:10">
      <c r="B85" s="224"/>
      <c r="C85" s="225">
        <f>Dat_02!B84</f>
        <v>44702</v>
      </c>
      <c r="D85" s="224"/>
      <c r="E85" s="226">
        <f>Dat_02!C84</f>
        <v>57.760507064259812</v>
      </c>
      <c r="F85" s="226">
        <f>Dat_02!D84</f>
        <v>99.174715760964361</v>
      </c>
      <c r="G85" s="226">
        <f>Dat_02!E84</f>
        <v>57.760507064259812</v>
      </c>
      <c r="I85" s="227">
        <f>Dat_02!G84</f>
        <v>0</v>
      </c>
      <c r="J85" s="233" t="str">
        <f>IF(Dat_02!H84=0,"",Dat_02!H84)</f>
        <v/>
      </c>
    </row>
    <row r="86" spans="2:10">
      <c r="B86" s="224"/>
      <c r="C86" s="225">
        <f>Dat_02!B85</f>
        <v>44703</v>
      </c>
      <c r="D86" s="224"/>
      <c r="E86" s="226">
        <f>Dat_02!C85</f>
        <v>52.668547350260752</v>
      </c>
      <c r="F86" s="226">
        <f>Dat_02!D85</f>
        <v>99.174715760964361</v>
      </c>
      <c r="G86" s="226">
        <f>Dat_02!E85</f>
        <v>52.668547350260752</v>
      </c>
      <c r="I86" s="227">
        <f>Dat_02!G85</f>
        <v>0</v>
      </c>
      <c r="J86" s="233" t="str">
        <f>IF(Dat_02!H85=0,"",Dat_02!H85)</f>
        <v/>
      </c>
    </row>
    <row r="87" spans="2:10">
      <c r="B87" s="224"/>
      <c r="C87" s="225">
        <f>Dat_02!B86</f>
        <v>44704</v>
      </c>
      <c r="D87" s="224"/>
      <c r="E87" s="226">
        <f>Dat_02!C86</f>
        <v>62.746090904259816</v>
      </c>
      <c r="F87" s="226">
        <f>Dat_02!D86</f>
        <v>99.174715760964361</v>
      </c>
      <c r="G87" s="226">
        <f>Dat_02!E86</f>
        <v>62.746090904259816</v>
      </c>
      <c r="I87" s="227">
        <f>Dat_02!G86</f>
        <v>0</v>
      </c>
      <c r="J87" s="233" t="str">
        <f>IF(Dat_02!H86=0,"",Dat_02!H86)</f>
        <v/>
      </c>
    </row>
    <row r="88" spans="2:10">
      <c r="B88" s="224"/>
      <c r="C88" s="225">
        <f>Dat_02!B87</f>
        <v>44705</v>
      </c>
      <c r="D88" s="224"/>
      <c r="E88" s="226">
        <f>Dat_02!C87</f>
        <v>55.796363632261681</v>
      </c>
      <c r="F88" s="226">
        <f>Dat_02!D87</f>
        <v>99.174715760964361</v>
      </c>
      <c r="G88" s="226">
        <f>Dat_02!E87</f>
        <v>55.796363632261681</v>
      </c>
      <c r="I88" s="227">
        <f>Dat_02!G87</f>
        <v>0</v>
      </c>
      <c r="J88" s="233" t="str">
        <f>IF(Dat_02!H87=0,"",Dat_02!H87)</f>
        <v/>
      </c>
    </row>
    <row r="89" spans="2:10">
      <c r="B89" s="224"/>
      <c r="C89" s="225">
        <f>Dat_02!B88</f>
        <v>44706</v>
      </c>
      <c r="D89" s="224"/>
      <c r="E89" s="226">
        <f>Dat_02!C88</f>
        <v>37.202491168886539</v>
      </c>
      <c r="F89" s="226">
        <f>Dat_02!D88</f>
        <v>99.174715760964361</v>
      </c>
      <c r="G89" s="226">
        <f>Dat_02!E88</f>
        <v>37.202491168886539</v>
      </c>
      <c r="I89" s="227">
        <f>Dat_02!G88</f>
        <v>0</v>
      </c>
      <c r="J89" s="233" t="str">
        <f>IF(Dat_02!H88=0,"",Dat_02!H88)</f>
        <v/>
      </c>
    </row>
    <row r="90" spans="2:10">
      <c r="B90" s="224"/>
      <c r="C90" s="225">
        <f>Dat_02!B89</f>
        <v>44707</v>
      </c>
      <c r="D90" s="224"/>
      <c r="E90" s="226">
        <f>Dat_02!C89</f>
        <v>32.887609544888399</v>
      </c>
      <c r="F90" s="226">
        <f>Dat_02!D89</f>
        <v>99.174715760964361</v>
      </c>
      <c r="G90" s="226">
        <f>Dat_02!E89</f>
        <v>32.887609544888399</v>
      </c>
      <c r="I90" s="227">
        <f>Dat_02!G89</f>
        <v>0</v>
      </c>
      <c r="J90" s="233" t="str">
        <f>IF(Dat_02!H89=0,"",Dat_02!H89)</f>
        <v/>
      </c>
    </row>
    <row r="91" spans="2:10">
      <c r="B91" s="224"/>
      <c r="C91" s="225">
        <f>Dat_02!B90</f>
        <v>44708</v>
      </c>
      <c r="D91" s="224"/>
      <c r="E91" s="226">
        <f>Dat_02!C90</f>
        <v>34.880052270888399</v>
      </c>
      <c r="F91" s="226">
        <f>Dat_02!D90</f>
        <v>99.174715760964361</v>
      </c>
      <c r="G91" s="226">
        <f>Dat_02!E90</f>
        <v>34.880052270888399</v>
      </c>
      <c r="I91" s="227">
        <f>Dat_02!G90</f>
        <v>0</v>
      </c>
      <c r="J91" s="233" t="str">
        <f>IF(Dat_02!H90=0,"",Dat_02!H90)</f>
        <v/>
      </c>
    </row>
    <row r="92" spans="2:10">
      <c r="B92" s="224"/>
      <c r="C92" s="225">
        <f>Dat_02!B91</f>
        <v>44709</v>
      </c>
      <c r="D92" s="224"/>
      <c r="E92" s="226">
        <f>Dat_02!C91</f>
        <v>41.353239382888404</v>
      </c>
      <c r="F92" s="226">
        <f>Dat_02!D91</f>
        <v>99.174715760964361</v>
      </c>
      <c r="G92" s="226">
        <f>Dat_02!E91</f>
        <v>41.353239382888404</v>
      </c>
      <c r="I92" s="227">
        <f>Dat_02!G91</f>
        <v>0</v>
      </c>
      <c r="J92" s="233" t="str">
        <f>IF(Dat_02!H91=0,"",Dat_02!H91)</f>
        <v/>
      </c>
    </row>
    <row r="93" spans="2:10">
      <c r="B93" s="224"/>
      <c r="C93" s="225">
        <f>Dat_02!B92</f>
        <v>44710</v>
      </c>
      <c r="D93" s="224"/>
      <c r="E93" s="226">
        <f>Dat_02!C92</f>
        <v>28.317300492888396</v>
      </c>
      <c r="F93" s="226">
        <f>Dat_02!D92</f>
        <v>99.174715760964361</v>
      </c>
      <c r="G93" s="226">
        <f>Dat_02!E92</f>
        <v>28.317300492888396</v>
      </c>
      <c r="I93" s="227">
        <f>Dat_02!G92</f>
        <v>0</v>
      </c>
      <c r="J93" s="233" t="str">
        <f>IF(Dat_02!H92=0,"",Dat_02!H92)</f>
        <v/>
      </c>
    </row>
    <row r="94" spans="2:10">
      <c r="B94" s="224"/>
      <c r="C94" s="225">
        <f>Dat_02!B93</f>
        <v>44711</v>
      </c>
      <c r="D94" s="224"/>
      <c r="E94" s="226">
        <f>Dat_02!C93</f>
        <v>38.824673940888403</v>
      </c>
      <c r="F94" s="226">
        <f>Dat_02!D93</f>
        <v>99.174715760964361</v>
      </c>
      <c r="G94" s="226">
        <f>Dat_02!E93</f>
        <v>38.824673940888403</v>
      </c>
      <c r="I94" s="227">
        <f>Dat_02!G93</f>
        <v>0</v>
      </c>
      <c r="J94" s="233" t="str">
        <f>IF(Dat_02!H93=0,"",Dat_02!H93)</f>
        <v/>
      </c>
    </row>
    <row r="95" spans="2:10">
      <c r="B95" s="224"/>
      <c r="C95" s="225">
        <f>Dat_02!B94</f>
        <v>44712</v>
      </c>
      <c r="D95" s="224"/>
      <c r="E95" s="226">
        <f>Dat_02!C94</f>
        <v>48.850169006887469</v>
      </c>
      <c r="F95" s="226">
        <f>Dat_02!D94</f>
        <v>99.174715760964361</v>
      </c>
      <c r="G95" s="226">
        <f>Dat_02!E94</f>
        <v>48.850169006887469</v>
      </c>
      <c r="I95" s="227">
        <f>Dat_02!G94</f>
        <v>0</v>
      </c>
      <c r="J95" s="233" t="str">
        <f>IF(Dat_02!H94=0,"",Dat_02!H94)</f>
        <v/>
      </c>
    </row>
    <row r="96" spans="2:10">
      <c r="B96" s="224" t="s">
        <v>187</v>
      </c>
      <c r="C96" s="225">
        <f>Dat_02!B95</f>
        <v>44713</v>
      </c>
      <c r="D96" s="224"/>
      <c r="E96" s="226">
        <f>Dat_02!C95</f>
        <v>41.207367929528253</v>
      </c>
      <c r="F96" s="226">
        <f>Dat_02!D95</f>
        <v>63.624179558812038</v>
      </c>
      <c r="G96" s="226">
        <f>Dat_02!E95</f>
        <v>41.207367929528253</v>
      </c>
      <c r="I96" s="227">
        <f>Dat_02!G95</f>
        <v>0</v>
      </c>
      <c r="J96" s="233" t="str">
        <f>IF(Dat_02!H95=0,"",Dat_02!H95)</f>
        <v/>
      </c>
    </row>
    <row r="97" spans="2:10">
      <c r="B97" s="224"/>
      <c r="C97" s="225">
        <f>Dat_02!B96</f>
        <v>44714</v>
      </c>
      <c r="D97" s="224"/>
      <c r="E97" s="226">
        <f>Dat_02!C96</f>
        <v>52.536363009527328</v>
      </c>
      <c r="F97" s="226">
        <f>Dat_02!D96</f>
        <v>63.624179558812038</v>
      </c>
      <c r="G97" s="226">
        <f>Dat_02!E96</f>
        <v>52.536363009527328</v>
      </c>
      <c r="I97" s="227">
        <f>Dat_02!G96</f>
        <v>0</v>
      </c>
      <c r="J97" s="233" t="str">
        <f>IF(Dat_02!H96=0,"",Dat_02!H96)</f>
        <v/>
      </c>
    </row>
    <row r="98" spans="2:10">
      <c r="B98" s="224"/>
      <c r="C98" s="225">
        <f>Dat_02!B97</f>
        <v>44715</v>
      </c>
      <c r="D98" s="224"/>
      <c r="E98" s="226">
        <f>Dat_02!C97</f>
        <v>46.10201554552733</v>
      </c>
      <c r="F98" s="226">
        <f>Dat_02!D97</f>
        <v>63.624179558812038</v>
      </c>
      <c r="G98" s="226">
        <f>Dat_02!E97</f>
        <v>46.10201554552733</v>
      </c>
      <c r="I98" s="227">
        <f>Dat_02!G97</f>
        <v>0</v>
      </c>
      <c r="J98" s="233" t="str">
        <f>IF(Dat_02!H97=0,"",Dat_02!H97)</f>
        <v/>
      </c>
    </row>
    <row r="99" spans="2:10">
      <c r="B99" s="224"/>
      <c r="C99" s="225">
        <f>Dat_02!B98</f>
        <v>44716</v>
      </c>
      <c r="D99" s="224"/>
      <c r="E99" s="226">
        <f>Dat_02!C98</f>
        <v>32.200516235526393</v>
      </c>
      <c r="F99" s="226">
        <f>Dat_02!D98</f>
        <v>63.624179558812038</v>
      </c>
      <c r="G99" s="226">
        <f>Dat_02!E98</f>
        <v>32.200516235526393</v>
      </c>
      <c r="I99" s="227">
        <f>Dat_02!G98</f>
        <v>0</v>
      </c>
      <c r="J99" s="233" t="str">
        <f>IF(Dat_02!H98=0,"",Dat_02!H98)</f>
        <v/>
      </c>
    </row>
    <row r="100" spans="2:10">
      <c r="B100" s="224"/>
      <c r="C100" s="225">
        <f>Dat_02!B99</f>
        <v>44717</v>
      </c>
      <c r="D100" s="224"/>
      <c r="E100" s="226">
        <f>Dat_02!C99</f>
        <v>24.11654776152826</v>
      </c>
      <c r="F100" s="226">
        <f>Dat_02!D99</f>
        <v>63.624179558812038</v>
      </c>
      <c r="G100" s="226">
        <f>Dat_02!E99</f>
        <v>24.11654776152826</v>
      </c>
      <c r="I100" s="227">
        <f>Dat_02!G99</f>
        <v>0</v>
      </c>
      <c r="J100" s="233" t="str">
        <f>IF(Dat_02!H99=0,"",Dat_02!H99)</f>
        <v/>
      </c>
    </row>
    <row r="101" spans="2:10">
      <c r="B101" s="224"/>
      <c r="C101" s="225">
        <f>Dat_02!B100</f>
        <v>44718</v>
      </c>
      <c r="D101" s="224"/>
      <c r="E101" s="226">
        <f>Dat_02!C100</f>
        <v>30.488533945529191</v>
      </c>
      <c r="F101" s="226">
        <f>Dat_02!D100</f>
        <v>63.624179558812038</v>
      </c>
      <c r="G101" s="226">
        <f>Dat_02!E100</f>
        <v>30.488533945529191</v>
      </c>
      <c r="I101" s="227">
        <f>Dat_02!G100</f>
        <v>0</v>
      </c>
      <c r="J101" s="233" t="str">
        <f>IF(Dat_02!H100=0,"",Dat_02!H100)</f>
        <v/>
      </c>
    </row>
    <row r="102" spans="2:10">
      <c r="B102" s="224"/>
      <c r="C102" s="225">
        <f>Dat_02!B101</f>
        <v>44719</v>
      </c>
      <c r="D102" s="224"/>
      <c r="E102" s="226">
        <f>Dat_02!C101</f>
        <v>29.348419123526394</v>
      </c>
      <c r="F102" s="226">
        <f>Dat_02!D101</f>
        <v>63.624179558812038</v>
      </c>
      <c r="G102" s="226">
        <f>Dat_02!E101</f>
        <v>29.348419123526394</v>
      </c>
      <c r="I102" s="227">
        <f>Dat_02!G101</f>
        <v>0</v>
      </c>
      <c r="J102" s="233" t="str">
        <f>IF(Dat_02!H101=0,"",Dat_02!H101)</f>
        <v/>
      </c>
    </row>
    <row r="103" spans="2:10">
      <c r="B103" s="224"/>
      <c r="C103" s="225">
        <f>Dat_02!B102</f>
        <v>44720</v>
      </c>
      <c r="D103" s="224"/>
      <c r="E103" s="226">
        <f>Dat_02!C102</f>
        <v>22.97658207775229</v>
      </c>
      <c r="F103" s="226">
        <f>Dat_02!D102</f>
        <v>63.624179558812038</v>
      </c>
      <c r="G103" s="226">
        <f>Dat_02!E102</f>
        <v>22.97658207775229</v>
      </c>
      <c r="I103" s="227">
        <f>Dat_02!G102</f>
        <v>0</v>
      </c>
      <c r="J103" s="233" t="str">
        <f>IF(Dat_02!H102=0,"",Dat_02!H102)</f>
        <v/>
      </c>
    </row>
    <row r="104" spans="2:10">
      <c r="B104" s="224"/>
      <c r="C104" s="225">
        <f>Dat_02!B103</f>
        <v>44721</v>
      </c>
      <c r="D104" s="224"/>
      <c r="E104" s="226">
        <f>Dat_02!C103</f>
        <v>25.693151507752294</v>
      </c>
      <c r="F104" s="226">
        <f>Dat_02!D103</f>
        <v>63.624179558812038</v>
      </c>
      <c r="G104" s="226">
        <f>Dat_02!E103</f>
        <v>25.693151507752294</v>
      </c>
      <c r="I104" s="227">
        <f>Dat_02!G103</f>
        <v>0</v>
      </c>
      <c r="J104" s="233" t="str">
        <f>IF(Dat_02!H103=0,"",Dat_02!H103)</f>
        <v/>
      </c>
    </row>
    <row r="105" spans="2:10">
      <c r="B105" s="224"/>
      <c r="C105" s="225">
        <f>Dat_02!B104</f>
        <v>44722</v>
      </c>
      <c r="D105" s="224"/>
      <c r="E105" s="226">
        <f>Dat_02!C104</f>
        <v>30.172250453753222</v>
      </c>
      <c r="F105" s="226">
        <f>Dat_02!D104</f>
        <v>63.624179558812038</v>
      </c>
      <c r="G105" s="226">
        <f>Dat_02!E104</f>
        <v>30.172250453753222</v>
      </c>
      <c r="I105" s="227">
        <f>Dat_02!G104</f>
        <v>0</v>
      </c>
      <c r="J105" s="233" t="str">
        <f>IF(Dat_02!H104=0,"",Dat_02!H104)</f>
        <v/>
      </c>
    </row>
    <row r="106" spans="2:10">
      <c r="B106" s="224"/>
      <c r="C106" s="225">
        <f>Dat_02!B105</f>
        <v>44723</v>
      </c>
      <c r="D106" s="224"/>
      <c r="E106" s="226">
        <f>Dat_02!C105</f>
        <v>26.469429901751361</v>
      </c>
      <c r="F106" s="226">
        <f>Dat_02!D105</f>
        <v>63.624179558812038</v>
      </c>
      <c r="G106" s="226">
        <f>Dat_02!E105</f>
        <v>26.469429901751361</v>
      </c>
      <c r="I106" s="227">
        <f>Dat_02!G105</f>
        <v>0</v>
      </c>
      <c r="J106" s="233" t="str">
        <f>IF(Dat_02!H105=0,"",Dat_02!H105)</f>
        <v/>
      </c>
    </row>
    <row r="107" spans="2:10">
      <c r="B107" s="224"/>
      <c r="C107" s="225">
        <f>Dat_02!B106</f>
        <v>44724</v>
      </c>
      <c r="D107" s="224"/>
      <c r="E107" s="226">
        <f>Dat_02!C106</f>
        <v>19.406487079751358</v>
      </c>
      <c r="F107" s="226">
        <f>Dat_02!D106</f>
        <v>63.624179558812038</v>
      </c>
      <c r="G107" s="226">
        <f>Dat_02!E106</f>
        <v>19.406487079751358</v>
      </c>
      <c r="I107" s="227">
        <f>Dat_02!G106</f>
        <v>0</v>
      </c>
      <c r="J107" s="233" t="str">
        <f>IF(Dat_02!H106=0,"",Dat_02!H106)</f>
        <v/>
      </c>
    </row>
    <row r="108" spans="2:10">
      <c r="B108" s="224"/>
      <c r="C108" s="225">
        <f>Dat_02!B107</f>
        <v>44725</v>
      </c>
      <c r="D108" s="224"/>
      <c r="E108" s="226">
        <f>Dat_02!C107</f>
        <v>46.200025131753222</v>
      </c>
      <c r="F108" s="226">
        <f>Dat_02!D107</f>
        <v>63.624179558812038</v>
      </c>
      <c r="G108" s="226">
        <f>Dat_02!E107</f>
        <v>46.200025131753222</v>
      </c>
      <c r="I108" s="227">
        <f>Dat_02!G107</f>
        <v>0</v>
      </c>
      <c r="J108" s="233" t="str">
        <f>IF(Dat_02!H107=0,"",Dat_02!H107)</f>
        <v/>
      </c>
    </row>
    <row r="109" spans="2:10">
      <c r="B109" s="224"/>
      <c r="C109" s="225">
        <f>Dat_02!B108</f>
        <v>44726</v>
      </c>
      <c r="D109" s="224"/>
      <c r="E109" s="226">
        <f>Dat_02!C108</f>
        <v>42.439020761752289</v>
      </c>
      <c r="F109" s="226">
        <f>Dat_02!D108</f>
        <v>63.624179558812038</v>
      </c>
      <c r="G109" s="226">
        <f>Dat_02!E108</f>
        <v>42.439020761752289</v>
      </c>
      <c r="I109" s="227">
        <f>Dat_02!G108</f>
        <v>0</v>
      </c>
      <c r="J109" s="233" t="str">
        <f>IF(Dat_02!H108=0,"",Dat_02!H108)</f>
        <v/>
      </c>
    </row>
    <row r="110" spans="2:10">
      <c r="B110" s="224"/>
      <c r="C110" s="225">
        <f>Dat_02!B109</f>
        <v>44727</v>
      </c>
      <c r="D110" s="224"/>
      <c r="E110" s="226">
        <f>Dat_02!C109</f>
        <v>29.932358020219034</v>
      </c>
      <c r="F110" s="226">
        <f>Dat_02!D109</f>
        <v>63.624179558812038</v>
      </c>
      <c r="G110" s="226">
        <f>Dat_02!E109</f>
        <v>29.932358020219034</v>
      </c>
      <c r="I110" s="227">
        <f>Dat_02!G109</f>
        <v>63.624179558812038</v>
      </c>
      <c r="J110" s="233" t="str">
        <f>IF(Dat_02!H109=0,"",Dat_02!H109)</f>
        <v/>
      </c>
    </row>
    <row r="111" spans="2:10">
      <c r="B111" s="224"/>
      <c r="C111" s="225">
        <f>Dat_02!B110</f>
        <v>44728</v>
      </c>
      <c r="D111" s="224"/>
      <c r="E111" s="226">
        <f>Dat_02!C110</f>
        <v>5.7832736262199687</v>
      </c>
      <c r="F111" s="226">
        <f>Dat_02!D110</f>
        <v>63.624179558812038</v>
      </c>
      <c r="G111" s="226">
        <f>Dat_02!E110</f>
        <v>5.7832736262199687</v>
      </c>
      <c r="I111" s="227">
        <f>Dat_02!G110</f>
        <v>0</v>
      </c>
      <c r="J111" s="233" t="str">
        <f>IF(Dat_02!H110=0,"",Dat_02!H110)</f>
        <v/>
      </c>
    </row>
    <row r="112" spans="2:10">
      <c r="B112" s="224"/>
      <c r="C112" s="225">
        <f>Dat_02!B111</f>
        <v>44729</v>
      </c>
      <c r="D112" s="224"/>
      <c r="E112" s="226">
        <f>Dat_02!C111</f>
        <v>1.2738564382199693</v>
      </c>
      <c r="F112" s="226">
        <f>Dat_02!D111</f>
        <v>63.624179558812038</v>
      </c>
      <c r="G112" s="226">
        <f>Dat_02!E111</f>
        <v>1.2738564382199693</v>
      </c>
      <c r="I112" s="227">
        <f>Dat_02!G111</f>
        <v>0</v>
      </c>
      <c r="J112" s="233" t="str">
        <f>IF(Dat_02!H111=0,"",Dat_02!H111)</f>
        <v/>
      </c>
    </row>
    <row r="113" spans="2:10">
      <c r="B113" s="224"/>
      <c r="C113" s="225">
        <f>Dat_02!B112</f>
        <v>44730</v>
      </c>
      <c r="D113" s="224"/>
      <c r="E113" s="226">
        <f>Dat_02!C112</f>
        <v>10.591816084219973</v>
      </c>
      <c r="F113" s="226">
        <f>Dat_02!D112</f>
        <v>63.624179558812038</v>
      </c>
      <c r="G113" s="226">
        <f>Dat_02!E112</f>
        <v>10.591816084219973</v>
      </c>
      <c r="I113" s="227">
        <f>Dat_02!G112</f>
        <v>0</v>
      </c>
      <c r="J113" s="233" t="str">
        <f>IF(Dat_02!H112=0,"",Dat_02!H112)</f>
        <v/>
      </c>
    </row>
    <row r="114" spans="2:10">
      <c r="B114" s="224"/>
      <c r="C114" s="225">
        <f>Dat_02!B113</f>
        <v>44731</v>
      </c>
      <c r="D114" s="224"/>
      <c r="E114" s="226">
        <f>Dat_02!C113</f>
        <v>1.5330402962209009</v>
      </c>
      <c r="F114" s="226">
        <f>Dat_02!D113</f>
        <v>63.624179558812038</v>
      </c>
      <c r="G114" s="226">
        <f>Dat_02!E113</f>
        <v>1.5330402962209009</v>
      </c>
      <c r="I114" s="227">
        <f>Dat_02!G113</f>
        <v>0</v>
      </c>
      <c r="J114" s="233" t="str">
        <f>IF(Dat_02!H113=0,"",Dat_02!H113)</f>
        <v/>
      </c>
    </row>
    <row r="115" spans="2:10">
      <c r="B115" s="224"/>
      <c r="C115" s="225">
        <f>Dat_02!B114</f>
        <v>44732</v>
      </c>
      <c r="D115" s="224"/>
      <c r="E115" s="226">
        <f>Dat_02!C114</f>
        <v>4.6798778182190359</v>
      </c>
      <c r="F115" s="226">
        <f>Dat_02!D114</f>
        <v>63.624179558812038</v>
      </c>
      <c r="G115" s="226">
        <f>Dat_02!E114</f>
        <v>4.6798778182190359</v>
      </c>
      <c r="I115" s="227">
        <f>Dat_02!G114</f>
        <v>0</v>
      </c>
      <c r="J115" s="233" t="str">
        <f>IF(Dat_02!H114=0,"",Dat_02!H114)</f>
        <v/>
      </c>
    </row>
    <row r="116" spans="2:10">
      <c r="B116" s="224"/>
      <c r="C116" s="225">
        <f>Dat_02!B115</f>
        <v>44733</v>
      </c>
      <c r="D116" s="224"/>
      <c r="E116" s="226">
        <f>Dat_02!C115</f>
        <v>7.928798956219973</v>
      </c>
      <c r="F116" s="226">
        <f>Dat_02!D115</f>
        <v>63.624179558812038</v>
      </c>
      <c r="G116" s="226">
        <f>Dat_02!E115</f>
        <v>7.928798956219973</v>
      </c>
      <c r="I116" s="227">
        <f>Dat_02!G115</f>
        <v>0</v>
      </c>
      <c r="J116" s="233" t="str">
        <f>IF(Dat_02!H115=0,"",Dat_02!H115)</f>
        <v/>
      </c>
    </row>
    <row r="117" spans="2:10">
      <c r="B117" s="224"/>
      <c r="C117" s="225">
        <f>Dat_02!B116</f>
        <v>44734</v>
      </c>
      <c r="D117" s="224"/>
      <c r="E117" s="226">
        <f>Dat_02!C116</f>
        <v>19.59688801024253</v>
      </c>
      <c r="F117" s="226">
        <f>Dat_02!D116</f>
        <v>63.624179558812038</v>
      </c>
      <c r="G117" s="226">
        <f>Dat_02!E116</f>
        <v>19.59688801024253</v>
      </c>
      <c r="I117" s="227">
        <f>Dat_02!G116</f>
        <v>0</v>
      </c>
      <c r="J117" s="233" t="str">
        <f>IF(Dat_02!H116=0,"",Dat_02!H116)</f>
        <v/>
      </c>
    </row>
    <row r="118" spans="2:10">
      <c r="B118" s="224"/>
      <c r="C118" s="225">
        <f>Dat_02!B117</f>
        <v>44735</v>
      </c>
      <c r="D118" s="224"/>
      <c r="E118" s="226">
        <f>Dat_02!C117</f>
        <v>11.886811138243461</v>
      </c>
      <c r="F118" s="226">
        <f>Dat_02!D117</f>
        <v>63.624179558812038</v>
      </c>
      <c r="G118" s="226">
        <f>Dat_02!E117</f>
        <v>11.886811138243461</v>
      </c>
      <c r="I118" s="227">
        <f>Dat_02!G117</f>
        <v>0</v>
      </c>
      <c r="J118" s="233" t="str">
        <f>IF(Dat_02!H117=0,"",Dat_02!H117)</f>
        <v/>
      </c>
    </row>
    <row r="119" spans="2:10">
      <c r="B119" s="224"/>
      <c r="C119" s="225">
        <f>Dat_02!B118</f>
        <v>44736</v>
      </c>
      <c r="D119" s="224"/>
      <c r="E119" s="226">
        <f>Dat_02!C118</f>
        <v>13.637115506245326</v>
      </c>
      <c r="F119" s="226">
        <f>Dat_02!D118</f>
        <v>63.624179558812038</v>
      </c>
      <c r="G119" s="226">
        <f>Dat_02!E118</f>
        <v>13.637115506245326</v>
      </c>
      <c r="I119" s="227">
        <f>Dat_02!G118</f>
        <v>0</v>
      </c>
      <c r="J119" s="233" t="str">
        <f>IF(Dat_02!H118=0,"",Dat_02!H118)</f>
        <v/>
      </c>
    </row>
    <row r="120" spans="2:10">
      <c r="B120" s="224"/>
      <c r="C120" s="225">
        <f>Dat_02!B119</f>
        <v>44737</v>
      </c>
      <c r="D120" s="224"/>
      <c r="E120" s="226">
        <f>Dat_02!C119</f>
        <v>14.103308344244393</v>
      </c>
      <c r="F120" s="226">
        <f>Dat_02!D119</f>
        <v>63.624179558812038</v>
      </c>
      <c r="G120" s="226">
        <f>Dat_02!E119</f>
        <v>14.103308344244393</v>
      </c>
      <c r="I120" s="227">
        <f>Dat_02!G119</f>
        <v>0</v>
      </c>
      <c r="J120" s="233" t="str">
        <f>IF(Dat_02!H119=0,"",Dat_02!H119)</f>
        <v/>
      </c>
    </row>
    <row r="121" spans="2:10">
      <c r="B121" s="224"/>
      <c r="C121" s="225">
        <f>Dat_02!B120</f>
        <v>44738</v>
      </c>
      <c r="D121" s="224"/>
      <c r="E121" s="226">
        <f>Dat_02!C120</f>
        <v>14.828685156243465</v>
      </c>
      <c r="F121" s="226">
        <f>Dat_02!D120</f>
        <v>63.624179558812038</v>
      </c>
      <c r="G121" s="226">
        <f>Dat_02!E120</f>
        <v>14.828685156243465</v>
      </c>
      <c r="I121" s="227">
        <f>Dat_02!G120</f>
        <v>0</v>
      </c>
      <c r="J121" s="233" t="str">
        <f>IF(Dat_02!H120=0,"",Dat_02!H120)</f>
        <v/>
      </c>
    </row>
    <row r="122" spans="2:10">
      <c r="B122" s="224"/>
      <c r="C122" s="225">
        <f>Dat_02!B121</f>
        <v>44739</v>
      </c>
      <c r="D122" s="224"/>
      <c r="E122" s="226">
        <f>Dat_02!C121</f>
        <v>16.303281046242528</v>
      </c>
      <c r="F122" s="226">
        <f>Dat_02!D121</f>
        <v>63.624179558812038</v>
      </c>
      <c r="G122" s="226">
        <f>Dat_02!E121</f>
        <v>16.303281046242528</v>
      </c>
      <c r="I122" s="227">
        <f>Dat_02!G121</f>
        <v>0</v>
      </c>
      <c r="J122" s="233" t="str">
        <f>IF(Dat_02!H121=0,"",Dat_02!H121)</f>
        <v/>
      </c>
    </row>
    <row r="123" spans="2:10">
      <c r="B123" s="224"/>
      <c r="C123" s="225">
        <f>Dat_02!B122</f>
        <v>44740</v>
      </c>
      <c r="D123" s="224"/>
      <c r="E123" s="226">
        <f>Dat_02!C122</f>
        <v>21.96886816424346</v>
      </c>
      <c r="F123" s="226">
        <f>Dat_02!D122</f>
        <v>63.624179558812038</v>
      </c>
      <c r="G123" s="226">
        <f>Dat_02!E122</f>
        <v>21.96886816424346</v>
      </c>
      <c r="I123" s="227">
        <f>Dat_02!G122</f>
        <v>0</v>
      </c>
      <c r="J123" s="233" t="str">
        <f>IF(Dat_02!H122=0,"",Dat_02!H122)</f>
        <v/>
      </c>
    </row>
    <row r="124" spans="2:10">
      <c r="B124" s="224"/>
      <c r="C124" s="225">
        <f>Dat_02!B123</f>
        <v>44741</v>
      </c>
      <c r="D124" s="224"/>
      <c r="E124" s="226">
        <f>Dat_02!C123</f>
        <v>9.211150769911189</v>
      </c>
      <c r="F124" s="226">
        <f>Dat_02!D123</f>
        <v>63.624179558812038</v>
      </c>
      <c r="G124" s="226">
        <f>Dat_02!E123</f>
        <v>9.211150769911189</v>
      </c>
      <c r="I124" s="227">
        <f>Dat_02!G123</f>
        <v>0</v>
      </c>
      <c r="J124" s="233" t="str">
        <f>IF(Dat_02!H123=0,"",Dat_02!H123)</f>
        <v/>
      </c>
    </row>
    <row r="125" spans="2:10">
      <c r="B125" s="224"/>
      <c r="C125" s="225">
        <f>Dat_02!B124</f>
        <v>44742</v>
      </c>
      <c r="D125" s="224"/>
      <c r="E125" s="226">
        <f>Dat_02!C124</f>
        <v>14.028541505911191</v>
      </c>
      <c r="F125" s="226">
        <f>Dat_02!D124</f>
        <v>63.624179558812038</v>
      </c>
      <c r="G125" s="226">
        <f>Dat_02!E124</f>
        <v>14.028541505911191</v>
      </c>
      <c r="I125" s="227">
        <f>Dat_02!G124</f>
        <v>0</v>
      </c>
      <c r="J125" s="233" t="str">
        <f>IF(Dat_02!H124=0,"",Dat_02!H124)</f>
        <v/>
      </c>
    </row>
    <row r="126" spans="2:10">
      <c r="B126" s="224"/>
      <c r="C126" s="225">
        <f>Dat_02!B125</f>
        <v>44743</v>
      </c>
      <c r="D126" s="224"/>
      <c r="E126" s="226">
        <f>Dat_02!C125</f>
        <v>18.326979493911189</v>
      </c>
      <c r="F126" s="226">
        <f>Dat_02!D125</f>
        <v>27.442156278712137</v>
      </c>
      <c r="G126" s="226">
        <f>Dat_02!E125</f>
        <v>18.326979493911189</v>
      </c>
      <c r="I126" s="227">
        <f>Dat_02!G125</f>
        <v>0</v>
      </c>
      <c r="J126" s="233" t="str">
        <f>IF(Dat_02!H125=0,"",Dat_02!H125)</f>
        <v/>
      </c>
    </row>
    <row r="127" spans="2:10">
      <c r="B127" s="224" t="s">
        <v>188</v>
      </c>
      <c r="C127" s="225">
        <f>Dat_02!B126</f>
        <v>44744</v>
      </c>
      <c r="D127" s="224"/>
      <c r="E127" s="226">
        <f>Dat_02!C126</f>
        <v>13.377881027910261</v>
      </c>
      <c r="F127" s="226">
        <f>Dat_02!D126</f>
        <v>27.442156278712137</v>
      </c>
      <c r="G127" s="226">
        <f>Dat_02!E126</f>
        <v>13.377881027910261</v>
      </c>
      <c r="I127" s="227">
        <f>Dat_02!G126</f>
        <v>0</v>
      </c>
      <c r="J127" s="233" t="str">
        <f>IF(Dat_02!H126=0,"",Dat_02!H126)</f>
        <v/>
      </c>
    </row>
    <row r="128" spans="2:10">
      <c r="B128" s="224"/>
      <c r="C128" s="225">
        <f>Dat_02!B127</f>
        <v>44745</v>
      </c>
      <c r="D128" s="224"/>
      <c r="E128" s="226">
        <f>Dat_02!C127</f>
        <v>10.92700495791026</v>
      </c>
      <c r="F128" s="226">
        <f>Dat_02!D127</f>
        <v>27.442156278712137</v>
      </c>
      <c r="G128" s="226">
        <f>Dat_02!E127</f>
        <v>10.92700495791026</v>
      </c>
      <c r="I128" s="227">
        <f>Dat_02!G127</f>
        <v>0</v>
      </c>
      <c r="J128" s="233" t="str">
        <f>IF(Dat_02!H127=0,"",Dat_02!H127)</f>
        <v/>
      </c>
    </row>
    <row r="129" spans="2:10">
      <c r="B129" s="224"/>
      <c r="C129" s="225">
        <f>Dat_02!B128</f>
        <v>44746</v>
      </c>
      <c r="D129" s="224"/>
      <c r="E129" s="226">
        <f>Dat_02!C128</f>
        <v>12.704216783910262</v>
      </c>
      <c r="F129" s="226">
        <f>Dat_02!D128</f>
        <v>27.442156278712137</v>
      </c>
      <c r="G129" s="226">
        <f>Dat_02!E128</f>
        <v>12.704216783910262</v>
      </c>
      <c r="I129" s="227">
        <f>Dat_02!G128</f>
        <v>0</v>
      </c>
      <c r="J129" s="233" t="str">
        <f>IF(Dat_02!H128=0,"",Dat_02!H128)</f>
        <v/>
      </c>
    </row>
    <row r="130" spans="2:10">
      <c r="B130" s="224"/>
      <c r="C130" s="225">
        <f>Dat_02!B129</f>
        <v>44747</v>
      </c>
      <c r="D130" s="224"/>
      <c r="E130" s="226">
        <f>Dat_02!C129</f>
        <v>9.9428198619102588</v>
      </c>
      <c r="F130" s="226">
        <f>Dat_02!D129</f>
        <v>27.442156278712137</v>
      </c>
      <c r="G130" s="226">
        <f>Dat_02!E129</f>
        <v>9.9428198619102588</v>
      </c>
      <c r="I130" s="227">
        <f>Dat_02!G129</f>
        <v>0</v>
      </c>
      <c r="J130" s="233" t="str">
        <f>IF(Dat_02!H129=0,"",Dat_02!H129)</f>
        <v/>
      </c>
    </row>
    <row r="131" spans="2:10">
      <c r="B131" s="224"/>
      <c r="C131" s="225">
        <f>Dat_02!B130</f>
        <v>44748</v>
      </c>
      <c r="D131" s="224"/>
      <c r="E131" s="226">
        <f>Dat_02!C130</f>
        <v>11.325503423679002</v>
      </c>
      <c r="F131" s="226">
        <f>Dat_02!D130</f>
        <v>27.442156278712137</v>
      </c>
      <c r="G131" s="226">
        <f>Dat_02!E130</f>
        <v>11.325503423679002</v>
      </c>
      <c r="I131" s="227">
        <f>Dat_02!G130</f>
        <v>0</v>
      </c>
      <c r="J131" s="233" t="str">
        <f>IF(Dat_02!H130=0,"",Dat_02!H130)</f>
        <v/>
      </c>
    </row>
    <row r="132" spans="2:10">
      <c r="B132" s="224"/>
      <c r="C132" s="225">
        <f>Dat_02!B131</f>
        <v>44749</v>
      </c>
      <c r="D132" s="224"/>
      <c r="E132" s="226">
        <f>Dat_02!C131</f>
        <v>9.0330230036817962</v>
      </c>
      <c r="F132" s="226">
        <f>Dat_02!D131</f>
        <v>27.442156278712137</v>
      </c>
      <c r="G132" s="226">
        <f>Dat_02!E131</f>
        <v>9.0330230036817962</v>
      </c>
      <c r="I132" s="227">
        <f>Dat_02!G131</f>
        <v>0</v>
      </c>
      <c r="J132" s="233" t="str">
        <f>IF(Dat_02!H131=0,"",Dat_02!H131)</f>
        <v/>
      </c>
    </row>
    <row r="133" spans="2:10">
      <c r="B133" s="224"/>
      <c r="C133" s="225">
        <f>Dat_02!B132</f>
        <v>44750</v>
      </c>
      <c r="D133" s="224"/>
      <c r="E133" s="226">
        <f>Dat_02!C132</f>
        <v>9.7995151336799324</v>
      </c>
      <c r="F133" s="226">
        <f>Dat_02!D132</f>
        <v>27.442156278712137</v>
      </c>
      <c r="G133" s="226">
        <f>Dat_02!E132</f>
        <v>9.7995151336799324</v>
      </c>
      <c r="I133" s="227">
        <f>Dat_02!G132</f>
        <v>0</v>
      </c>
      <c r="J133" s="233" t="str">
        <f>IF(Dat_02!H132=0,"",Dat_02!H132)</f>
        <v/>
      </c>
    </row>
    <row r="134" spans="2:10">
      <c r="B134" s="224"/>
      <c r="C134" s="225">
        <f>Dat_02!B133</f>
        <v>44751</v>
      </c>
      <c r="D134" s="224"/>
      <c r="E134" s="226">
        <f>Dat_02!C133</f>
        <v>10.655314937679002</v>
      </c>
      <c r="F134" s="226">
        <f>Dat_02!D133</f>
        <v>27.442156278712137</v>
      </c>
      <c r="G134" s="226">
        <f>Dat_02!E133</f>
        <v>10.655314937679002</v>
      </c>
      <c r="I134" s="227">
        <f>Dat_02!G133</f>
        <v>0</v>
      </c>
      <c r="J134" s="233" t="str">
        <f>IF(Dat_02!H133=0,"",Dat_02!H133)</f>
        <v/>
      </c>
    </row>
    <row r="135" spans="2:10">
      <c r="B135" s="224"/>
      <c r="C135" s="225">
        <f>Dat_02!B134</f>
        <v>44752</v>
      </c>
      <c r="D135" s="224"/>
      <c r="E135" s="226">
        <f>Dat_02!C134</f>
        <v>6.8382933716789998</v>
      </c>
      <c r="F135" s="226">
        <f>Dat_02!D134</f>
        <v>27.442156278712137</v>
      </c>
      <c r="G135" s="226">
        <f>Dat_02!E134</f>
        <v>6.8382933716789998</v>
      </c>
      <c r="I135" s="227">
        <f>Dat_02!G134</f>
        <v>0</v>
      </c>
      <c r="J135" s="233" t="str">
        <f>IF(Dat_02!H134=0,"",Dat_02!H134)</f>
        <v/>
      </c>
    </row>
    <row r="136" spans="2:10">
      <c r="B136" s="224"/>
      <c r="C136" s="225">
        <f>Dat_02!B135</f>
        <v>44753</v>
      </c>
      <c r="D136" s="224"/>
      <c r="E136" s="226">
        <f>Dat_02!C135</f>
        <v>9.1660574676808615</v>
      </c>
      <c r="F136" s="226">
        <f>Dat_02!D135</f>
        <v>27.442156278712137</v>
      </c>
      <c r="G136" s="226">
        <f>Dat_02!E135</f>
        <v>9.1660574676808615</v>
      </c>
      <c r="I136" s="227">
        <f>Dat_02!G135</f>
        <v>0</v>
      </c>
      <c r="J136" s="233" t="str">
        <f>IF(Dat_02!H135=0,"",Dat_02!H135)</f>
        <v/>
      </c>
    </row>
    <row r="137" spans="2:10">
      <c r="B137" s="224"/>
      <c r="C137" s="225">
        <f>Dat_02!B136</f>
        <v>44754</v>
      </c>
      <c r="D137" s="224"/>
      <c r="E137" s="226">
        <f>Dat_02!C136</f>
        <v>8.5802800636789982</v>
      </c>
      <c r="F137" s="226">
        <f>Dat_02!D136</f>
        <v>27.442156278712137</v>
      </c>
      <c r="G137" s="226">
        <f>Dat_02!E136</f>
        <v>8.5802800636789982</v>
      </c>
      <c r="I137" s="227">
        <f>Dat_02!G136</f>
        <v>0</v>
      </c>
      <c r="J137" s="233" t="str">
        <f>IF(Dat_02!H136=0,"",Dat_02!H136)</f>
        <v/>
      </c>
    </row>
    <row r="138" spans="2:10">
      <c r="B138" s="224"/>
      <c r="C138" s="225">
        <f>Dat_02!B137</f>
        <v>44755</v>
      </c>
      <c r="D138" s="224"/>
      <c r="E138" s="226">
        <f>Dat_02!C137</f>
        <v>4.8299751573210594</v>
      </c>
      <c r="F138" s="226">
        <f>Dat_02!D137</f>
        <v>27.442156278712137</v>
      </c>
      <c r="G138" s="226">
        <f>Dat_02!E137</f>
        <v>4.8299751573210594</v>
      </c>
      <c r="I138" s="227">
        <f>Dat_02!G137</f>
        <v>0</v>
      </c>
      <c r="J138" s="233" t="str">
        <f>IF(Dat_02!H137=0,"",Dat_02!H137)</f>
        <v/>
      </c>
    </row>
    <row r="139" spans="2:10">
      <c r="B139" s="224"/>
      <c r="C139" s="225">
        <f>Dat_02!B138</f>
        <v>44756</v>
      </c>
      <c r="D139" s="224"/>
      <c r="E139" s="226">
        <f>Dat_02!C138</f>
        <v>6.5488495373191977</v>
      </c>
      <c r="F139" s="226">
        <f>Dat_02!D138</f>
        <v>27.442156278712137</v>
      </c>
      <c r="G139" s="226">
        <f>Dat_02!E138</f>
        <v>6.5488495373191977</v>
      </c>
      <c r="I139" s="227">
        <f>Dat_02!G138</f>
        <v>0</v>
      </c>
      <c r="J139" s="233" t="str">
        <f>IF(Dat_02!H138=0,"",Dat_02!H138)</f>
        <v/>
      </c>
    </row>
    <row r="140" spans="2:10">
      <c r="B140" s="224"/>
      <c r="C140" s="225">
        <f>Dat_02!B139</f>
        <v>44757</v>
      </c>
      <c r="D140" s="224"/>
      <c r="E140" s="226">
        <f>Dat_02!C139</f>
        <v>1.5232129653201263</v>
      </c>
      <c r="F140" s="226">
        <f>Dat_02!D139</f>
        <v>27.442156278712137</v>
      </c>
      <c r="G140" s="226">
        <f>Dat_02!E139</f>
        <v>1.5232129653201263</v>
      </c>
      <c r="I140" s="227">
        <f>Dat_02!G139</f>
        <v>27.442156278712137</v>
      </c>
      <c r="J140" s="233" t="str">
        <f>IF(Dat_02!H139=0,"",Dat_02!H139)</f>
        <v/>
      </c>
    </row>
    <row r="141" spans="2:10">
      <c r="B141" s="224"/>
      <c r="C141" s="225">
        <f>Dat_02!B140</f>
        <v>44758</v>
      </c>
      <c r="D141" s="224"/>
      <c r="E141" s="226">
        <f>Dat_02!C140</f>
        <v>1.2849200733191937</v>
      </c>
      <c r="F141" s="226">
        <f>Dat_02!D140</f>
        <v>27.442156278712137</v>
      </c>
      <c r="G141" s="226">
        <f>Dat_02!E140</f>
        <v>1.2849200733191937</v>
      </c>
      <c r="I141" s="227">
        <f>Dat_02!G140</f>
        <v>0</v>
      </c>
      <c r="J141" s="233" t="str">
        <f>IF(Dat_02!H140=0,"",Dat_02!H140)</f>
        <v/>
      </c>
    </row>
    <row r="142" spans="2:10">
      <c r="B142" s="224"/>
      <c r="C142" s="225">
        <f>Dat_02!B141</f>
        <v>44759</v>
      </c>
      <c r="D142" s="224"/>
      <c r="E142" s="226">
        <f>Dat_02!C141</f>
        <v>1.4496847053201272</v>
      </c>
      <c r="F142" s="226">
        <f>Dat_02!D141</f>
        <v>27.442156278712137</v>
      </c>
      <c r="G142" s="226">
        <f>Dat_02!E141</f>
        <v>1.4496847053201272</v>
      </c>
      <c r="I142" s="227">
        <f>Dat_02!G141</f>
        <v>0</v>
      </c>
      <c r="J142" s="233" t="str">
        <f>IF(Dat_02!H141=0,"",Dat_02!H141)</f>
        <v/>
      </c>
    </row>
    <row r="143" spans="2:10">
      <c r="B143" s="224"/>
      <c r="C143" s="225">
        <f>Dat_02!B142</f>
        <v>44760</v>
      </c>
      <c r="D143" s="224"/>
      <c r="E143" s="226">
        <f>Dat_02!C142</f>
        <v>0.77954121532105636</v>
      </c>
      <c r="F143" s="226">
        <f>Dat_02!D142</f>
        <v>27.442156278712137</v>
      </c>
      <c r="G143" s="226">
        <f>Dat_02!E142</f>
        <v>0.77954121532105636</v>
      </c>
      <c r="I143" s="227">
        <f>Dat_02!G142</f>
        <v>0</v>
      </c>
      <c r="J143" s="233" t="str">
        <f>IF(Dat_02!H142=0,"",Dat_02!H142)</f>
        <v/>
      </c>
    </row>
    <row r="144" spans="2:10">
      <c r="B144" s="224"/>
      <c r="C144" s="225">
        <f>Dat_02!B143</f>
        <v>44761</v>
      </c>
      <c r="D144" s="224"/>
      <c r="E144" s="226">
        <f>Dat_02!C143</f>
        <v>1.173243831319196</v>
      </c>
      <c r="F144" s="226">
        <f>Dat_02!D143</f>
        <v>27.442156278712137</v>
      </c>
      <c r="G144" s="226">
        <f>Dat_02!E143</f>
        <v>1.173243831319196</v>
      </c>
      <c r="I144" s="227">
        <f>Dat_02!G143</f>
        <v>0</v>
      </c>
      <c r="J144" s="233" t="str">
        <f>IF(Dat_02!H143=0,"",Dat_02!H143)</f>
        <v/>
      </c>
    </row>
    <row r="145" spans="2:10">
      <c r="B145" s="224"/>
      <c r="C145" s="225">
        <f>Dat_02!B144</f>
        <v>44762</v>
      </c>
      <c r="D145" s="224"/>
      <c r="E145" s="226">
        <f>Dat_02!C144</f>
        <v>20.147601515821357</v>
      </c>
      <c r="F145" s="226">
        <f>Dat_02!D144</f>
        <v>27.442156278712137</v>
      </c>
      <c r="G145" s="226">
        <f>Dat_02!E144</f>
        <v>20.147601515821357</v>
      </c>
      <c r="I145" s="227">
        <f>Dat_02!G144</f>
        <v>0</v>
      </c>
      <c r="J145" s="233" t="str">
        <f>IF(Dat_02!H144=0,"",Dat_02!H144)</f>
        <v/>
      </c>
    </row>
    <row r="146" spans="2:10">
      <c r="B146" s="224"/>
      <c r="C146" s="225">
        <f>Dat_02!B145</f>
        <v>44763</v>
      </c>
      <c r="D146" s="224"/>
      <c r="E146" s="226">
        <f>Dat_02!C145</f>
        <v>2.6018812478222864</v>
      </c>
      <c r="F146" s="226">
        <f>Dat_02!D145</f>
        <v>27.442156278712137</v>
      </c>
      <c r="G146" s="226">
        <f>Dat_02!E145</f>
        <v>2.6018812478222864</v>
      </c>
      <c r="I146" s="227">
        <f>Dat_02!G145</f>
        <v>0</v>
      </c>
      <c r="J146" s="233" t="str">
        <f>IF(Dat_02!H145=0,"",Dat_02!H145)</f>
        <v/>
      </c>
    </row>
    <row r="147" spans="2:10">
      <c r="B147" s="224"/>
      <c r="C147" s="225">
        <f>Dat_02!B146</f>
        <v>44764</v>
      </c>
      <c r="D147" s="224"/>
      <c r="E147" s="226">
        <f>Dat_02!C146</f>
        <v>9.799058977821355</v>
      </c>
      <c r="F147" s="226">
        <f>Dat_02!D146</f>
        <v>27.442156278712137</v>
      </c>
      <c r="G147" s="226">
        <f>Dat_02!E146</f>
        <v>9.799058977821355</v>
      </c>
      <c r="I147" s="227">
        <f>Dat_02!G146</f>
        <v>0</v>
      </c>
      <c r="J147" s="233" t="str">
        <f>IF(Dat_02!H146=0,"",Dat_02!H146)</f>
        <v/>
      </c>
    </row>
    <row r="148" spans="2:10">
      <c r="B148" s="224"/>
      <c r="C148" s="225">
        <f>Dat_02!B147</f>
        <v>44765</v>
      </c>
      <c r="D148" s="224"/>
      <c r="E148" s="226">
        <f>Dat_02!C147</f>
        <v>1.8927773678213562</v>
      </c>
      <c r="F148" s="226">
        <f>Dat_02!D147</f>
        <v>27.442156278712137</v>
      </c>
      <c r="G148" s="226">
        <f>Dat_02!E147</f>
        <v>1.8927773678213562</v>
      </c>
      <c r="I148" s="227">
        <f>Dat_02!G147</f>
        <v>0</v>
      </c>
      <c r="J148" s="233" t="str">
        <f>IF(Dat_02!H147=0,"",Dat_02!H147)</f>
        <v/>
      </c>
    </row>
    <row r="149" spans="2:10">
      <c r="B149" s="224"/>
      <c r="C149" s="225">
        <f>Dat_02!B148</f>
        <v>44766</v>
      </c>
      <c r="D149" s="224"/>
      <c r="E149" s="226">
        <f>Dat_02!C148</f>
        <v>6.3751965378232196</v>
      </c>
      <c r="F149" s="226">
        <f>Dat_02!D148</f>
        <v>27.442156278712137</v>
      </c>
      <c r="G149" s="226">
        <f>Dat_02!E148</f>
        <v>6.3751965378232196</v>
      </c>
      <c r="I149" s="227">
        <f>Dat_02!G148</f>
        <v>0</v>
      </c>
      <c r="J149" s="233" t="str">
        <f>IF(Dat_02!H148=0,"",Dat_02!H148)</f>
        <v/>
      </c>
    </row>
    <row r="150" spans="2:10">
      <c r="B150" s="224"/>
      <c r="C150" s="225">
        <f>Dat_02!B149</f>
        <v>44767</v>
      </c>
      <c r="D150" s="224"/>
      <c r="E150" s="226">
        <f>Dat_02!C149</f>
        <v>2.6759367778213563</v>
      </c>
      <c r="F150" s="226">
        <f>Dat_02!D149</f>
        <v>27.442156278712137</v>
      </c>
      <c r="G150" s="226">
        <f>Dat_02!E149</f>
        <v>2.6759367778213563</v>
      </c>
      <c r="I150" s="227">
        <f>Dat_02!G149</f>
        <v>0</v>
      </c>
      <c r="J150" s="233" t="str">
        <f>IF(Dat_02!H149=0,"",Dat_02!H149)</f>
        <v/>
      </c>
    </row>
    <row r="151" spans="2:10">
      <c r="B151" s="224"/>
      <c r="C151" s="225">
        <f>Dat_02!B150</f>
        <v>44768</v>
      </c>
      <c r="D151" s="224"/>
      <c r="E151" s="226">
        <f>Dat_02!C150</f>
        <v>4.0206456878222889</v>
      </c>
      <c r="F151" s="226">
        <f>Dat_02!D150</f>
        <v>27.442156278712137</v>
      </c>
      <c r="G151" s="226">
        <f>Dat_02!E150</f>
        <v>4.0206456878222889</v>
      </c>
      <c r="I151" s="227">
        <f>Dat_02!G150</f>
        <v>0</v>
      </c>
      <c r="J151" s="233" t="str">
        <f>IF(Dat_02!H150=0,"",Dat_02!H150)</f>
        <v/>
      </c>
    </row>
    <row r="152" spans="2:10">
      <c r="B152" s="224"/>
      <c r="C152" s="225">
        <f>Dat_02!B151</f>
        <v>44769</v>
      </c>
      <c r="D152" s="224"/>
      <c r="E152" s="226">
        <f>Dat_02!C151</f>
        <v>2.3778563500869931</v>
      </c>
      <c r="F152" s="226">
        <f>Dat_02!D151</f>
        <v>27.442156278712137</v>
      </c>
      <c r="G152" s="226">
        <f>Dat_02!E151</f>
        <v>2.3778563500869931</v>
      </c>
      <c r="I152" s="227">
        <f>Dat_02!G151</f>
        <v>0</v>
      </c>
      <c r="J152" s="233" t="str">
        <f>IF(Dat_02!H151=0,"",Dat_02!H151)</f>
        <v/>
      </c>
    </row>
    <row r="153" spans="2:10">
      <c r="B153" s="224"/>
      <c r="C153" s="225">
        <f>Dat_02!B152</f>
        <v>44770</v>
      </c>
      <c r="D153" s="224"/>
      <c r="E153" s="226">
        <f>Dat_02!C152</f>
        <v>3.0707219940860671</v>
      </c>
      <c r="F153" s="226">
        <f>Dat_02!D152</f>
        <v>27.442156278712137</v>
      </c>
      <c r="G153" s="226">
        <f>Dat_02!E152</f>
        <v>3.0707219940860671</v>
      </c>
      <c r="I153" s="227">
        <f>Dat_02!G152</f>
        <v>0</v>
      </c>
      <c r="J153" s="233" t="str">
        <f>IF(Dat_02!H152=0,"",Dat_02!H152)</f>
        <v/>
      </c>
    </row>
    <row r="154" spans="2:10">
      <c r="B154" s="224"/>
      <c r="C154" s="225">
        <f>Dat_02!B153</f>
        <v>44771</v>
      </c>
      <c r="D154" s="224"/>
      <c r="E154" s="226">
        <f>Dat_02!C153</f>
        <v>8.0482750000860612</v>
      </c>
      <c r="F154" s="226">
        <f>Dat_02!D153</f>
        <v>27.442156278712137</v>
      </c>
      <c r="G154" s="226">
        <f>Dat_02!E153</f>
        <v>8.0482750000860612</v>
      </c>
      <c r="I154" s="227">
        <f>Dat_02!G153</f>
        <v>0</v>
      </c>
      <c r="J154" s="233" t="str">
        <f>IF(Dat_02!H153=0,"",Dat_02!H153)</f>
        <v/>
      </c>
    </row>
    <row r="155" spans="2:10">
      <c r="B155" s="224"/>
      <c r="C155" s="225">
        <f>Dat_02!B154</f>
        <v>44772</v>
      </c>
      <c r="D155" s="224"/>
      <c r="E155" s="226">
        <f>Dat_02!C154</f>
        <v>1.4271286360860649</v>
      </c>
      <c r="F155" s="226">
        <f>Dat_02!D154</f>
        <v>27.442156278712137</v>
      </c>
      <c r="G155" s="226">
        <f>Dat_02!E154</f>
        <v>1.4271286360860649</v>
      </c>
      <c r="I155" s="227">
        <f>Dat_02!G154</f>
        <v>0</v>
      </c>
      <c r="J155" s="233" t="str">
        <f>IF(Dat_02!H154=0,"",Dat_02!H154)</f>
        <v/>
      </c>
    </row>
    <row r="156" spans="2:10">
      <c r="B156" s="224"/>
      <c r="C156" s="225">
        <f>Dat_02!B155</f>
        <v>44773</v>
      </c>
      <c r="D156" s="224"/>
      <c r="E156" s="226">
        <f>Dat_02!C155</f>
        <v>1.0757615200851323</v>
      </c>
      <c r="F156" s="226">
        <f>Dat_02!D155</f>
        <v>27.442156278712137</v>
      </c>
      <c r="G156" s="226">
        <f>Dat_02!E155</f>
        <v>1.0757615200851323</v>
      </c>
      <c r="I156" s="227">
        <f>Dat_02!G155</f>
        <v>0</v>
      </c>
      <c r="J156" s="233" t="str">
        <f>IF(Dat_02!H155=0,"",Dat_02!H155)</f>
        <v/>
      </c>
    </row>
    <row r="157" spans="2:10">
      <c r="B157" s="224" t="s">
        <v>189</v>
      </c>
      <c r="C157" s="225">
        <f>Dat_02!B156</f>
        <v>44774</v>
      </c>
      <c r="D157" s="224"/>
      <c r="E157" s="226">
        <f>Dat_02!C156</f>
        <v>3.5158488080869938</v>
      </c>
      <c r="F157" s="226">
        <f>Dat_02!D156</f>
        <v>16.581237981614105</v>
      </c>
      <c r="G157" s="226">
        <f>Dat_02!E156</f>
        <v>3.5158488080869938</v>
      </c>
      <c r="I157" s="227">
        <f>Dat_02!G156</f>
        <v>0</v>
      </c>
      <c r="J157" s="233" t="str">
        <f>IF(Dat_02!H156=0,"",Dat_02!H156)</f>
        <v/>
      </c>
    </row>
    <row r="158" spans="2:10">
      <c r="B158" s="224"/>
      <c r="C158" s="225">
        <f>Dat_02!B157</f>
        <v>44775</v>
      </c>
      <c r="D158" s="224"/>
      <c r="E158" s="226">
        <f>Dat_02!C157</f>
        <v>5.5261776980869985</v>
      </c>
      <c r="F158" s="226">
        <f>Dat_02!D157</f>
        <v>16.581237981614105</v>
      </c>
      <c r="G158" s="226">
        <f>Dat_02!E157</f>
        <v>5.5261776980869985</v>
      </c>
      <c r="I158" s="227">
        <f>Dat_02!G157</f>
        <v>0</v>
      </c>
      <c r="J158" s="233" t="str">
        <f>IF(Dat_02!H157=0,"",Dat_02!H157)</f>
        <v/>
      </c>
    </row>
    <row r="159" spans="2:10">
      <c r="B159" s="224"/>
      <c r="C159" s="225">
        <f>Dat_02!B158</f>
        <v>44776</v>
      </c>
      <c r="D159" s="224"/>
      <c r="E159" s="226">
        <f>Dat_02!C158</f>
        <v>1.0188386552845767</v>
      </c>
      <c r="F159" s="226">
        <f>Dat_02!D158</f>
        <v>16.581237981614105</v>
      </c>
      <c r="G159" s="226">
        <f>Dat_02!E158</f>
        <v>1.0188386552845767</v>
      </c>
      <c r="I159" s="227">
        <f>Dat_02!G158</f>
        <v>0</v>
      </c>
      <c r="J159" s="233" t="str">
        <f>IF(Dat_02!H158=0,"",Dat_02!H158)</f>
        <v/>
      </c>
    </row>
    <row r="160" spans="2:10">
      <c r="B160" s="224"/>
      <c r="C160" s="225">
        <f>Dat_02!B159</f>
        <v>44777</v>
      </c>
      <c r="D160" s="224"/>
      <c r="E160" s="226">
        <f>Dat_02!C159</f>
        <v>1.4412675172845775</v>
      </c>
      <c r="F160" s="226">
        <f>Dat_02!D159</f>
        <v>16.581237981614105</v>
      </c>
      <c r="G160" s="226">
        <f>Dat_02!E159</f>
        <v>1.4412675172845775</v>
      </c>
      <c r="I160" s="227">
        <f>Dat_02!G159</f>
        <v>0</v>
      </c>
      <c r="J160" s="233" t="str">
        <f>IF(Dat_02!H159=0,"",Dat_02!H159)</f>
        <v/>
      </c>
    </row>
    <row r="161" spans="2:10">
      <c r="B161" s="224"/>
      <c r="C161" s="225">
        <f>Dat_02!B160</f>
        <v>44778</v>
      </c>
      <c r="D161" s="224"/>
      <c r="E161" s="226">
        <f>Dat_02!C160</f>
        <v>1.3329215492845761</v>
      </c>
      <c r="F161" s="226">
        <f>Dat_02!D160</f>
        <v>16.581237981614105</v>
      </c>
      <c r="G161" s="226">
        <f>Dat_02!E160</f>
        <v>1.3329215492845761</v>
      </c>
      <c r="I161" s="227">
        <f>Dat_02!G160</f>
        <v>0</v>
      </c>
      <c r="J161" s="233" t="str">
        <f>IF(Dat_02!H160=0,"",Dat_02!H160)</f>
        <v/>
      </c>
    </row>
    <row r="162" spans="2:10">
      <c r="B162" s="224"/>
      <c r="C162" s="225">
        <f>Dat_02!B161</f>
        <v>44779</v>
      </c>
      <c r="D162" s="224"/>
      <c r="E162" s="226">
        <f>Dat_02!C161</f>
        <v>0.83663648328457563</v>
      </c>
      <c r="F162" s="226">
        <f>Dat_02!D161</f>
        <v>16.581237981614105</v>
      </c>
      <c r="G162" s="226">
        <f>Dat_02!E161</f>
        <v>0.83663648328457563</v>
      </c>
      <c r="I162" s="227">
        <f>Dat_02!G161</f>
        <v>0</v>
      </c>
      <c r="J162" s="233" t="str">
        <f>IF(Dat_02!H161=0,"",Dat_02!H161)</f>
        <v/>
      </c>
    </row>
    <row r="163" spans="2:10">
      <c r="B163" s="224"/>
      <c r="C163" s="225">
        <f>Dat_02!B162</f>
        <v>44780</v>
      </c>
      <c r="D163" s="224"/>
      <c r="E163" s="226">
        <f>Dat_02!C162</f>
        <v>0.67314303928457597</v>
      </c>
      <c r="F163" s="226">
        <f>Dat_02!D162</f>
        <v>16.581237981614105</v>
      </c>
      <c r="G163" s="226">
        <f>Dat_02!E162</f>
        <v>0.67314303928457597</v>
      </c>
      <c r="I163" s="227">
        <f>Dat_02!G162</f>
        <v>0</v>
      </c>
      <c r="J163" s="233" t="str">
        <f>IF(Dat_02!H162=0,"",Dat_02!H162)</f>
        <v/>
      </c>
    </row>
    <row r="164" spans="2:10">
      <c r="B164" s="224"/>
      <c r="C164" s="225">
        <f>Dat_02!B163</f>
        <v>44781</v>
      </c>
      <c r="D164" s="224"/>
      <c r="E164" s="226">
        <f>Dat_02!C163</f>
        <v>1.3498702392864397</v>
      </c>
      <c r="F164" s="226">
        <f>Dat_02!D163</f>
        <v>16.581237981614105</v>
      </c>
      <c r="G164" s="226">
        <f>Dat_02!E163</f>
        <v>1.3498702392864397</v>
      </c>
      <c r="I164" s="227">
        <f>Dat_02!G163</f>
        <v>0</v>
      </c>
      <c r="J164" s="233" t="str">
        <f>IF(Dat_02!H163=0,"",Dat_02!H163)</f>
        <v/>
      </c>
    </row>
    <row r="165" spans="2:10">
      <c r="B165" s="224"/>
      <c r="C165" s="225">
        <f>Dat_02!B164</f>
        <v>44782</v>
      </c>
      <c r="D165" s="224"/>
      <c r="E165" s="226">
        <f>Dat_02!C164</f>
        <v>0.70941754728457818</v>
      </c>
      <c r="F165" s="226">
        <f>Dat_02!D164</f>
        <v>16.581237981614105</v>
      </c>
      <c r="G165" s="226">
        <f>Dat_02!E164</f>
        <v>0.70941754728457818</v>
      </c>
      <c r="I165" s="227">
        <f>Dat_02!G164</f>
        <v>0</v>
      </c>
      <c r="J165" s="233" t="str">
        <f>IF(Dat_02!H164=0,"",Dat_02!H164)</f>
        <v/>
      </c>
    </row>
    <row r="166" spans="2:10">
      <c r="B166" s="224"/>
      <c r="C166" s="225">
        <f>Dat_02!B165</f>
        <v>44783</v>
      </c>
      <c r="D166" s="224"/>
      <c r="E166" s="226">
        <f>Dat_02!C165</f>
        <v>4.9430723089984605</v>
      </c>
      <c r="F166" s="226">
        <f>Dat_02!D165</f>
        <v>16.581237981614105</v>
      </c>
      <c r="G166" s="226">
        <f>Dat_02!E165</f>
        <v>4.9430723089984605</v>
      </c>
      <c r="I166" s="227">
        <f>Dat_02!G165</f>
        <v>0</v>
      </c>
      <c r="J166" s="233" t="str">
        <f>IF(Dat_02!H165=0,"",Dat_02!H165)</f>
        <v/>
      </c>
    </row>
    <row r="167" spans="2:10">
      <c r="B167" s="224"/>
      <c r="C167" s="225">
        <f>Dat_02!B166</f>
        <v>44784</v>
      </c>
      <c r="D167" s="224"/>
      <c r="E167" s="226">
        <f>Dat_02!C166</f>
        <v>1.7937095069993885</v>
      </c>
      <c r="F167" s="226">
        <f>Dat_02!D166</f>
        <v>16.581237981614105</v>
      </c>
      <c r="G167" s="226">
        <f>Dat_02!E166</f>
        <v>1.7937095069993885</v>
      </c>
      <c r="I167" s="227">
        <f>Dat_02!G166</f>
        <v>0</v>
      </c>
      <c r="J167" s="233" t="str">
        <f>IF(Dat_02!H166=0,"",Dat_02!H166)</f>
        <v/>
      </c>
    </row>
    <row r="168" spans="2:10">
      <c r="B168" s="224"/>
      <c r="C168" s="225">
        <f>Dat_02!B167</f>
        <v>44785</v>
      </c>
      <c r="D168" s="224"/>
      <c r="E168" s="226">
        <f>Dat_02!C167</f>
        <v>1.2085088429984607</v>
      </c>
      <c r="F168" s="226">
        <f>Dat_02!D167</f>
        <v>16.581237981614105</v>
      </c>
      <c r="G168" s="226">
        <f>Dat_02!E167</f>
        <v>1.2085088429984607</v>
      </c>
      <c r="I168" s="227">
        <f>Dat_02!G167</f>
        <v>0</v>
      </c>
      <c r="J168" s="233" t="str">
        <f>IF(Dat_02!H167=0,"",Dat_02!H167)</f>
        <v/>
      </c>
    </row>
    <row r="169" spans="2:10">
      <c r="B169" s="224"/>
      <c r="C169" s="225">
        <f>Dat_02!B168</f>
        <v>44786</v>
      </c>
      <c r="D169" s="224"/>
      <c r="E169" s="226">
        <f>Dat_02!C168</f>
        <v>2.0580843149993888</v>
      </c>
      <c r="F169" s="226">
        <f>Dat_02!D168</f>
        <v>16.581237981614105</v>
      </c>
      <c r="G169" s="226">
        <f>Dat_02!E168</f>
        <v>2.0580843149993888</v>
      </c>
      <c r="I169" s="227">
        <f>Dat_02!G168</f>
        <v>0</v>
      </c>
      <c r="J169" s="233" t="str">
        <f>IF(Dat_02!H168=0,"",Dat_02!H168)</f>
        <v/>
      </c>
    </row>
    <row r="170" spans="2:10">
      <c r="B170" s="224"/>
      <c r="C170" s="225">
        <f>Dat_02!B169</f>
        <v>44787</v>
      </c>
      <c r="D170" s="224"/>
      <c r="E170" s="226">
        <f>Dat_02!C169</f>
        <v>1.3415646249993878</v>
      </c>
      <c r="F170" s="226">
        <f>Dat_02!D169</f>
        <v>16.581237981614105</v>
      </c>
      <c r="G170" s="226">
        <f>Dat_02!E169</f>
        <v>1.3415646249993878</v>
      </c>
      <c r="I170" s="227">
        <f>Dat_02!G169</f>
        <v>0</v>
      </c>
      <c r="J170" s="233" t="str">
        <f>IF(Dat_02!H169=0,"",Dat_02!H169)</f>
        <v/>
      </c>
    </row>
    <row r="171" spans="2:10">
      <c r="B171" s="224"/>
      <c r="C171" s="225">
        <f>Dat_02!B170</f>
        <v>44788</v>
      </c>
      <c r="D171" s="224"/>
      <c r="E171" s="226">
        <f>Dat_02!C170</f>
        <v>1.4799389209993896</v>
      </c>
      <c r="F171" s="226">
        <f>Dat_02!D170</f>
        <v>16.581237981614105</v>
      </c>
      <c r="G171" s="226">
        <f>Dat_02!E170</f>
        <v>1.4799389209993896</v>
      </c>
      <c r="I171" s="227">
        <f>Dat_02!G170</f>
        <v>16.581237981614105</v>
      </c>
      <c r="J171" s="233" t="str">
        <f>IF(Dat_02!H170=0,"",Dat_02!H170)</f>
        <v/>
      </c>
    </row>
    <row r="172" spans="2:10">
      <c r="B172" s="224"/>
      <c r="C172" s="225">
        <f>Dat_02!B171</f>
        <v>44789</v>
      </c>
      <c r="D172" s="224"/>
      <c r="E172" s="226">
        <f>Dat_02!C171</f>
        <v>1.9507038109975257</v>
      </c>
      <c r="F172" s="226">
        <f>Dat_02!D171</f>
        <v>16.581237981614105</v>
      </c>
      <c r="G172" s="226">
        <f>Dat_02!E171</f>
        <v>1.9507038109975257</v>
      </c>
      <c r="I172" s="227">
        <f>Dat_02!G171</f>
        <v>0</v>
      </c>
      <c r="J172" s="233" t="str">
        <f>IF(Dat_02!H171=0,"",Dat_02!H171)</f>
        <v/>
      </c>
    </row>
    <row r="173" spans="2:10">
      <c r="B173" s="224"/>
      <c r="C173" s="225">
        <f>Dat_02!B172</f>
        <v>44790</v>
      </c>
      <c r="D173" s="224"/>
      <c r="E173" s="226">
        <f>Dat_02!C172</f>
        <v>2.0448352808154886</v>
      </c>
      <c r="F173" s="226">
        <f>Dat_02!D172</f>
        <v>16.581237981614105</v>
      </c>
      <c r="G173" s="226">
        <f>Dat_02!E172</f>
        <v>2.0448352808154886</v>
      </c>
      <c r="I173" s="227">
        <f>Dat_02!G172</f>
        <v>0</v>
      </c>
      <c r="J173" s="233" t="str">
        <f>IF(Dat_02!H172=0,"",Dat_02!H172)</f>
        <v/>
      </c>
    </row>
    <row r="174" spans="2:10">
      <c r="B174" s="224"/>
      <c r="C174" s="225">
        <f>Dat_02!B173</f>
        <v>44791</v>
      </c>
      <c r="D174" s="224"/>
      <c r="E174" s="226">
        <f>Dat_02!C173</f>
        <v>4.3118216648145573</v>
      </c>
      <c r="F174" s="226">
        <f>Dat_02!D173</f>
        <v>16.581237981614105</v>
      </c>
      <c r="G174" s="226">
        <f>Dat_02!E173</f>
        <v>4.3118216648145573</v>
      </c>
      <c r="I174" s="227">
        <f>Dat_02!G173</f>
        <v>0</v>
      </c>
      <c r="J174" s="233" t="str">
        <f>IF(Dat_02!H173=0,"",Dat_02!H173)</f>
        <v/>
      </c>
    </row>
    <row r="175" spans="2:10">
      <c r="B175" s="224"/>
      <c r="C175" s="225">
        <f>Dat_02!B174</f>
        <v>44792</v>
      </c>
      <c r="D175" s="224"/>
      <c r="E175" s="226">
        <f>Dat_02!C174</f>
        <v>12.737456120815484</v>
      </c>
      <c r="F175" s="226">
        <f>Dat_02!D174</f>
        <v>16.581237981614105</v>
      </c>
      <c r="G175" s="226">
        <f>Dat_02!E174</f>
        <v>12.737456120815484</v>
      </c>
      <c r="I175" s="227">
        <f>Dat_02!G174</f>
        <v>0</v>
      </c>
      <c r="J175" s="233" t="str">
        <f>IF(Dat_02!H174=0,"",Dat_02!H174)</f>
        <v/>
      </c>
    </row>
    <row r="176" spans="2:10">
      <c r="B176" s="224"/>
      <c r="C176" s="225">
        <f>Dat_02!B175</f>
        <v>44793</v>
      </c>
      <c r="D176" s="224"/>
      <c r="E176" s="226">
        <f>Dat_02!C175</f>
        <v>8.6795645528154886</v>
      </c>
      <c r="F176" s="226">
        <f>Dat_02!D175</f>
        <v>16.581237981614105</v>
      </c>
      <c r="G176" s="226">
        <f>Dat_02!E175</f>
        <v>8.6795645528154886</v>
      </c>
      <c r="I176" s="227">
        <f>Dat_02!G175</f>
        <v>0</v>
      </c>
      <c r="J176" s="233" t="str">
        <f>IF(Dat_02!H175=0,"",Dat_02!H175)</f>
        <v/>
      </c>
    </row>
    <row r="177" spans="2:10">
      <c r="B177" s="224"/>
      <c r="C177" s="225">
        <f>Dat_02!B176</f>
        <v>44794</v>
      </c>
      <c r="D177" s="224"/>
      <c r="E177" s="226">
        <f>Dat_02!C176</f>
        <v>0.63787914281455593</v>
      </c>
      <c r="F177" s="226">
        <f>Dat_02!D176</f>
        <v>16.581237981614105</v>
      </c>
      <c r="G177" s="226">
        <f>Dat_02!E176</f>
        <v>0.63787914281455593</v>
      </c>
      <c r="I177" s="227">
        <f>Dat_02!G176</f>
        <v>0</v>
      </c>
      <c r="J177" s="233" t="str">
        <f>IF(Dat_02!H176=0,"",Dat_02!H176)</f>
        <v/>
      </c>
    </row>
    <row r="178" spans="2:10">
      <c r="B178" s="224"/>
      <c r="C178" s="225">
        <f>Dat_02!B177</f>
        <v>44795</v>
      </c>
      <c r="D178" s="224"/>
      <c r="E178" s="226">
        <f>Dat_02!C177</f>
        <v>3.61111934681642</v>
      </c>
      <c r="F178" s="226">
        <f>Dat_02!D177</f>
        <v>16.581237981614105</v>
      </c>
      <c r="G178" s="226">
        <f>Dat_02!E177</f>
        <v>3.61111934681642</v>
      </c>
      <c r="I178" s="227">
        <f>Dat_02!G177</f>
        <v>0</v>
      </c>
      <c r="J178" s="233" t="str">
        <f>IF(Dat_02!H177=0,"",Dat_02!H177)</f>
        <v/>
      </c>
    </row>
    <row r="179" spans="2:10">
      <c r="B179" s="224"/>
      <c r="C179" s="225">
        <f>Dat_02!B178</f>
        <v>44796</v>
      </c>
      <c r="D179" s="224"/>
      <c r="E179" s="226">
        <f>Dat_02!C178</f>
        <v>14.42095846081456</v>
      </c>
      <c r="F179" s="226">
        <f>Dat_02!D178</f>
        <v>16.581237981614105</v>
      </c>
      <c r="G179" s="226">
        <f>Dat_02!E178</f>
        <v>14.42095846081456</v>
      </c>
      <c r="I179" s="227">
        <f>Dat_02!G178</f>
        <v>0</v>
      </c>
      <c r="J179" s="233" t="str">
        <f>IF(Dat_02!H178=0,"",Dat_02!H178)</f>
        <v/>
      </c>
    </row>
    <row r="180" spans="2:10">
      <c r="B180" s="224"/>
      <c r="C180" s="225">
        <f>Dat_02!B179</f>
        <v>44797</v>
      </c>
      <c r="D180" s="224"/>
      <c r="E180" s="226">
        <f>Dat_02!C179</f>
        <v>8.6421926085703387</v>
      </c>
      <c r="F180" s="226">
        <f>Dat_02!D179</f>
        <v>16.581237981614105</v>
      </c>
      <c r="G180" s="226">
        <f>Dat_02!E179</f>
        <v>8.6421926085703387</v>
      </c>
      <c r="I180" s="227">
        <f>Dat_02!G179</f>
        <v>0</v>
      </c>
      <c r="J180" s="233" t="str">
        <f>IF(Dat_02!H179=0,"",Dat_02!H179)</f>
        <v/>
      </c>
    </row>
    <row r="181" spans="2:10">
      <c r="B181" s="224"/>
      <c r="C181" s="225">
        <f>Dat_02!B180</f>
        <v>44798</v>
      </c>
      <c r="D181" s="224"/>
      <c r="E181" s="226">
        <f>Dat_02!C180</f>
        <v>1.5996729785712704</v>
      </c>
      <c r="F181" s="226">
        <f>Dat_02!D180</f>
        <v>16.581237981614105</v>
      </c>
      <c r="G181" s="226">
        <f>Dat_02!E180</f>
        <v>1.5996729785712704</v>
      </c>
      <c r="I181" s="227">
        <f>Dat_02!G180</f>
        <v>0</v>
      </c>
      <c r="J181" s="233" t="str">
        <f>IF(Dat_02!H180=0,"",Dat_02!H180)</f>
        <v/>
      </c>
    </row>
    <row r="182" spans="2:10">
      <c r="B182" s="224"/>
      <c r="C182" s="225">
        <f>Dat_02!B181</f>
        <v>44799</v>
      </c>
      <c r="D182" s="224"/>
      <c r="E182" s="226">
        <f>Dat_02!C181</f>
        <v>0.86446228857127061</v>
      </c>
      <c r="F182" s="226">
        <f>Dat_02!D181</f>
        <v>16.581237981614105</v>
      </c>
      <c r="G182" s="226">
        <f>Dat_02!E181</f>
        <v>0.86446228857127061</v>
      </c>
      <c r="I182" s="227">
        <f>Dat_02!G181</f>
        <v>0</v>
      </c>
      <c r="J182" s="233" t="str">
        <f>IF(Dat_02!H181=0,"",Dat_02!H181)</f>
        <v/>
      </c>
    </row>
    <row r="183" spans="2:10">
      <c r="B183" s="224"/>
      <c r="C183" s="225">
        <f>Dat_02!B182</f>
        <v>44800</v>
      </c>
      <c r="D183" s="224"/>
      <c r="E183" s="226">
        <f>Dat_02!C182</f>
        <v>6.8627261985703409</v>
      </c>
      <c r="F183" s="226">
        <f>Dat_02!D182</f>
        <v>16.581237981614105</v>
      </c>
      <c r="G183" s="226">
        <f>Dat_02!E182</f>
        <v>6.8627261985703409</v>
      </c>
      <c r="I183" s="227">
        <f>Dat_02!G182</f>
        <v>0</v>
      </c>
      <c r="J183" s="233" t="str">
        <f>IF(Dat_02!H182=0,"",Dat_02!H182)</f>
        <v/>
      </c>
    </row>
    <row r="184" spans="2:10">
      <c r="B184" s="224"/>
      <c r="C184" s="225">
        <f>Dat_02!B183</f>
        <v>44801</v>
      </c>
      <c r="D184" s="224"/>
      <c r="E184" s="226">
        <f>Dat_02!C183</f>
        <v>1.2790894625712717</v>
      </c>
      <c r="F184" s="226">
        <f>Dat_02!D183</f>
        <v>16.581237981614105</v>
      </c>
      <c r="G184" s="226">
        <f>Dat_02!E183</f>
        <v>1.2790894625712717</v>
      </c>
      <c r="I184" s="227">
        <f>Dat_02!G183</f>
        <v>0</v>
      </c>
      <c r="J184" s="233" t="str">
        <f>IF(Dat_02!H183=0,"",Dat_02!H183)</f>
        <v/>
      </c>
    </row>
    <row r="185" spans="2:10">
      <c r="B185" s="224"/>
      <c r="C185" s="225">
        <f>Dat_02!B184</f>
        <v>44802</v>
      </c>
      <c r="D185" s="224"/>
      <c r="E185" s="226">
        <f>Dat_02!C184</f>
        <v>7.5367625565703422</v>
      </c>
      <c r="F185" s="226">
        <f>Dat_02!D184</f>
        <v>16.581237981614105</v>
      </c>
      <c r="G185" s="226">
        <f>Dat_02!E184</f>
        <v>7.5367625565703422</v>
      </c>
      <c r="I185" s="227">
        <f>Dat_02!G184</f>
        <v>0</v>
      </c>
      <c r="J185" s="233" t="str">
        <f>IF(Dat_02!H184=0,"",Dat_02!H184)</f>
        <v/>
      </c>
    </row>
    <row r="186" spans="2:10">
      <c r="B186" s="224"/>
      <c r="C186" s="225">
        <f>Dat_02!B185</f>
        <v>44803</v>
      </c>
      <c r="D186" s="224"/>
      <c r="E186" s="226">
        <f>Dat_02!C185</f>
        <v>19.798910736570338</v>
      </c>
      <c r="F186" s="226">
        <f>Dat_02!D185</f>
        <v>16.581237981614105</v>
      </c>
      <c r="G186" s="226">
        <f>Dat_02!E185</f>
        <v>16.581237981614105</v>
      </c>
      <c r="I186" s="227">
        <f>Dat_02!G185</f>
        <v>0</v>
      </c>
      <c r="J186" s="233" t="str">
        <f>IF(Dat_02!H185=0,"",Dat_02!H185)</f>
        <v/>
      </c>
    </row>
    <row r="187" spans="2:10">
      <c r="B187" s="224"/>
      <c r="C187" s="225">
        <f>Dat_02!B186</f>
        <v>44804</v>
      </c>
      <c r="D187" s="224"/>
      <c r="E187" s="226">
        <f>Dat_02!C186</f>
        <v>8.7315964332490115</v>
      </c>
      <c r="F187" s="226">
        <f>Dat_02!D186</f>
        <v>16.581237981614105</v>
      </c>
      <c r="G187" s="226">
        <f>Dat_02!E186</f>
        <v>8.7315964332490115</v>
      </c>
      <c r="I187" s="227">
        <f>Dat_02!G186</f>
        <v>0</v>
      </c>
      <c r="J187" s="233" t="str">
        <f>IF(Dat_02!H186=0,"",Dat_02!H186)</f>
        <v/>
      </c>
    </row>
    <row r="188" spans="2:10">
      <c r="B188" s="224" t="s">
        <v>190</v>
      </c>
      <c r="C188" s="225">
        <f>Dat_02!B187</f>
        <v>44805</v>
      </c>
      <c r="D188" s="224"/>
      <c r="E188" s="226">
        <f>Dat_02!C187</f>
        <v>3.7828873652471482</v>
      </c>
      <c r="F188" s="226">
        <f>Dat_02!D187</f>
        <v>21.033168040284398</v>
      </c>
      <c r="G188" s="226">
        <f>Dat_02!E187</f>
        <v>3.7828873652471482</v>
      </c>
      <c r="I188" s="227">
        <f>Dat_02!G187</f>
        <v>0</v>
      </c>
      <c r="J188" s="233" t="str">
        <f>IF(Dat_02!H187=0,"",Dat_02!H187)</f>
        <v/>
      </c>
    </row>
    <row r="189" spans="2:10">
      <c r="B189" s="224"/>
      <c r="C189" s="225">
        <f>Dat_02!B188</f>
        <v>44806</v>
      </c>
      <c r="D189" s="224"/>
      <c r="E189" s="226">
        <f>Dat_02!C188</f>
        <v>0.90883960924807983</v>
      </c>
      <c r="F189" s="226">
        <f>Dat_02!D188</f>
        <v>21.033168040284398</v>
      </c>
      <c r="G189" s="226">
        <f>Dat_02!E188</f>
        <v>0.90883960924807983</v>
      </c>
      <c r="I189" s="227">
        <f>Dat_02!G188</f>
        <v>0</v>
      </c>
      <c r="J189" s="233" t="str">
        <f>IF(Dat_02!H188=0,"",Dat_02!H188)</f>
        <v/>
      </c>
    </row>
    <row r="190" spans="2:10">
      <c r="B190" s="224"/>
      <c r="C190" s="225">
        <f>Dat_02!B189</f>
        <v>44807</v>
      </c>
      <c r="D190" s="224"/>
      <c r="E190" s="226">
        <f>Dat_02!C189</f>
        <v>1.0499202512480805</v>
      </c>
      <c r="F190" s="226">
        <f>Dat_02!D189</f>
        <v>21.033168040284398</v>
      </c>
      <c r="G190" s="226">
        <f>Dat_02!E189</f>
        <v>1.0499202512480805</v>
      </c>
      <c r="I190" s="227">
        <f>Dat_02!G189</f>
        <v>0</v>
      </c>
      <c r="J190" s="233" t="str">
        <f>IF(Dat_02!H189=0,"",Dat_02!H189)</f>
        <v/>
      </c>
    </row>
    <row r="191" spans="2:10">
      <c r="B191" s="224"/>
      <c r="C191" s="225">
        <f>Dat_02!B190</f>
        <v>44808</v>
      </c>
      <c r="D191" s="224"/>
      <c r="E191" s="226">
        <f>Dat_02!C190</f>
        <v>0.80755490724715129</v>
      </c>
      <c r="F191" s="226">
        <f>Dat_02!D190</f>
        <v>21.033168040284398</v>
      </c>
      <c r="G191" s="226">
        <f>Dat_02!E190</f>
        <v>0.80755490724715129</v>
      </c>
      <c r="I191" s="227">
        <f>Dat_02!G190</f>
        <v>0</v>
      </c>
      <c r="J191" s="233" t="str">
        <f>IF(Dat_02!H190=0,"",Dat_02!H190)</f>
        <v/>
      </c>
    </row>
    <row r="192" spans="2:10">
      <c r="B192" s="224"/>
      <c r="C192" s="225">
        <f>Dat_02!B191</f>
        <v>44809</v>
      </c>
      <c r="D192" s="224"/>
      <c r="E192" s="226">
        <f>Dat_02!C191</f>
        <v>1.2218452492471479</v>
      </c>
      <c r="F192" s="226">
        <f>Dat_02!D191</f>
        <v>21.033168040284398</v>
      </c>
      <c r="G192" s="226">
        <f>Dat_02!E191</f>
        <v>1.2218452492471479</v>
      </c>
      <c r="I192" s="227">
        <f>Dat_02!G191</f>
        <v>0</v>
      </c>
      <c r="J192" s="233" t="str">
        <f>IF(Dat_02!H191=0,"",Dat_02!H191)</f>
        <v/>
      </c>
    </row>
    <row r="193" spans="2:10">
      <c r="B193" s="224"/>
      <c r="C193" s="225">
        <f>Dat_02!B192</f>
        <v>44810</v>
      </c>
      <c r="D193" s="224"/>
      <c r="E193" s="226">
        <f>Dat_02!C192</f>
        <v>1.0894917012471488</v>
      </c>
      <c r="F193" s="226">
        <f>Dat_02!D192</f>
        <v>21.033168040284398</v>
      </c>
      <c r="G193" s="226">
        <f>Dat_02!E192</f>
        <v>1.0894917012471488</v>
      </c>
      <c r="I193" s="227">
        <f>Dat_02!G192</f>
        <v>0</v>
      </c>
      <c r="J193" s="233" t="str">
        <f>IF(Dat_02!H192=0,"",Dat_02!H192)</f>
        <v/>
      </c>
    </row>
    <row r="194" spans="2:10">
      <c r="B194" s="224"/>
      <c r="C194" s="225">
        <f>Dat_02!B193</f>
        <v>44811</v>
      </c>
      <c r="D194" s="224"/>
      <c r="E194" s="226">
        <f>Dat_02!C193</f>
        <v>2.8869032931076291</v>
      </c>
      <c r="F194" s="226">
        <f>Dat_02!D193</f>
        <v>21.033168040284398</v>
      </c>
      <c r="G194" s="226">
        <f>Dat_02!E193</f>
        <v>2.8869032931076291</v>
      </c>
      <c r="I194" s="227">
        <f>Dat_02!G193</f>
        <v>0</v>
      </c>
      <c r="J194" s="233" t="str">
        <f>IF(Dat_02!H193=0,"",Dat_02!H193)</f>
        <v/>
      </c>
    </row>
    <row r="195" spans="2:10">
      <c r="B195" s="224"/>
      <c r="C195" s="225">
        <f>Dat_02!B194</f>
        <v>44812</v>
      </c>
      <c r="D195" s="224"/>
      <c r="E195" s="226">
        <f>Dat_02!C194</f>
        <v>14.760340259105767</v>
      </c>
      <c r="F195" s="226">
        <f>Dat_02!D194</f>
        <v>21.033168040284398</v>
      </c>
      <c r="G195" s="226">
        <f>Dat_02!E194</f>
        <v>14.760340259105767</v>
      </c>
      <c r="I195" s="227">
        <f>Dat_02!G194</f>
        <v>0</v>
      </c>
      <c r="J195" s="233" t="str">
        <f>IF(Dat_02!H194=0,"",Dat_02!H194)</f>
        <v/>
      </c>
    </row>
    <row r="196" spans="2:10">
      <c r="B196" s="224"/>
      <c r="C196" s="225">
        <f>Dat_02!B195</f>
        <v>44813</v>
      </c>
      <c r="D196" s="224"/>
      <c r="E196" s="226">
        <f>Dat_02!C195</f>
        <v>35.064965161107629</v>
      </c>
      <c r="F196" s="226">
        <f>Dat_02!D195</f>
        <v>21.033168040284398</v>
      </c>
      <c r="G196" s="226">
        <f>Dat_02!E195</f>
        <v>21.033168040284398</v>
      </c>
      <c r="I196" s="227">
        <f>Dat_02!G195</f>
        <v>0</v>
      </c>
      <c r="J196" s="233" t="str">
        <f>IF(Dat_02!H195=0,"",Dat_02!H195)</f>
        <v/>
      </c>
    </row>
    <row r="197" spans="2:10">
      <c r="B197" s="224"/>
      <c r="C197" s="225">
        <f>Dat_02!B196</f>
        <v>44814</v>
      </c>
      <c r="D197" s="224"/>
      <c r="E197" s="226">
        <f>Dat_02!C196</f>
        <v>13.339951817105764</v>
      </c>
      <c r="F197" s="226">
        <f>Dat_02!D196</f>
        <v>21.033168040284398</v>
      </c>
      <c r="G197" s="226">
        <f>Dat_02!E196</f>
        <v>13.339951817105764</v>
      </c>
      <c r="I197" s="227">
        <f>Dat_02!G196</f>
        <v>0</v>
      </c>
      <c r="J197" s="233" t="str">
        <f>IF(Dat_02!H196=0,"",Dat_02!H196)</f>
        <v/>
      </c>
    </row>
    <row r="198" spans="2:10">
      <c r="B198" s="224"/>
      <c r="C198" s="225">
        <f>Dat_02!B197</f>
        <v>44815</v>
      </c>
      <c r="D198" s="224"/>
      <c r="E198" s="226">
        <f>Dat_02!C197</f>
        <v>3.9322403651076274</v>
      </c>
      <c r="F198" s="226">
        <f>Dat_02!D197</f>
        <v>21.033168040284398</v>
      </c>
      <c r="G198" s="226">
        <f>Dat_02!E197</f>
        <v>3.9322403651076274</v>
      </c>
      <c r="I198" s="227">
        <f>Dat_02!G197</f>
        <v>0</v>
      </c>
      <c r="J198" s="233" t="str">
        <f>IF(Dat_02!H197=0,"",Dat_02!H197)</f>
        <v/>
      </c>
    </row>
    <row r="199" spans="2:10">
      <c r="B199" s="224"/>
      <c r="C199" s="225">
        <f>Dat_02!B198</f>
        <v>44816</v>
      </c>
      <c r="D199" s="224"/>
      <c r="E199" s="226">
        <f>Dat_02!C198</f>
        <v>5.1425005751057649</v>
      </c>
      <c r="F199" s="226">
        <f>Dat_02!D198</f>
        <v>21.033168040284398</v>
      </c>
      <c r="G199" s="226">
        <f>Dat_02!E198</f>
        <v>5.1425005751057649</v>
      </c>
      <c r="I199" s="227">
        <f>Dat_02!G198</f>
        <v>0</v>
      </c>
      <c r="J199" s="233" t="str">
        <f>IF(Dat_02!H198=0,"",Dat_02!H198)</f>
        <v/>
      </c>
    </row>
    <row r="200" spans="2:10">
      <c r="B200" s="224"/>
      <c r="C200" s="225">
        <f>Dat_02!B199</f>
        <v>44817</v>
      </c>
      <c r="D200" s="224"/>
      <c r="E200" s="226">
        <f>Dat_02!C199</f>
        <v>15.42366311510763</v>
      </c>
      <c r="F200" s="226">
        <f>Dat_02!D199</f>
        <v>21.033168040284398</v>
      </c>
      <c r="G200" s="226">
        <f>Dat_02!E199</f>
        <v>15.42366311510763</v>
      </c>
      <c r="I200" s="227">
        <f>Dat_02!G199</f>
        <v>0</v>
      </c>
      <c r="J200" s="233" t="str">
        <f>IF(Dat_02!H199=0,"",Dat_02!H199)</f>
        <v/>
      </c>
    </row>
    <row r="201" spans="2:10">
      <c r="B201" s="224"/>
      <c r="C201" s="225">
        <f>Dat_02!B200</f>
        <v>44818</v>
      </c>
      <c r="D201" s="224"/>
      <c r="E201" s="226">
        <f>Dat_02!C200</f>
        <v>12.349760605496158</v>
      </c>
      <c r="F201" s="226">
        <f>Dat_02!D200</f>
        <v>21.033168040284398</v>
      </c>
      <c r="G201" s="226">
        <f>Dat_02!E200</f>
        <v>12.349760605496158</v>
      </c>
      <c r="I201" s="227">
        <f>Dat_02!G200</f>
        <v>0</v>
      </c>
      <c r="J201" s="233" t="str">
        <f>IF(Dat_02!H200=0,"",Dat_02!H200)</f>
        <v/>
      </c>
    </row>
    <row r="202" spans="2:10">
      <c r="B202" s="224"/>
      <c r="C202" s="225">
        <f>Dat_02!B201</f>
        <v>44819</v>
      </c>
      <c r="D202" s="224"/>
      <c r="E202" s="226">
        <f>Dat_02!C201</f>
        <v>31.989309273495223</v>
      </c>
      <c r="F202" s="226">
        <f>Dat_02!D201</f>
        <v>21.033168040284398</v>
      </c>
      <c r="G202" s="226">
        <f>Dat_02!E201</f>
        <v>21.033168040284398</v>
      </c>
      <c r="I202" s="227">
        <f>Dat_02!G201</f>
        <v>21.033168040284398</v>
      </c>
      <c r="J202" s="233" t="str">
        <f>IF(Dat_02!H201=0,"",Dat_02!H201)</f>
        <v/>
      </c>
    </row>
    <row r="203" spans="2:10">
      <c r="B203" s="224"/>
      <c r="C203" s="225">
        <f>Dat_02!B202</f>
        <v>44820</v>
      </c>
      <c r="D203" s="224"/>
      <c r="E203" s="226">
        <f>Dat_02!C202</f>
        <v>36.948285189495216</v>
      </c>
      <c r="F203" s="226">
        <f>Dat_02!D202</f>
        <v>21.033168040284398</v>
      </c>
      <c r="G203" s="226">
        <f>Dat_02!E202</f>
        <v>21.033168040284398</v>
      </c>
      <c r="I203" s="227">
        <f>Dat_02!G202</f>
        <v>0</v>
      </c>
      <c r="J203" s="233" t="str">
        <f>IF(Dat_02!H202=0,"",Dat_02!H202)</f>
        <v/>
      </c>
    </row>
    <row r="204" spans="2:10">
      <c r="B204" s="224"/>
      <c r="C204" s="225">
        <f>Dat_02!B203</f>
        <v>44821</v>
      </c>
      <c r="D204" s="224"/>
      <c r="E204" s="226">
        <f>Dat_02!C203</f>
        <v>16.074023705495222</v>
      </c>
      <c r="F204" s="226">
        <f>Dat_02!D203</f>
        <v>21.033168040284398</v>
      </c>
      <c r="G204" s="226">
        <f>Dat_02!E203</f>
        <v>16.074023705495222</v>
      </c>
      <c r="I204" s="227">
        <f>Dat_02!G203</f>
        <v>0</v>
      </c>
      <c r="J204" s="233" t="str">
        <f>IF(Dat_02!H203=0,"",Dat_02!H203)</f>
        <v/>
      </c>
    </row>
    <row r="205" spans="2:10">
      <c r="B205" s="224"/>
      <c r="C205" s="225">
        <f>Dat_02!B204</f>
        <v>44822</v>
      </c>
      <c r="D205" s="224"/>
      <c r="E205" s="226">
        <f>Dat_02!C204</f>
        <v>13.853308805496155</v>
      </c>
      <c r="F205" s="226">
        <f>Dat_02!D204</f>
        <v>21.033168040284398</v>
      </c>
      <c r="G205" s="226">
        <f>Dat_02!E204</f>
        <v>13.853308805496155</v>
      </c>
      <c r="I205" s="227">
        <f>Dat_02!G204</f>
        <v>0</v>
      </c>
      <c r="J205" s="233" t="str">
        <f>IF(Dat_02!H204=0,"",Dat_02!H204)</f>
        <v/>
      </c>
    </row>
    <row r="206" spans="2:10">
      <c r="B206" s="224"/>
      <c r="C206" s="225">
        <f>Dat_02!B205</f>
        <v>44823</v>
      </c>
      <c r="D206" s="224"/>
      <c r="E206" s="226">
        <f>Dat_02!C205</f>
        <v>28.378632505496157</v>
      </c>
      <c r="F206" s="226">
        <f>Dat_02!D205</f>
        <v>21.033168040284398</v>
      </c>
      <c r="G206" s="226">
        <f>Dat_02!E205</f>
        <v>21.033168040284398</v>
      </c>
      <c r="I206" s="227">
        <f>Dat_02!G205</f>
        <v>0</v>
      </c>
      <c r="J206" s="233" t="str">
        <f>IF(Dat_02!H205=0,"",Dat_02!H205)</f>
        <v/>
      </c>
    </row>
    <row r="207" spans="2:10">
      <c r="B207" s="224"/>
      <c r="C207" s="225">
        <f>Dat_02!B206</f>
        <v>44824</v>
      </c>
      <c r="D207" s="224"/>
      <c r="E207" s="226">
        <f>Dat_02!C206</f>
        <v>28.874847413494294</v>
      </c>
      <c r="F207" s="226">
        <f>Dat_02!D206</f>
        <v>21.033168040284398</v>
      </c>
      <c r="G207" s="226">
        <f>Dat_02!E206</f>
        <v>21.033168040284398</v>
      </c>
      <c r="I207" s="227">
        <f>Dat_02!G206</f>
        <v>0</v>
      </c>
      <c r="J207" s="233" t="str">
        <f>IF(Dat_02!H206=0,"",Dat_02!H206)</f>
        <v/>
      </c>
    </row>
    <row r="208" spans="2:10">
      <c r="B208" s="224"/>
      <c r="C208" s="225">
        <f>Dat_02!B207</f>
        <v>44825</v>
      </c>
      <c r="D208" s="224"/>
      <c r="E208" s="226">
        <f>Dat_02!C207</f>
        <v>18.91056866332821</v>
      </c>
      <c r="F208" s="226">
        <f>Dat_02!D207</f>
        <v>21.033168040284398</v>
      </c>
      <c r="G208" s="226">
        <f>Dat_02!E207</f>
        <v>18.91056866332821</v>
      </c>
      <c r="I208" s="227">
        <f>Dat_02!G207</f>
        <v>0</v>
      </c>
      <c r="J208" s="233" t="str">
        <f>IF(Dat_02!H207=0,"",Dat_02!H207)</f>
        <v/>
      </c>
    </row>
    <row r="209" spans="2:10">
      <c r="B209" s="224"/>
      <c r="C209" s="225">
        <f>Dat_02!B208</f>
        <v>44826</v>
      </c>
      <c r="D209" s="224"/>
      <c r="E209" s="226">
        <f>Dat_02!C208</f>
        <v>15.011955983329143</v>
      </c>
      <c r="F209" s="226">
        <f>Dat_02!D208</f>
        <v>21.033168040284398</v>
      </c>
      <c r="G209" s="226">
        <f>Dat_02!E208</f>
        <v>15.011955983329143</v>
      </c>
      <c r="I209" s="227">
        <f>Dat_02!G208</f>
        <v>0</v>
      </c>
      <c r="J209" s="233" t="str">
        <f>IF(Dat_02!H208=0,"",Dat_02!H208)</f>
        <v/>
      </c>
    </row>
    <row r="210" spans="2:10">
      <c r="B210" s="224"/>
      <c r="C210" s="225">
        <f>Dat_02!B209</f>
        <v>44827</v>
      </c>
      <c r="D210" s="224"/>
      <c r="E210" s="226">
        <f>Dat_02!C209</f>
        <v>15.385728020327274</v>
      </c>
      <c r="F210" s="226">
        <f>Dat_02!D209</f>
        <v>21.033168040284398</v>
      </c>
      <c r="G210" s="226">
        <f>Dat_02!E209</f>
        <v>15.385728020327274</v>
      </c>
      <c r="I210" s="227">
        <f>Dat_02!G209</f>
        <v>0</v>
      </c>
      <c r="J210" s="233" t="str">
        <f>IF(Dat_02!H209=0,"",Dat_02!H209)</f>
        <v/>
      </c>
    </row>
    <row r="211" spans="2:10">
      <c r="B211" s="224"/>
      <c r="C211" s="225">
        <f>Dat_02!B210</f>
        <v>44828</v>
      </c>
      <c r="D211" s="224"/>
      <c r="E211" s="226">
        <f>Dat_02!C210</f>
        <v>7.3847436263291382</v>
      </c>
      <c r="F211" s="226">
        <f>Dat_02!D210</f>
        <v>21.033168040284398</v>
      </c>
      <c r="G211" s="226">
        <f>Dat_02!E210</f>
        <v>7.3847436263291382</v>
      </c>
      <c r="I211" s="227">
        <f>Dat_02!G210</f>
        <v>0</v>
      </c>
      <c r="J211" s="233" t="str">
        <f>IF(Dat_02!H210=0,"",Dat_02!H210)</f>
        <v/>
      </c>
    </row>
    <row r="212" spans="2:10">
      <c r="B212" s="224"/>
      <c r="C212" s="225">
        <f>Dat_02!B211</f>
        <v>44829</v>
      </c>
      <c r="D212" s="224"/>
      <c r="E212" s="226">
        <f>Dat_02!C211</f>
        <v>1.3258039603282086</v>
      </c>
      <c r="F212" s="226">
        <f>Dat_02!D211</f>
        <v>21.033168040284398</v>
      </c>
      <c r="G212" s="226">
        <f>Dat_02!E211</f>
        <v>1.3258039603282086</v>
      </c>
      <c r="I212" s="227">
        <f>Dat_02!G211</f>
        <v>0</v>
      </c>
      <c r="J212" s="233" t="str">
        <f>IF(Dat_02!H211=0,"",Dat_02!H211)</f>
        <v/>
      </c>
    </row>
    <row r="213" spans="2:10">
      <c r="B213" s="224"/>
      <c r="C213" s="225">
        <f>Dat_02!B212</f>
        <v>44830</v>
      </c>
      <c r="D213" s="224"/>
      <c r="E213" s="226">
        <f>Dat_02!C212</f>
        <v>1.1169635263272795</v>
      </c>
      <c r="F213" s="226">
        <f>Dat_02!D212</f>
        <v>21.033168040284398</v>
      </c>
      <c r="G213" s="226">
        <f>Dat_02!E212</f>
        <v>1.1169635263272795</v>
      </c>
      <c r="I213" s="227">
        <f>Dat_02!G212</f>
        <v>0</v>
      </c>
      <c r="J213" s="233" t="str">
        <f>IF(Dat_02!H212=0,"",Dat_02!H212)</f>
        <v/>
      </c>
    </row>
    <row r="214" spans="2:10">
      <c r="B214" s="224"/>
      <c r="C214" s="225">
        <f>Dat_02!B213</f>
        <v>44831</v>
      </c>
      <c r="D214" s="224"/>
      <c r="E214" s="226">
        <f>Dat_02!C213</f>
        <v>0.78786596332913905</v>
      </c>
      <c r="F214" s="226">
        <f>Dat_02!D213</f>
        <v>21.033168040284398</v>
      </c>
      <c r="G214" s="226">
        <f>Dat_02!E213</f>
        <v>0.78786596332913905</v>
      </c>
      <c r="I214" s="227">
        <f>Dat_02!G213</f>
        <v>0</v>
      </c>
      <c r="J214" s="233" t="str">
        <f>IF(Dat_02!H213=0,"",Dat_02!H213)</f>
        <v/>
      </c>
    </row>
    <row r="215" spans="2:10">
      <c r="B215" s="224"/>
      <c r="C215" s="225">
        <f>Dat_02!B214</f>
        <v>44832</v>
      </c>
      <c r="D215" s="224"/>
      <c r="E215" s="226">
        <f>Dat_02!C214</f>
        <v>0.62199482457556587</v>
      </c>
      <c r="F215" s="226">
        <f>Dat_02!D214</f>
        <v>21.033168040284398</v>
      </c>
      <c r="G215" s="226">
        <f>Dat_02!E214</f>
        <v>0.62199482457556587</v>
      </c>
      <c r="I215" s="227">
        <f>Dat_02!G214</f>
        <v>0</v>
      </c>
      <c r="J215" s="233" t="str">
        <f>IF(Dat_02!H214=0,"",Dat_02!H214)</f>
        <v/>
      </c>
    </row>
    <row r="216" spans="2:10">
      <c r="B216" s="224"/>
      <c r="C216" s="225">
        <f>Dat_02!B215</f>
        <v>44833</v>
      </c>
      <c r="D216" s="224"/>
      <c r="E216" s="226">
        <f>Dat_02!C215</f>
        <v>1.5908444845746343</v>
      </c>
      <c r="F216" s="226">
        <f>Dat_02!D215</f>
        <v>21.033168040284398</v>
      </c>
      <c r="G216" s="226">
        <f>Dat_02!E215</f>
        <v>1.5908444845746343</v>
      </c>
      <c r="I216" s="227">
        <f>Dat_02!G215</f>
        <v>0</v>
      </c>
      <c r="J216" s="233" t="str">
        <f>IF(Dat_02!H215=0,"",Dat_02!H215)</f>
        <v/>
      </c>
    </row>
    <row r="217" spans="2:10">
      <c r="B217" s="224"/>
      <c r="C217" s="225">
        <f>Dat_02!B216</f>
        <v>44834</v>
      </c>
      <c r="D217" s="224"/>
      <c r="E217" s="226">
        <f>Dat_02!C216</f>
        <v>15.933703672575568</v>
      </c>
      <c r="F217" s="226">
        <f>Dat_02!D216</f>
        <v>21.033168040284398</v>
      </c>
      <c r="G217" s="226">
        <f>Dat_02!E216</f>
        <v>15.933703672575568</v>
      </c>
      <c r="I217" s="227">
        <f>Dat_02!G216</f>
        <v>0</v>
      </c>
      <c r="J217" s="233" t="str">
        <f>IF(Dat_02!H216=0,"",Dat_02!H216)</f>
        <v/>
      </c>
    </row>
    <row r="218" spans="2:10">
      <c r="B218" s="224" t="s">
        <v>191</v>
      </c>
      <c r="C218" s="225">
        <f>Dat_02!B217</f>
        <v>44835</v>
      </c>
      <c r="D218" s="224"/>
      <c r="E218" s="226">
        <f>Dat_02!C217</f>
        <v>11.227034907575566</v>
      </c>
      <c r="F218" s="226">
        <f>Dat_02!D217</f>
        <v>41.704179443866899</v>
      </c>
      <c r="G218" s="226">
        <f>Dat_02!E217</f>
        <v>11.227034907575566</v>
      </c>
      <c r="I218" s="227">
        <f>Dat_02!G217</f>
        <v>0</v>
      </c>
      <c r="J218" s="233" t="str">
        <f>IF(Dat_02!H217=0,"",Dat_02!H217)</f>
        <v/>
      </c>
    </row>
    <row r="219" spans="2:10">
      <c r="B219" s="224"/>
      <c r="C219" s="225">
        <f>Dat_02!B218</f>
        <v>44836</v>
      </c>
      <c r="D219" s="224"/>
      <c r="E219" s="226">
        <f>Dat_02!C218</f>
        <v>7.9707422325755672</v>
      </c>
      <c r="F219" s="226">
        <f>Dat_02!D218</f>
        <v>41.704179443866899</v>
      </c>
      <c r="G219" s="226">
        <f>Dat_02!E218</f>
        <v>7.9707422325755672</v>
      </c>
      <c r="I219" s="227">
        <f>Dat_02!G218</f>
        <v>0</v>
      </c>
      <c r="J219" s="233" t="str">
        <f>IF(Dat_02!H218=0,"",Dat_02!H218)</f>
        <v/>
      </c>
    </row>
    <row r="220" spans="2:10">
      <c r="B220" s="224"/>
      <c r="C220" s="225">
        <f>Dat_02!B219</f>
        <v>44837</v>
      </c>
      <c r="D220" s="224"/>
      <c r="E220" s="226">
        <f>Dat_02!C219</f>
        <v>20.891594586575568</v>
      </c>
      <c r="F220" s="226">
        <f>Dat_02!D219</f>
        <v>41.704179443866899</v>
      </c>
      <c r="G220" s="226">
        <f>Dat_02!E219</f>
        <v>20.891594586575568</v>
      </c>
      <c r="I220" s="227">
        <f>Dat_02!G219</f>
        <v>0</v>
      </c>
      <c r="J220" s="233" t="str">
        <f>IF(Dat_02!H219=0,"",Dat_02!H219)</f>
        <v/>
      </c>
    </row>
    <row r="221" spans="2:10">
      <c r="B221" s="224"/>
      <c r="C221" s="225">
        <f>Dat_02!B220</f>
        <v>44838</v>
      </c>
      <c r="D221" s="224"/>
      <c r="E221" s="226">
        <f>Dat_02!C220</f>
        <v>16.433540057575566</v>
      </c>
      <c r="F221" s="226">
        <f>Dat_02!D220</f>
        <v>41.704179443866899</v>
      </c>
      <c r="G221" s="226">
        <f>Dat_02!E220</f>
        <v>16.433540057575566</v>
      </c>
      <c r="I221" s="227">
        <f>Dat_02!G220</f>
        <v>0</v>
      </c>
      <c r="J221" s="233" t="str">
        <f>IF(Dat_02!H220=0,"",Dat_02!H220)</f>
        <v/>
      </c>
    </row>
    <row r="222" spans="2:10">
      <c r="B222" s="224"/>
      <c r="C222" s="225">
        <f>Dat_02!B221</f>
        <v>44839</v>
      </c>
      <c r="D222" s="224"/>
      <c r="E222" s="226">
        <f>Dat_02!C221</f>
        <v>8.6749098880381279</v>
      </c>
      <c r="F222" s="226">
        <f>Dat_02!D221</f>
        <v>41.704179443866899</v>
      </c>
      <c r="G222" s="226">
        <f>Dat_02!E221</f>
        <v>8.6749098880381279</v>
      </c>
      <c r="I222" s="227">
        <f>Dat_02!G221</f>
        <v>0</v>
      </c>
      <c r="J222" s="233" t="str">
        <f>IF(Dat_02!H221=0,"",Dat_02!H221)</f>
        <v/>
      </c>
    </row>
    <row r="223" spans="2:10">
      <c r="B223" s="224"/>
      <c r="C223" s="225">
        <f>Dat_02!B222</f>
        <v>44840</v>
      </c>
      <c r="D223" s="224"/>
      <c r="E223" s="226">
        <f>Dat_02!C222</f>
        <v>9.3689522890390577</v>
      </c>
      <c r="F223" s="226">
        <f>Dat_02!D222</f>
        <v>41.704179443866899</v>
      </c>
      <c r="G223" s="226">
        <f>Dat_02!E222</f>
        <v>9.3689522890390577</v>
      </c>
      <c r="I223" s="227">
        <f>Dat_02!G222</f>
        <v>0</v>
      </c>
      <c r="J223" s="233" t="str">
        <f>IF(Dat_02!H222=0,"",Dat_02!H222)</f>
        <v/>
      </c>
    </row>
    <row r="224" spans="2:10">
      <c r="B224" s="224"/>
      <c r="C224" s="225">
        <f>Dat_02!B223</f>
        <v>44841</v>
      </c>
      <c r="D224" s="224"/>
      <c r="E224" s="226">
        <f>Dat_02!C223</f>
        <v>13.773585029038127</v>
      </c>
      <c r="F224" s="226">
        <f>Dat_02!D223</f>
        <v>41.704179443866899</v>
      </c>
      <c r="G224" s="226">
        <f>Dat_02!E223</f>
        <v>13.773585029038127</v>
      </c>
      <c r="I224" s="227">
        <f>Dat_02!G223</f>
        <v>0</v>
      </c>
      <c r="J224" s="233" t="str">
        <f>IF(Dat_02!H223=0,"",Dat_02!H223)</f>
        <v/>
      </c>
    </row>
    <row r="225" spans="2:10">
      <c r="B225" s="224"/>
      <c r="C225" s="225">
        <f>Dat_02!B224</f>
        <v>44842</v>
      </c>
      <c r="D225" s="224"/>
      <c r="E225" s="226">
        <f>Dat_02!C224</f>
        <v>5.7188718090381263</v>
      </c>
      <c r="F225" s="226">
        <f>Dat_02!D224</f>
        <v>41.704179443866899</v>
      </c>
      <c r="G225" s="226">
        <f>Dat_02!E224</f>
        <v>5.7188718090381263</v>
      </c>
      <c r="I225" s="227">
        <f>Dat_02!G224</f>
        <v>0</v>
      </c>
      <c r="J225" s="233" t="str">
        <f>IF(Dat_02!H224=0,"",Dat_02!H224)</f>
        <v/>
      </c>
    </row>
    <row r="226" spans="2:10">
      <c r="B226" s="224"/>
      <c r="C226" s="225">
        <f>Dat_02!B225</f>
        <v>44843</v>
      </c>
      <c r="D226" s="224"/>
      <c r="E226" s="226">
        <f>Dat_02!C225</f>
        <v>4.7329473290381268</v>
      </c>
      <c r="F226" s="226">
        <f>Dat_02!D225</f>
        <v>41.704179443866899</v>
      </c>
      <c r="G226" s="226">
        <f>Dat_02!E225</f>
        <v>4.7329473290381268</v>
      </c>
      <c r="I226" s="227">
        <f>Dat_02!G225</f>
        <v>0</v>
      </c>
      <c r="J226" s="233" t="str">
        <f>IF(Dat_02!H225=0,"",Dat_02!H225)</f>
        <v/>
      </c>
    </row>
    <row r="227" spans="2:10">
      <c r="B227" s="224"/>
      <c r="C227" s="225">
        <f>Dat_02!B226</f>
        <v>44844</v>
      </c>
      <c r="D227" s="224"/>
      <c r="E227" s="226">
        <f>Dat_02!C226</f>
        <v>14.908775329039058</v>
      </c>
      <c r="F227" s="226">
        <f>Dat_02!D226</f>
        <v>41.704179443866899</v>
      </c>
      <c r="G227" s="226">
        <f>Dat_02!E226</f>
        <v>14.908775329039058</v>
      </c>
      <c r="I227" s="227">
        <f>Dat_02!G226</f>
        <v>0</v>
      </c>
      <c r="J227" s="233" t="str">
        <f>IF(Dat_02!H226=0,"",Dat_02!H226)</f>
        <v/>
      </c>
    </row>
    <row r="228" spans="2:10">
      <c r="B228" s="224"/>
      <c r="C228" s="225">
        <f>Dat_02!B227</f>
        <v>44845</v>
      </c>
      <c r="D228" s="224"/>
      <c r="E228" s="226">
        <f>Dat_02!C227</f>
        <v>11.686731429039057</v>
      </c>
      <c r="F228" s="226">
        <f>Dat_02!D227</f>
        <v>41.704179443866899</v>
      </c>
      <c r="G228" s="226">
        <f>Dat_02!E227</f>
        <v>11.686731429039057</v>
      </c>
      <c r="I228" s="227">
        <f>Dat_02!G227</f>
        <v>0</v>
      </c>
      <c r="J228" s="233" t="str">
        <f>IF(Dat_02!H227=0,"",Dat_02!H227)</f>
        <v/>
      </c>
    </row>
    <row r="229" spans="2:10">
      <c r="B229" s="224"/>
      <c r="C229" s="225">
        <f>Dat_02!B228</f>
        <v>44846</v>
      </c>
      <c r="D229" s="224"/>
      <c r="E229" s="226">
        <f>Dat_02!C228</f>
        <v>8.0333308843297484</v>
      </c>
      <c r="F229" s="226">
        <f>Dat_02!D228</f>
        <v>41.704179443866899</v>
      </c>
      <c r="G229" s="226">
        <f>Dat_02!E228</f>
        <v>8.0333308843297484</v>
      </c>
      <c r="I229" s="227">
        <f>Dat_02!G228</f>
        <v>0</v>
      </c>
      <c r="J229" s="233" t="str">
        <f>IF(Dat_02!H228=0,"",Dat_02!H228)</f>
        <v/>
      </c>
    </row>
    <row r="230" spans="2:10">
      <c r="B230" s="224"/>
      <c r="C230" s="225">
        <f>Dat_02!B229</f>
        <v>44847</v>
      </c>
      <c r="D230" s="224"/>
      <c r="E230" s="226">
        <f>Dat_02!C229</f>
        <v>13.818515744328819</v>
      </c>
      <c r="F230" s="226">
        <f>Dat_02!D229</f>
        <v>41.704179443866899</v>
      </c>
      <c r="G230" s="226">
        <f>Dat_02!E229</f>
        <v>13.818515744328819</v>
      </c>
      <c r="I230" s="227">
        <f>Dat_02!G229</f>
        <v>0</v>
      </c>
      <c r="J230" s="233" t="str">
        <f>IF(Dat_02!H229=0,"",Dat_02!H229)</f>
        <v/>
      </c>
    </row>
    <row r="231" spans="2:10">
      <c r="B231" s="224"/>
      <c r="C231" s="225">
        <f>Dat_02!B230</f>
        <v>44848</v>
      </c>
      <c r="D231" s="224"/>
      <c r="E231" s="226">
        <f>Dat_02!C230</f>
        <v>13.067054888329748</v>
      </c>
      <c r="F231" s="226">
        <f>Dat_02!D230</f>
        <v>41.704179443866899</v>
      </c>
      <c r="G231" s="226">
        <f>Dat_02!E230</f>
        <v>13.067054888329748</v>
      </c>
      <c r="I231" s="227">
        <f>Dat_02!G230</f>
        <v>0</v>
      </c>
      <c r="J231" s="233" t="str">
        <f>IF(Dat_02!H230=0,"",Dat_02!H230)</f>
        <v/>
      </c>
    </row>
    <row r="232" spans="2:10">
      <c r="B232" s="224"/>
      <c r="C232" s="225">
        <f>Dat_02!B231</f>
        <v>44849</v>
      </c>
      <c r="D232" s="224"/>
      <c r="E232" s="226">
        <f>Dat_02!C231</f>
        <v>8.1490059843288183</v>
      </c>
      <c r="F232" s="226">
        <f>Dat_02!D231</f>
        <v>41.704179443866899</v>
      </c>
      <c r="G232" s="226">
        <f>Dat_02!E231</f>
        <v>8.1490059843288183</v>
      </c>
      <c r="I232" s="227">
        <f>Dat_02!G231</f>
        <v>41.704179443866899</v>
      </c>
      <c r="J232" s="233" t="str">
        <f>IF(Dat_02!H231=0,"",Dat_02!H231)</f>
        <v/>
      </c>
    </row>
    <row r="233" spans="2:10">
      <c r="B233" s="224"/>
      <c r="C233" s="225">
        <f>Dat_02!B232</f>
        <v>44850</v>
      </c>
      <c r="D233" s="224"/>
      <c r="E233" s="226">
        <f>Dat_02!C232</f>
        <v>9.3695336443297492</v>
      </c>
      <c r="F233" s="226">
        <f>Dat_02!D232</f>
        <v>41.704179443866899</v>
      </c>
      <c r="G233" s="226">
        <f>Dat_02!E232</f>
        <v>9.3695336443297492</v>
      </c>
      <c r="I233" s="227">
        <f>Dat_02!G232</f>
        <v>0</v>
      </c>
      <c r="J233" s="233" t="str">
        <f>IF(Dat_02!H232=0,"",Dat_02!H232)</f>
        <v/>
      </c>
    </row>
    <row r="234" spans="2:10">
      <c r="B234" s="224"/>
      <c r="C234" s="225">
        <f>Dat_02!B233</f>
        <v>44851</v>
      </c>
      <c r="D234" s="224"/>
      <c r="E234" s="226">
        <f>Dat_02!C233</f>
        <v>13.885516124329747</v>
      </c>
      <c r="F234" s="226">
        <f>Dat_02!D233</f>
        <v>41.704179443866899</v>
      </c>
      <c r="G234" s="226">
        <f>Dat_02!E233</f>
        <v>13.885516124329747</v>
      </c>
      <c r="I234" s="227">
        <f>Dat_02!G233</f>
        <v>0</v>
      </c>
      <c r="J234" s="233" t="str">
        <f>IF(Dat_02!H233=0,"",Dat_02!H233)</f>
        <v/>
      </c>
    </row>
    <row r="235" spans="2:10">
      <c r="B235" s="224"/>
      <c r="C235" s="225">
        <f>Dat_02!B234</f>
        <v>44852</v>
      </c>
      <c r="D235" s="224"/>
      <c r="E235" s="226">
        <f>Dat_02!C234</f>
        <v>13.979799504328817</v>
      </c>
      <c r="F235" s="226">
        <f>Dat_02!D234</f>
        <v>41.704179443866899</v>
      </c>
      <c r="G235" s="226">
        <f>Dat_02!E234</f>
        <v>13.979799504328817</v>
      </c>
      <c r="I235" s="227">
        <f>Dat_02!G234</f>
        <v>0</v>
      </c>
      <c r="J235" s="233" t="str">
        <f>IF(Dat_02!H234=0,"",Dat_02!H234)</f>
        <v/>
      </c>
    </row>
    <row r="236" spans="2:10">
      <c r="B236" s="224"/>
      <c r="C236" s="225">
        <f>Dat_02!B235</f>
        <v>44853</v>
      </c>
      <c r="D236" s="224"/>
      <c r="E236" s="226">
        <f>Dat_02!C235</f>
        <v>36.042525623746585</v>
      </c>
      <c r="F236" s="226">
        <f>Dat_02!D235</f>
        <v>41.704179443866899</v>
      </c>
      <c r="G236" s="226">
        <f>Dat_02!E235</f>
        <v>36.042525623746585</v>
      </c>
      <c r="I236" s="227">
        <f>Dat_02!G235</f>
        <v>0</v>
      </c>
      <c r="J236" s="233" t="str">
        <f>IF(Dat_02!H235=0,"",Dat_02!H235)</f>
        <v/>
      </c>
    </row>
    <row r="237" spans="2:10">
      <c r="B237" s="224"/>
      <c r="C237" s="225">
        <f>Dat_02!B236</f>
        <v>44854</v>
      </c>
      <c r="D237" s="224"/>
      <c r="E237" s="226">
        <f>Dat_02!C236</f>
        <v>41.862411023747526</v>
      </c>
      <c r="F237" s="226">
        <f>Dat_02!D236</f>
        <v>41.704179443866899</v>
      </c>
      <c r="G237" s="226">
        <f>Dat_02!E236</f>
        <v>41.704179443866899</v>
      </c>
      <c r="I237" s="227">
        <f>Dat_02!G236</f>
        <v>0</v>
      </c>
      <c r="J237" s="233" t="str">
        <f>IF(Dat_02!H236=0,"",Dat_02!H236)</f>
        <v/>
      </c>
    </row>
    <row r="238" spans="2:10">
      <c r="B238" s="224"/>
      <c r="C238" s="225">
        <f>Dat_02!B237</f>
        <v>44855</v>
      </c>
      <c r="D238" s="224"/>
      <c r="E238" s="226">
        <f>Dat_02!C237</f>
        <v>48.232235227746592</v>
      </c>
      <c r="F238" s="226">
        <f>Dat_02!D237</f>
        <v>41.704179443866899</v>
      </c>
      <c r="G238" s="226">
        <f>Dat_02!E237</f>
        <v>41.704179443866899</v>
      </c>
      <c r="I238" s="227">
        <f>Dat_02!G237</f>
        <v>0</v>
      </c>
      <c r="J238" s="233" t="str">
        <f>IF(Dat_02!H237=0,"",Dat_02!H237)</f>
        <v/>
      </c>
    </row>
    <row r="239" spans="2:10">
      <c r="B239" s="224"/>
      <c r="C239" s="225">
        <f>Dat_02!B238</f>
        <v>44856</v>
      </c>
      <c r="D239" s="224"/>
      <c r="E239" s="226">
        <f>Dat_02!C238</f>
        <v>42.953111683746592</v>
      </c>
      <c r="F239" s="226">
        <f>Dat_02!D238</f>
        <v>41.704179443866899</v>
      </c>
      <c r="G239" s="226">
        <f>Dat_02!E238</f>
        <v>41.704179443866899</v>
      </c>
      <c r="I239" s="227">
        <f>Dat_02!G238</f>
        <v>0</v>
      </c>
      <c r="J239" s="233" t="str">
        <f>IF(Dat_02!H238=0,"",Dat_02!H238)</f>
        <v/>
      </c>
    </row>
    <row r="240" spans="2:10">
      <c r="B240" s="224"/>
      <c r="C240" s="225">
        <f>Dat_02!B239</f>
        <v>44857</v>
      </c>
      <c r="D240" s="224"/>
      <c r="E240" s="226">
        <f>Dat_02!C239</f>
        <v>43.362609591746583</v>
      </c>
      <c r="F240" s="226">
        <f>Dat_02!D239</f>
        <v>41.704179443866899</v>
      </c>
      <c r="G240" s="226">
        <f>Dat_02!E239</f>
        <v>41.704179443866899</v>
      </c>
      <c r="I240" s="227">
        <f>Dat_02!G239</f>
        <v>0</v>
      </c>
      <c r="J240" s="233" t="str">
        <f>IF(Dat_02!H239=0,"",Dat_02!H239)</f>
        <v/>
      </c>
    </row>
    <row r="241" spans="2:10">
      <c r="B241" s="224"/>
      <c r="C241" s="225">
        <f>Dat_02!B240</f>
        <v>44858</v>
      </c>
      <c r="D241" s="224"/>
      <c r="E241" s="226">
        <f>Dat_02!C240</f>
        <v>55.478940703746588</v>
      </c>
      <c r="F241" s="226">
        <f>Dat_02!D240</f>
        <v>41.704179443866899</v>
      </c>
      <c r="G241" s="226">
        <f>Dat_02!E240</f>
        <v>41.704179443866899</v>
      </c>
      <c r="I241" s="227">
        <f>Dat_02!G240</f>
        <v>0</v>
      </c>
      <c r="J241" s="233" t="str">
        <f>IF(Dat_02!H240=0,"",Dat_02!H240)</f>
        <v/>
      </c>
    </row>
    <row r="242" spans="2:10">
      <c r="B242" s="224"/>
      <c r="C242" s="225">
        <f>Dat_02!B241</f>
        <v>44859</v>
      </c>
      <c r="D242" s="224"/>
      <c r="E242" s="226">
        <f>Dat_02!C241</f>
        <v>44.782790679745652</v>
      </c>
      <c r="F242" s="226">
        <f>Dat_02!D241</f>
        <v>41.704179443866899</v>
      </c>
      <c r="G242" s="226">
        <f>Dat_02!E241</f>
        <v>41.704179443866899</v>
      </c>
      <c r="I242" s="227">
        <f>Dat_02!G241</f>
        <v>0</v>
      </c>
      <c r="J242" s="233" t="str">
        <f>IF(Dat_02!H241=0,"",Dat_02!H241)</f>
        <v/>
      </c>
    </row>
    <row r="243" spans="2:10">
      <c r="B243" s="224"/>
      <c r="C243" s="225">
        <f>Dat_02!B242</f>
        <v>44860</v>
      </c>
      <c r="D243" s="224"/>
      <c r="E243" s="226">
        <f>Dat_02!C242</f>
        <v>65.213771026325347</v>
      </c>
      <c r="F243" s="226">
        <f>Dat_02!D242</f>
        <v>41.704179443866899</v>
      </c>
      <c r="G243" s="226">
        <f>Dat_02!E242</f>
        <v>41.704179443866899</v>
      </c>
      <c r="I243" s="227">
        <f>Dat_02!G242</f>
        <v>0</v>
      </c>
      <c r="J243" s="233" t="str">
        <f>IF(Dat_02!H242=0,"",Dat_02!H242)</f>
        <v/>
      </c>
    </row>
    <row r="244" spans="2:10">
      <c r="B244" s="224"/>
      <c r="C244" s="225">
        <f>Dat_02!B243</f>
        <v>44861</v>
      </c>
      <c r="D244" s="224"/>
      <c r="E244" s="226">
        <f>Dat_02!C243</f>
        <v>50.209895595325349</v>
      </c>
      <c r="F244" s="226">
        <f>Dat_02!D243</f>
        <v>41.704179443866899</v>
      </c>
      <c r="G244" s="226">
        <f>Dat_02!E243</f>
        <v>41.704179443866899</v>
      </c>
      <c r="I244" s="227">
        <f>Dat_02!G243</f>
        <v>0</v>
      </c>
      <c r="J244" s="233" t="str">
        <f>IF(Dat_02!H243=0,"",Dat_02!H243)</f>
        <v/>
      </c>
    </row>
    <row r="245" spans="2:10">
      <c r="B245" s="224"/>
      <c r="C245" s="225">
        <f>Dat_02!B244</f>
        <v>44862</v>
      </c>
      <c r="D245" s="224"/>
      <c r="E245" s="226">
        <f>Dat_02!C244</f>
        <v>53.048136565324413</v>
      </c>
      <c r="F245" s="226">
        <f>Dat_02!D244</f>
        <v>41.704179443866899</v>
      </c>
      <c r="G245" s="226">
        <f>Dat_02!E244</f>
        <v>41.704179443866899</v>
      </c>
      <c r="I245" s="227">
        <f>Dat_02!G244</f>
        <v>0</v>
      </c>
      <c r="J245" s="233" t="str">
        <f>IF(Dat_02!H244=0,"",Dat_02!H244)</f>
        <v/>
      </c>
    </row>
    <row r="246" spans="2:10">
      <c r="B246" s="224"/>
      <c r="C246" s="225">
        <f>Dat_02!B245</f>
        <v>44863</v>
      </c>
      <c r="D246" s="224"/>
      <c r="E246" s="226">
        <f>Dat_02!C245</f>
        <v>54.221547558325341</v>
      </c>
      <c r="F246" s="226">
        <f>Dat_02!D245</f>
        <v>41.704179443866899</v>
      </c>
      <c r="G246" s="226">
        <f>Dat_02!E245</f>
        <v>41.704179443866899</v>
      </c>
      <c r="I246" s="227">
        <f>Dat_02!G245</f>
        <v>0</v>
      </c>
      <c r="J246" s="233" t="str">
        <f>IF(Dat_02!H245=0,"",Dat_02!H245)</f>
        <v/>
      </c>
    </row>
    <row r="247" spans="2:10">
      <c r="B247" s="224"/>
      <c r="C247" s="225">
        <f>Dat_02!B246</f>
        <v>44864</v>
      </c>
      <c r="D247" s="224"/>
      <c r="E247" s="226">
        <f>Dat_02!C246</f>
        <v>56.44741686632441</v>
      </c>
      <c r="F247" s="226">
        <f>Dat_02!D246</f>
        <v>41.704179443866899</v>
      </c>
      <c r="G247" s="226">
        <f>Dat_02!E246</f>
        <v>41.704179443866899</v>
      </c>
      <c r="I247" s="227">
        <f>Dat_02!G246</f>
        <v>0</v>
      </c>
      <c r="J247" s="233" t="str">
        <f>IF(Dat_02!H246=0,"",Dat_02!H246)</f>
        <v/>
      </c>
    </row>
    <row r="248" spans="2:10">
      <c r="B248" s="224"/>
      <c r="C248" s="225">
        <f>Dat_02!B247</f>
        <v>44865</v>
      </c>
      <c r="D248" s="224"/>
      <c r="E248" s="226">
        <f>Dat_02!C247</f>
        <v>56.191996070324414</v>
      </c>
      <c r="F248" s="226">
        <f>Dat_02!D247</f>
        <v>41.704179443866899</v>
      </c>
      <c r="G248" s="226">
        <f>Dat_02!E247</f>
        <v>41.704179443866899</v>
      </c>
      <c r="I248" s="227">
        <f>Dat_02!G247</f>
        <v>0</v>
      </c>
      <c r="J248" s="233" t="str">
        <f>IF(Dat_02!H247=0,"",Dat_02!H247)</f>
        <v/>
      </c>
    </row>
    <row r="249" spans="2:10">
      <c r="B249" s="224" t="s">
        <v>184</v>
      </c>
      <c r="C249" s="225">
        <f>Dat_02!B248</f>
        <v>44866</v>
      </c>
      <c r="D249" s="224"/>
      <c r="E249" s="226">
        <f>Dat_02!C248</f>
        <v>55.130181238325342</v>
      </c>
      <c r="F249" s="226">
        <f>Dat_02!D248</f>
        <v>83.437278222405467</v>
      </c>
      <c r="G249" s="226">
        <f>Dat_02!E248</f>
        <v>55.130181238325342</v>
      </c>
      <c r="I249" s="227">
        <f>Dat_02!G248</f>
        <v>0</v>
      </c>
      <c r="J249" s="233" t="str">
        <f>IF(Dat_02!H248=0,"",Dat_02!H248)</f>
        <v/>
      </c>
    </row>
    <row r="250" spans="2:10">
      <c r="B250" s="224"/>
      <c r="C250" s="225">
        <f>Dat_02!B249</f>
        <v>44867</v>
      </c>
      <c r="D250" s="224"/>
      <c r="E250" s="226">
        <f>Dat_02!C249</f>
        <v>48.506123542046467</v>
      </c>
      <c r="F250" s="226">
        <f>Dat_02!D249</f>
        <v>83.437278222405467</v>
      </c>
      <c r="G250" s="226">
        <f>Dat_02!E249</f>
        <v>48.506123542046467</v>
      </c>
      <c r="I250" s="227">
        <f>Dat_02!G249</f>
        <v>0</v>
      </c>
      <c r="J250" s="233" t="str">
        <f>IF(Dat_02!H249=0,"",Dat_02!H249)</f>
        <v/>
      </c>
    </row>
    <row r="251" spans="2:10">
      <c r="B251" s="224"/>
      <c r="C251" s="225">
        <f>Dat_02!B250</f>
        <v>44868</v>
      </c>
      <c r="D251" s="224"/>
      <c r="E251" s="226">
        <f>Dat_02!C250</f>
        <v>49.718320378047402</v>
      </c>
      <c r="F251" s="226">
        <f>Dat_02!D250</f>
        <v>83.437278222405467</v>
      </c>
      <c r="G251" s="226">
        <f>Dat_02!E250</f>
        <v>49.718320378047402</v>
      </c>
      <c r="I251" s="227">
        <f>Dat_02!G250</f>
        <v>0</v>
      </c>
      <c r="J251" s="233" t="str">
        <f>IF(Dat_02!H250=0,"",Dat_02!H250)</f>
        <v/>
      </c>
    </row>
    <row r="252" spans="2:10">
      <c r="B252" s="224"/>
      <c r="C252" s="225">
        <f>Dat_02!B251</f>
        <v>44869</v>
      </c>
      <c r="D252" s="224"/>
      <c r="E252" s="226">
        <f>Dat_02!C251</f>
        <v>46.650063326046464</v>
      </c>
      <c r="F252" s="226">
        <f>Dat_02!D251</f>
        <v>83.437278222405467</v>
      </c>
      <c r="G252" s="226">
        <f>Dat_02!E251</f>
        <v>46.650063326046464</v>
      </c>
      <c r="I252" s="227">
        <f>Dat_02!G251</f>
        <v>0</v>
      </c>
      <c r="J252" s="233" t="str">
        <f>IF(Dat_02!H251=0,"",Dat_02!H251)</f>
        <v/>
      </c>
    </row>
    <row r="253" spans="2:10">
      <c r="B253" s="224"/>
      <c r="C253" s="225">
        <f>Dat_02!B252</f>
        <v>44870</v>
      </c>
      <c r="D253" s="224"/>
      <c r="E253" s="226">
        <f>Dat_02!C252</f>
        <v>40.67551791804739</v>
      </c>
      <c r="F253" s="226">
        <f>Dat_02!D252</f>
        <v>83.437278222405467</v>
      </c>
      <c r="G253" s="226">
        <f>Dat_02!E252</f>
        <v>40.67551791804739</v>
      </c>
      <c r="I253" s="227">
        <f>Dat_02!G252</f>
        <v>0</v>
      </c>
      <c r="J253" s="233" t="str">
        <f>IF(Dat_02!H252=0,"",Dat_02!H252)</f>
        <v/>
      </c>
    </row>
    <row r="254" spans="2:10">
      <c r="B254" s="224"/>
      <c r="C254" s="225">
        <f>Dat_02!B253</f>
        <v>44871</v>
      </c>
      <c r="D254" s="224"/>
      <c r="E254" s="226">
        <f>Dat_02!C253</f>
        <v>40.382972262046458</v>
      </c>
      <c r="F254" s="226">
        <f>Dat_02!D253</f>
        <v>83.437278222405467</v>
      </c>
      <c r="G254" s="226">
        <f>Dat_02!E253</f>
        <v>40.382972262046458</v>
      </c>
      <c r="I254" s="227">
        <f>Dat_02!G253</f>
        <v>0</v>
      </c>
      <c r="J254" s="233" t="str">
        <f>IF(Dat_02!H253=0,"",Dat_02!H253)</f>
        <v/>
      </c>
    </row>
    <row r="255" spans="2:10">
      <c r="B255" s="224"/>
      <c r="C255" s="225">
        <f>Dat_02!B254</f>
        <v>44872</v>
      </c>
      <c r="D255" s="224"/>
      <c r="E255" s="226">
        <f>Dat_02!C254</f>
        <v>48.894716262047396</v>
      </c>
      <c r="F255" s="226">
        <f>Dat_02!D254</f>
        <v>83.437278222405467</v>
      </c>
      <c r="G255" s="226">
        <f>Dat_02!E254</f>
        <v>48.894716262047396</v>
      </c>
      <c r="I255" s="227">
        <f>Dat_02!G254</f>
        <v>0</v>
      </c>
      <c r="J255" s="233" t="str">
        <f>IF(Dat_02!H254=0,"",Dat_02!H254)</f>
        <v/>
      </c>
    </row>
    <row r="256" spans="2:10">
      <c r="B256" s="224"/>
      <c r="C256" s="225">
        <f>Dat_02!B255</f>
        <v>44873</v>
      </c>
      <c r="D256" s="224"/>
      <c r="E256" s="226">
        <f>Dat_02!C255</f>
        <v>44.898839198047398</v>
      </c>
      <c r="F256" s="226">
        <f>Dat_02!D255</f>
        <v>83.437278222405467</v>
      </c>
      <c r="G256" s="226">
        <f>Dat_02!E255</f>
        <v>44.898839198047398</v>
      </c>
      <c r="I256" s="227">
        <f>Dat_02!G255</f>
        <v>0</v>
      </c>
      <c r="J256" s="233" t="str">
        <f>IF(Dat_02!H255=0,"",Dat_02!H255)</f>
        <v/>
      </c>
    </row>
    <row r="257" spans="2:10">
      <c r="B257" s="224"/>
      <c r="C257" s="225">
        <f>Dat_02!B256</f>
        <v>44874</v>
      </c>
      <c r="D257" s="224"/>
      <c r="E257" s="226">
        <f>Dat_02!C256</f>
        <v>40.248126950567581</v>
      </c>
      <c r="F257" s="226">
        <f>Dat_02!D256</f>
        <v>83.437278222405467</v>
      </c>
      <c r="G257" s="226">
        <f>Dat_02!E256</f>
        <v>40.248126950567581</v>
      </c>
      <c r="I257" s="227">
        <f>Dat_02!G256</f>
        <v>0</v>
      </c>
      <c r="J257" s="233" t="str">
        <f>IF(Dat_02!H256=0,"",Dat_02!H256)</f>
        <v/>
      </c>
    </row>
    <row r="258" spans="2:10">
      <c r="B258" s="224"/>
      <c r="C258" s="225">
        <f>Dat_02!B257</f>
        <v>44875</v>
      </c>
      <c r="D258" s="224"/>
      <c r="E258" s="226">
        <f>Dat_02!C257</f>
        <v>42.249594190569447</v>
      </c>
      <c r="F258" s="226">
        <f>Dat_02!D257</f>
        <v>83.437278222405467</v>
      </c>
      <c r="G258" s="226">
        <f>Dat_02!E257</f>
        <v>42.249594190569447</v>
      </c>
      <c r="I258" s="227">
        <f>Dat_02!G257</f>
        <v>0</v>
      </c>
      <c r="J258" s="233" t="str">
        <f>IF(Dat_02!H257=0,"",Dat_02!H257)</f>
        <v/>
      </c>
    </row>
    <row r="259" spans="2:10">
      <c r="B259" s="224"/>
      <c r="C259" s="225">
        <f>Dat_02!B258</f>
        <v>44876</v>
      </c>
      <c r="D259" s="224"/>
      <c r="E259" s="226">
        <f>Dat_02!C258</f>
        <v>35.319905954567588</v>
      </c>
      <c r="F259" s="226">
        <f>Dat_02!D258</f>
        <v>83.437278222405467</v>
      </c>
      <c r="G259" s="226">
        <f>Dat_02!E258</f>
        <v>35.319905954567588</v>
      </c>
      <c r="I259" s="227">
        <f>Dat_02!G258</f>
        <v>0</v>
      </c>
      <c r="J259" s="233" t="str">
        <f>IF(Dat_02!H258=0,"",Dat_02!H258)</f>
        <v/>
      </c>
    </row>
    <row r="260" spans="2:10">
      <c r="B260" s="224"/>
      <c r="C260" s="225">
        <f>Dat_02!B259</f>
        <v>44877</v>
      </c>
      <c r="D260" s="224"/>
      <c r="E260" s="226">
        <f>Dat_02!C259</f>
        <v>33.268927706570381</v>
      </c>
      <c r="F260" s="226">
        <f>Dat_02!D259</f>
        <v>83.437278222405467</v>
      </c>
      <c r="G260" s="226">
        <f>Dat_02!E259</f>
        <v>33.268927706570381</v>
      </c>
      <c r="I260" s="227">
        <f>Dat_02!G259</f>
        <v>0</v>
      </c>
      <c r="J260" s="233" t="str">
        <f>IF(Dat_02!H259=0,"",Dat_02!H259)</f>
        <v/>
      </c>
    </row>
    <row r="261" spans="2:10">
      <c r="B261" s="224"/>
      <c r="C261" s="225">
        <f>Dat_02!B260</f>
        <v>44878</v>
      </c>
      <c r="D261" s="224"/>
      <c r="E261" s="226">
        <f>Dat_02!C260</f>
        <v>36.046191154565719</v>
      </c>
      <c r="F261" s="226">
        <f>Dat_02!D260</f>
        <v>83.437278222405467</v>
      </c>
      <c r="G261" s="226">
        <f>Dat_02!E260</f>
        <v>36.046191154565719</v>
      </c>
      <c r="I261" s="227">
        <f>Dat_02!G260</f>
        <v>0</v>
      </c>
      <c r="J261" s="233" t="str">
        <f>IF(Dat_02!H260=0,"",Dat_02!H260)</f>
        <v/>
      </c>
    </row>
    <row r="262" spans="2:10">
      <c r="B262" s="224"/>
      <c r="C262" s="225">
        <f>Dat_02!B261</f>
        <v>44879</v>
      </c>
      <c r="D262" s="224"/>
      <c r="E262" s="226">
        <f>Dat_02!C261</f>
        <v>40.401686802569451</v>
      </c>
      <c r="F262" s="226">
        <f>Dat_02!D261</f>
        <v>83.437278222405467</v>
      </c>
      <c r="G262" s="226">
        <f>Dat_02!E261</f>
        <v>40.401686802569451</v>
      </c>
      <c r="I262" s="227">
        <f>Dat_02!G261</f>
        <v>0</v>
      </c>
      <c r="J262" s="233" t="str">
        <f>IF(Dat_02!H261=0,"",Dat_02!H261)</f>
        <v/>
      </c>
    </row>
    <row r="263" spans="2:10">
      <c r="B263" s="224"/>
      <c r="C263" s="225">
        <f>Dat_02!B262</f>
        <v>44880</v>
      </c>
      <c r="D263" s="224"/>
      <c r="E263" s="226">
        <f>Dat_02!C262</f>
        <v>36.647924542569449</v>
      </c>
      <c r="F263" s="226">
        <f>Dat_02!D262</f>
        <v>83.437278222405467</v>
      </c>
      <c r="G263" s="226">
        <f>Dat_02!E262</f>
        <v>36.647924542569449</v>
      </c>
      <c r="I263" s="227">
        <f>Dat_02!G262</f>
        <v>83.437278222405467</v>
      </c>
      <c r="J263" s="233" t="str">
        <f>IF(Dat_02!H262=0,"",Dat_02!H262)</f>
        <v/>
      </c>
    </row>
    <row r="264" spans="2:10">
      <c r="B264" s="224"/>
      <c r="C264" s="225">
        <f>Dat_02!B263</f>
        <v>44881</v>
      </c>
      <c r="D264" s="224"/>
      <c r="E264" s="226">
        <f>Dat_02!C263</f>
        <v>50.92107846073597</v>
      </c>
      <c r="F264" s="226">
        <f>Dat_02!D263</f>
        <v>83.437278222405467</v>
      </c>
      <c r="G264" s="226">
        <f>Dat_02!E263</f>
        <v>50.92107846073597</v>
      </c>
      <c r="I264" s="227">
        <f>Dat_02!G263</f>
        <v>0</v>
      </c>
      <c r="J264" s="233" t="str">
        <f>IF(Dat_02!H263=0,"",Dat_02!H263)</f>
        <v/>
      </c>
    </row>
    <row r="265" spans="2:10">
      <c r="B265" s="224"/>
      <c r="C265" s="225">
        <f>Dat_02!B264</f>
        <v>44882</v>
      </c>
      <c r="D265" s="224"/>
      <c r="E265" s="226">
        <f>Dat_02!C264</f>
        <v>54.079362809736899</v>
      </c>
      <c r="F265" s="226">
        <f>Dat_02!D264</f>
        <v>83.437278222405467</v>
      </c>
      <c r="G265" s="226">
        <f>Dat_02!E264</f>
        <v>54.079362809736899</v>
      </c>
      <c r="I265" s="227">
        <f>Dat_02!G264</f>
        <v>0</v>
      </c>
      <c r="J265" s="233" t="str">
        <f>IF(Dat_02!H264=0,"",Dat_02!H264)</f>
        <v/>
      </c>
    </row>
    <row r="266" spans="2:10">
      <c r="B266" s="224"/>
      <c r="C266" s="225">
        <f>Dat_02!B265</f>
        <v>44883</v>
      </c>
      <c r="D266" s="224"/>
      <c r="E266" s="226">
        <f>Dat_02!C265</f>
        <v>62.311454867738767</v>
      </c>
      <c r="F266" s="226">
        <f>Dat_02!D265</f>
        <v>83.437278222405467</v>
      </c>
      <c r="G266" s="226">
        <f>Dat_02!E265</f>
        <v>62.311454867738767</v>
      </c>
      <c r="I266" s="227">
        <f>Dat_02!G265</f>
        <v>0</v>
      </c>
      <c r="J266" s="233" t="str">
        <f>IF(Dat_02!H265=0,"",Dat_02!H265)</f>
        <v/>
      </c>
    </row>
    <row r="267" spans="2:10">
      <c r="B267" s="224"/>
      <c r="C267" s="225">
        <f>Dat_02!B266</f>
        <v>44884</v>
      </c>
      <c r="D267" s="224"/>
      <c r="E267" s="226">
        <f>Dat_02!C266</f>
        <v>54.486124876736902</v>
      </c>
      <c r="F267" s="226">
        <f>Dat_02!D266</f>
        <v>83.437278222405467</v>
      </c>
      <c r="G267" s="226">
        <f>Dat_02!E266</f>
        <v>54.486124876736902</v>
      </c>
      <c r="I267" s="227">
        <f>Dat_02!G266</f>
        <v>0</v>
      </c>
      <c r="J267" s="233" t="str">
        <f>IF(Dat_02!H266=0,"",Dat_02!H266)</f>
        <v/>
      </c>
    </row>
    <row r="268" spans="2:10">
      <c r="B268" s="224"/>
      <c r="C268" s="225">
        <f>Dat_02!B267</f>
        <v>44885</v>
      </c>
      <c r="D268" s="224"/>
      <c r="E268" s="226">
        <f>Dat_02!C267</f>
        <v>53.590608580737836</v>
      </c>
      <c r="F268" s="226">
        <f>Dat_02!D267</f>
        <v>83.437278222405467</v>
      </c>
      <c r="G268" s="226">
        <f>Dat_02!E267</f>
        <v>53.590608580737836</v>
      </c>
      <c r="I268" s="227">
        <f>Dat_02!G267</f>
        <v>0</v>
      </c>
      <c r="J268" s="233" t="str">
        <f>IF(Dat_02!H267=0,"",Dat_02!H267)</f>
        <v/>
      </c>
    </row>
    <row r="269" spans="2:10">
      <c r="B269" s="224"/>
      <c r="C269" s="225">
        <f>Dat_02!B268</f>
        <v>44886</v>
      </c>
      <c r="D269" s="224"/>
      <c r="E269" s="226">
        <f>Dat_02!C268</f>
        <v>62.19546324073783</v>
      </c>
      <c r="F269" s="226">
        <f>Dat_02!D268</f>
        <v>83.437278222405467</v>
      </c>
      <c r="G269" s="226">
        <f>Dat_02!E268</f>
        <v>62.19546324073783</v>
      </c>
      <c r="I269" s="227">
        <f>Dat_02!G268</f>
        <v>0</v>
      </c>
      <c r="J269" s="233" t="str">
        <f>IF(Dat_02!H268=0,"",Dat_02!H268)</f>
        <v/>
      </c>
    </row>
    <row r="270" spans="2:10">
      <c r="B270" s="224"/>
      <c r="C270" s="225">
        <f>Dat_02!B269</f>
        <v>44887</v>
      </c>
      <c r="D270" s="224"/>
      <c r="E270" s="226">
        <f>Dat_02!C269</f>
        <v>73.662484316736894</v>
      </c>
      <c r="F270" s="226">
        <f>Dat_02!D269</f>
        <v>83.437278222405467</v>
      </c>
      <c r="G270" s="226">
        <f>Dat_02!E269</f>
        <v>73.662484316736894</v>
      </c>
      <c r="I270" s="227">
        <f>Dat_02!G269</f>
        <v>0</v>
      </c>
      <c r="J270" s="233" t="str">
        <f>IF(Dat_02!H269=0,"",Dat_02!H269)</f>
        <v/>
      </c>
    </row>
    <row r="271" spans="2:10">
      <c r="B271" s="224"/>
      <c r="C271" s="225">
        <f>Dat_02!B270</f>
        <v>44888</v>
      </c>
      <c r="D271" s="224"/>
      <c r="E271" s="226">
        <f>Dat_02!C270</f>
        <v>133.01293763312782</v>
      </c>
      <c r="F271" s="226">
        <f>Dat_02!D270</f>
        <v>83.437278222405467</v>
      </c>
      <c r="G271" s="226">
        <f>Dat_02!E270</f>
        <v>83.437278222405467</v>
      </c>
      <c r="I271" s="227">
        <f>Dat_02!G270</f>
        <v>0</v>
      </c>
      <c r="J271" s="233" t="str">
        <f>IF(Dat_02!H270=0,"",Dat_02!H270)</f>
        <v/>
      </c>
    </row>
    <row r="272" spans="2:10">
      <c r="B272" s="224"/>
      <c r="C272" s="225">
        <f>Dat_02!B271</f>
        <v>44889</v>
      </c>
      <c r="D272" s="224"/>
      <c r="E272" s="226">
        <f>Dat_02!C271</f>
        <v>146.37909403312969</v>
      </c>
      <c r="F272" s="226">
        <f>Dat_02!D271</f>
        <v>83.437278222405467</v>
      </c>
      <c r="G272" s="226">
        <f>Dat_02!E271</f>
        <v>83.437278222405467</v>
      </c>
      <c r="I272" s="227">
        <f>Dat_02!G271</f>
        <v>0</v>
      </c>
      <c r="J272" s="233" t="str">
        <f>IF(Dat_02!H271=0,"",Dat_02!H271)</f>
        <v/>
      </c>
    </row>
    <row r="273" spans="2:10">
      <c r="B273" s="224"/>
      <c r="C273" s="225">
        <f>Dat_02!B272</f>
        <v>44890</v>
      </c>
      <c r="D273" s="224"/>
      <c r="E273" s="226">
        <f>Dat_02!C272</f>
        <v>139.10208684112686</v>
      </c>
      <c r="F273" s="226">
        <f>Dat_02!D272</f>
        <v>83.437278222405467</v>
      </c>
      <c r="G273" s="226">
        <f>Dat_02!E272</f>
        <v>83.437278222405467</v>
      </c>
      <c r="I273" s="227">
        <f>Dat_02!G272</f>
        <v>0</v>
      </c>
      <c r="J273" s="233" t="str">
        <f>IF(Dat_02!H272=0,"",Dat_02!H272)</f>
        <v/>
      </c>
    </row>
    <row r="274" spans="2:10">
      <c r="B274" s="224"/>
      <c r="C274" s="225">
        <f>Dat_02!B273</f>
        <v>44891</v>
      </c>
      <c r="D274" s="224"/>
      <c r="E274" s="226">
        <f>Dat_02!C273</f>
        <v>145.09204238912872</v>
      </c>
      <c r="F274" s="226">
        <f>Dat_02!D273</f>
        <v>83.437278222405467</v>
      </c>
      <c r="G274" s="226">
        <f>Dat_02!E273</f>
        <v>83.437278222405467</v>
      </c>
      <c r="I274" s="227">
        <f>Dat_02!G273</f>
        <v>0</v>
      </c>
      <c r="J274" s="233" t="str">
        <f>IF(Dat_02!H273=0,"",Dat_02!H273)</f>
        <v/>
      </c>
    </row>
    <row r="275" spans="2:10">
      <c r="B275" s="224"/>
      <c r="C275" s="225">
        <f>Dat_02!B274</f>
        <v>44892</v>
      </c>
      <c r="D275" s="224"/>
      <c r="E275" s="226">
        <f>Dat_02!C274</f>
        <v>137.68673816912781</v>
      </c>
      <c r="F275" s="226">
        <f>Dat_02!D274</f>
        <v>83.437278222405467</v>
      </c>
      <c r="G275" s="226">
        <f>Dat_02!E274</f>
        <v>83.437278222405467</v>
      </c>
      <c r="I275" s="227">
        <f>Dat_02!G274</f>
        <v>0</v>
      </c>
      <c r="J275" s="233" t="str">
        <f>IF(Dat_02!H274=0,"",Dat_02!H274)</f>
        <v/>
      </c>
    </row>
    <row r="276" spans="2:10">
      <c r="B276" s="224"/>
      <c r="C276" s="225">
        <f>Dat_02!B275</f>
        <v>44893</v>
      </c>
      <c r="D276" s="224"/>
      <c r="E276" s="226">
        <f>Dat_02!C275</f>
        <v>124.79451112512781</v>
      </c>
      <c r="F276" s="226">
        <f>Dat_02!D275</f>
        <v>83.437278222405467</v>
      </c>
      <c r="G276" s="226">
        <f>Dat_02!E275</f>
        <v>83.437278222405467</v>
      </c>
      <c r="I276" s="227">
        <f>Dat_02!G275</f>
        <v>0</v>
      </c>
      <c r="J276" s="233" t="str">
        <f>IF(Dat_02!H275=0,"",Dat_02!H275)</f>
        <v/>
      </c>
    </row>
    <row r="277" spans="2:10">
      <c r="B277" s="224"/>
      <c r="C277" s="225">
        <f>Dat_02!B276</f>
        <v>44894</v>
      </c>
      <c r="D277" s="224"/>
      <c r="E277" s="226">
        <f>Dat_02!C276</f>
        <v>157.05292319312778</v>
      </c>
      <c r="F277" s="226">
        <f>Dat_02!D276</f>
        <v>83.437278222405467</v>
      </c>
      <c r="G277" s="226">
        <f>Dat_02!E276</f>
        <v>83.437278222405467</v>
      </c>
      <c r="I277" s="227">
        <f>Dat_02!G276</f>
        <v>0</v>
      </c>
      <c r="J277" s="233" t="str">
        <f>IF(Dat_02!H276=0,"",Dat_02!H276)</f>
        <v/>
      </c>
    </row>
    <row r="278" spans="2:10">
      <c r="B278" s="224"/>
      <c r="C278" s="225">
        <f>Dat_02!B277</f>
        <v>44895</v>
      </c>
      <c r="D278" s="224"/>
      <c r="E278" s="226">
        <f>Dat_02!C277</f>
        <v>78.135611493811084</v>
      </c>
      <c r="F278" s="226">
        <f>Dat_02!D277</f>
        <v>83.437278222405467</v>
      </c>
      <c r="G278" s="226">
        <f>Dat_02!E277</f>
        <v>78.135611493811084</v>
      </c>
      <c r="I278" s="227">
        <f>Dat_02!G277</f>
        <v>0</v>
      </c>
      <c r="J278" s="233" t="str">
        <f>IF(Dat_02!H277=0,"",Dat_02!H277)</f>
        <v/>
      </c>
    </row>
    <row r="279" spans="2:10">
      <c r="B279" s="224"/>
      <c r="C279" s="225">
        <f>Dat_02!B278</f>
        <v>44896</v>
      </c>
      <c r="D279" s="224"/>
      <c r="E279" s="226">
        <f>Dat_02!C278</f>
        <v>70.928567722812019</v>
      </c>
      <c r="F279" s="226">
        <f>Dat_02!D278</f>
        <v>108.10243370537623</v>
      </c>
      <c r="G279" s="226">
        <f>Dat_02!E278</f>
        <v>70.928567722812019</v>
      </c>
      <c r="I279" s="227">
        <f>Dat_02!G278</f>
        <v>0</v>
      </c>
      <c r="J279" s="233" t="str">
        <f>IF(Dat_02!H278=0,"",Dat_02!H278)</f>
        <v/>
      </c>
    </row>
    <row r="280" spans="2:10">
      <c r="B280" s="224" t="s">
        <v>198</v>
      </c>
      <c r="C280" s="225">
        <f>Dat_02!B279</f>
        <v>44897</v>
      </c>
      <c r="D280" s="224"/>
      <c r="E280" s="226">
        <f>Dat_02!C279</f>
        <v>76.552537708811087</v>
      </c>
      <c r="F280" s="226">
        <f>Dat_02!D279</f>
        <v>108.10243370537623</v>
      </c>
      <c r="G280" s="226">
        <f>Dat_02!E279</f>
        <v>76.552537708811087</v>
      </c>
      <c r="I280" s="227">
        <f>Dat_02!G279</f>
        <v>0</v>
      </c>
      <c r="J280" s="233" t="str">
        <f>IF(Dat_02!H279=0,"",Dat_02!H279)</f>
        <v/>
      </c>
    </row>
    <row r="281" spans="2:10">
      <c r="B281" s="224"/>
      <c r="C281" s="225">
        <f>Dat_02!B280</f>
        <v>44898</v>
      </c>
      <c r="D281" s="224"/>
      <c r="E281" s="226">
        <f>Dat_02!C280</f>
        <v>79.19663666181016</v>
      </c>
      <c r="F281" s="226">
        <f>Dat_02!D280</f>
        <v>108.10243370537623</v>
      </c>
      <c r="G281" s="226">
        <f>Dat_02!E280</f>
        <v>79.19663666181016</v>
      </c>
      <c r="I281" s="227">
        <f>Dat_02!G280</f>
        <v>0</v>
      </c>
      <c r="J281" s="233" t="str">
        <f>IF(Dat_02!H280=0,"",Dat_02!H280)</f>
        <v/>
      </c>
    </row>
    <row r="282" spans="2:10">
      <c r="B282" s="224"/>
      <c r="C282" s="225">
        <f>Dat_02!B281</f>
        <v>44899</v>
      </c>
      <c r="D282" s="224"/>
      <c r="E282" s="226">
        <f>Dat_02!C281</f>
        <v>77.386342661811085</v>
      </c>
      <c r="F282" s="226">
        <f>Dat_02!D281</f>
        <v>108.10243370537623</v>
      </c>
      <c r="G282" s="226">
        <f>Dat_02!E281</f>
        <v>77.386342661811085</v>
      </c>
      <c r="I282" s="227">
        <f>Dat_02!G281</f>
        <v>0</v>
      </c>
      <c r="J282" s="233" t="str">
        <f>IF(Dat_02!H281=0,"",Dat_02!H281)</f>
        <v/>
      </c>
    </row>
    <row r="283" spans="2:10">
      <c r="B283" s="224"/>
      <c r="C283" s="225">
        <f>Dat_02!B282</f>
        <v>44900</v>
      </c>
      <c r="D283" s="224"/>
      <c r="E283" s="226">
        <f>Dat_02!C282</f>
        <v>74.9116890218111</v>
      </c>
      <c r="F283" s="226">
        <f>Dat_02!D282</f>
        <v>108.10243370537623</v>
      </c>
      <c r="G283" s="226">
        <f>Dat_02!E282</f>
        <v>74.9116890218111</v>
      </c>
      <c r="I283" s="227">
        <f>Dat_02!G282</f>
        <v>0</v>
      </c>
      <c r="J283" s="233" t="str">
        <f>IF(Dat_02!H282=0,"",Dat_02!H282)</f>
        <v/>
      </c>
    </row>
    <row r="284" spans="2:10">
      <c r="B284" s="224"/>
      <c r="C284" s="225">
        <f>Dat_02!B283</f>
        <v>44901</v>
      </c>
      <c r="D284" s="224"/>
      <c r="E284" s="226">
        <f>Dat_02!C283</f>
        <v>73.992880701812012</v>
      </c>
      <c r="F284" s="226">
        <f>Dat_02!D283</f>
        <v>108.10243370537623</v>
      </c>
      <c r="G284" s="226">
        <f>Dat_02!E283</f>
        <v>73.992880701812012</v>
      </c>
      <c r="I284" s="227">
        <f>Dat_02!G283</f>
        <v>0</v>
      </c>
      <c r="J284" s="233" t="str">
        <f>IF(Dat_02!H283=0,"",Dat_02!H283)</f>
        <v/>
      </c>
    </row>
    <row r="285" spans="2:10">
      <c r="B285" s="224"/>
      <c r="C285" s="225">
        <f>Dat_02!B284</f>
        <v>44902</v>
      </c>
      <c r="D285" s="224"/>
      <c r="E285" s="226">
        <f>Dat_02!C284</f>
        <v>83.487556462748103</v>
      </c>
      <c r="F285" s="226">
        <f>Dat_02!D284</f>
        <v>108.10243370537623</v>
      </c>
      <c r="G285" s="226">
        <f>Dat_02!E284</f>
        <v>83.487556462748103</v>
      </c>
      <c r="I285" s="227">
        <f>Dat_02!G284</f>
        <v>0</v>
      </c>
      <c r="J285" s="233" t="str">
        <f>IF(Dat_02!H284=0,"",Dat_02!H284)</f>
        <v/>
      </c>
    </row>
    <row r="286" spans="2:10">
      <c r="B286" s="224"/>
      <c r="C286" s="225">
        <f>Dat_02!B285</f>
        <v>44903</v>
      </c>
      <c r="D286" s="224"/>
      <c r="E286" s="226">
        <f>Dat_02!C285</f>
        <v>78.386562502751829</v>
      </c>
      <c r="F286" s="226">
        <f>Dat_02!D285</f>
        <v>108.10243370537623</v>
      </c>
      <c r="G286" s="226">
        <f>Dat_02!E285</f>
        <v>78.386562502751829</v>
      </c>
      <c r="I286" s="227">
        <f>Dat_02!G285</f>
        <v>0</v>
      </c>
      <c r="J286" s="233" t="str">
        <f>IF(Dat_02!H285=0,"",Dat_02!H285)</f>
        <v/>
      </c>
    </row>
    <row r="287" spans="2:10">
      <c r="B287" s="224"/>
      <c r="C287" s="225">
        <f>Dat_02!B286</f>
        <v>44904</v>
      </c>
      <c r="D287" s="224"/>
      <c r="E287" s="226">
        <f>Dat_02!C286</f>
        <v>81.364727742749963</v>
      </c>
      <c r="F287" s="226">
        <f>Dat_02!D286</f>
        <v>108.10243370537623</v>
      </c>
      <c r="G287" s="226">
        <f>Dat_02!E286</f>
        <v>81.364727742749963</v>
      </c>
      <c r="I287" s="227">
        <f>Dat_02!G286</f>
        <v>0</v>
      </c>
      <c r="J287" s="233" t="str">
        <f>IF(Dat_02!H286=0,"",Dat_02!H286)</f>
        <v/>
      </c>
    </row>
    <row r="288" spans="2:10">
      <c r="B288" s="224"/>
      <c r="C288" s="225">
        <f>Dat_02!B287</f>
        <v>44905</v>
      </c>
      <c r="D288" s="224"/>
      <c r="E288" s="226">
        <f>Dat_02!C287</f>
        <v>65.846046131749958</v>
      </c>
      <c r="F288" s="226">
        <f>Dat_02!D287</f>
        <v>108.10243370537623</v>
      </c>
      <c r="G288" s="226">
        <f>Dat_02!E287</f>
        <v>65.846046131749958</v>
      </c>
      <c r="I288" s="227">
        <f>Dat_02!G287</f>
        <v>0</v>
      </c>
      <c r="J288" s="233" t="str">
        <f>IF(Dat_02!H287=0,"",Dat_02!H287)</f>
        <v/>
      </c>
    </row>
    <row r="289" spans="2:10">
      <c r="B289" s="224"/>
      <c r="C289" s="225">
        <f>Dat_02!B288</f>
        <v>44906</v>
      </c>
      <c r="D289" s="224"/>
      <c r="E289" s="226">
        <f>Dat_02!C288</f>
        <v>67.880276181749039</v>
      </c>
      <c r="F289" s="226">
        <f>Dat_02!D288</f>
        <v>108.10243370537623</v>
      </c>
      <c r="G289" s="226">
        <f>Dat_02!E288</f>
        <v>67.880276181749039</v>
      </c>
      <c r="I289" s="227">
        <f>Dat_02!G288</f>
        <v>0</v>
      </c>
      <c r="J289" s="233" t="str">
        <f>IF(Dat_02!H288=0,"",Dat_02!H288)</f>
        <v/>
      </c>
    </row>
    <row r="290" spans="2:10">
      <c r="B290" s="224"/>
      <c r="C290" s="225">
        <f>Dat_02!B289</f>
        <v>44907</v>
      </c>
      <c r="D290" s="224"/>
      <c r="E290" s="226">
        <f>Dat_02!C289</f>
        <v>74.291155034749977</v>
      </c>
      <c r="F290" s="226">
        <f>Dat_02!D289</f>
        <v>108.10243370537623</v>
      </c>
      <c r="G290" s="226">
        <f>Dat_02!E289</f>
        <v>74.291155034749977</v>
      </c>
      <c r="I290" s="227">
        <f>Dat_02!G289</f>
        <v>0</v>
      </c>
      <c r="J290" s="233" t="str">
        <f>IF(Dat_02!H289=0,"",Dat_02!H289)</f>
        <v/>
      </c>
    </row>
    <row r="291" spans="2:10">
      <c r="B291" s="224"/>
      <c r="C291" s="225">
        <f>Dat_02!B290</f>
        <v>44908</v>
      </c>
      <c r="D291" s="224"/>
      <c r="E291" s="226">
        <f>Dat_02!C290</f>
        <v>101.93849131074995</v>
      </c>
      <c r="F291" s="226">
        <f>Dat_02!D290</f>
        <v>108.10243370537623</v>
      </c>
      <c r="G291" s="226">
        <f>Dat_02!E290</f>
        <v>101.93849131074995</v>
      </c>
      <c r="I291" s="227">
        <f>Dat_02!G290</f>
        <v>0</v>
      </c>
      <c r="J291" s="233" t="str">
        <f>IF(Dat_02!H290=0,"",Dat_02!H290)</f>
        <v/>
      </c>
    </row>
    <row r="292" spans="2:10">
      <c r="B292" s="224"/>
      <c r="C292" s="225">
        <f>Dat_02!B291</f>
        <v>44909</v>
      </c>
      <c r="D292" s="224"/>
      <c r="E292" s="226">
        <f>Dat_02!C291</f>
        <v>289.97392061030251</v>
      </c>
      <c r="F292" s="226">
        <f>Dat_02!D291</f>
        <v>108.10243370537623</v>
      </c>
      <c r="G292" s="226">
        <f>Dat_02!E291</f>
        <v>108.10243370537623</v>
      </c>
      <c r="I292" s="227">
        <f>Dat_02!G291</f>
        <v>0</v>
      </c>
      <c r="J292" s="233" t="str">
        <f>IF(Dat_02!H291=0,"",Dat_02!H291)</f>
        <v/>
      </c>
    </row>
    <row r="293" spans="2:10">
      <c r="B293" s="224"/>
      <c r="C293" s="225">
        <f>Dat_02!B292</f>
        <v>44910</v>
      </c>
      <c r="D293" s="224"/>
      <c r="E293" s="226">
        <f>Dat_02!C292</f>
        <v>284.73792954630437</v>
      </c>
      <c r="F293" s="226">
        <f>Dat_02!D292</f>
        <v>108.10243370537623</v>
      </c>
      <c r="G293" s="226">
        <f>Dat_02!E292</f>
        <v>108.10243370537623</v>
      </c>
      <c r="I293" s="227">
        <f>Dat_02!G292</f>
        <v>108.10243370537623</v>
      </c>
      <c r="J293" s="233" t="str">
        <f>IF(Dat_02!H292=0,"",Dat_02!H292)</f>
        <v/>
      </c>
    </row>
    <row r="294" spans="2:10">
      <c r="B294" s="224"/>
      <c r="C294" s="225">
        <f>Dat_02!B293</f>
        <v>44911</v>
      </c>
      <c r="D294" s="224"/>
      <c r="E294" s="226">
        <f>Dat_02!C293</f>
        <v>307.97685631430346</v>
      </c>
      <c r="F294" s="226">
        <f>Dat_02!D293</f>
        <v>108.10243370537623</v>
      </c>
      <c r="G294" s="226">
        <f>Dat_02!E293</f>
        <v>108.10243370537623</v>
      </c>
      <c r="I294" s="227">
        <f>Dat_02!G293</f>
        <v>0</v>
      </c>
      <c r="J294" s="233" t="str">
        <f>IF(Dat_02!H293=0,"",Dat_02!H293)</f>
        <v/>
      </c>
    </row>
    <row r="295" spans="2:10">
      <c r="B295" s="224"/>
      <c r="C295" s="225">
        <f>Dat_02!B294</f>
        <v>44912</v>
      </c>
      <c r="D295" s="224"/>
      <c r="E295" s="226">
        <f>Dat_02!C294</f>
        <v>302.26623228230346</v>
      </c>
      <c r="F295" s="226">
        <f>Dat_02!D294</f>
        <v>108.10243370537623</v>
      </c>
      <c r="G295" s="226">
        <f>Dat_02!E294</f>
        <v>108.10243370537623</v>
      </c>
      <c r="I295" s="227">
        <f>Dat_02!G294</f>
        <v>0</v>
      </c>
      <c r="J295" s="233" t="str">
        <f>IF(Dat_02!H294=0,"",Dat_02!H294)</f>
        <v/>
      </c>
    </row>
    <row r="296" spans="2:10">
      <c r="B296" s="224"/>
      <c r="C296" s="225">
        <f>Dat_02!B295</f>
        <v>44913</v>
      </c>
      <c r="D296" s="224"/>
      <c r="E296" s="226">
        <f>Dat_02!C295</f>
        <v>247.9712209903025</v>
      </c>
      <c r="F296" s="226">
        <f>Dat_02!D295</f>
        <v>108.10243370537623</v>
      </c>
      <c r="G296" s="226">
        <f>Dat_02!E295</f>
        <v>108.10243370537623</v>
      </c>
      <c r="I296" s="227">
        <f>Dat_02!G295</f>
        <v>0</v>
      </c>
      <c r="J296" s="233" t="str">
        <f>IF(Dat_02!H295=0,"",Dat_02!H295)</f>
        <v/>
      </c>
    </row>
    <row r="297" spans="2:10">
      <c r="B297" s="224"/>
      <c r="C297" s="225">
        <f>Dat_02!B296</f>
        <v>44914</v>
      </c>
      <c r="D297" s="224"/>
      <c r="E297" s="226">
        <f>Dat_02!C296</f>
        <v>269.60022292630441</v>
      </c>
      <c r="F297" s="226">
        <f>Dat_02!D296</f>
        <v>108.10243370537623</v>
      </c>
      <c r="G297" s="226">
        <f>Dat_02!E296</f>
        <v>108.10243370537623</v>
      </c>
      <c r="I297" s="227">
        <f>Dat_02!G296</f>
        <v>0</v>
      </c>
      <c r="J297" s="233" t="str">
        <f>IF(Dat_02!H296=0,"",Dat_02!H296)</f>
        <v/>
      </c>
    </row>
    <row r="298" spans="2:10">
      <c r="B298" s="224"/>
      <c r="C298" s="225">
        <f>Dat_02!B297</f>
        <v>44915</v>
      </c>
      <c r="D298" s="224"/>
      <c r="E298" s="226">
        <f>Dat_02!C297</f>
        <v>283.5932388583044</v>
      </c>
      <c r="F298" s="226">
        <f>Dat_02!D297</f>
        <v>108.10243370537623</v>
      </c>
      <c r="G298" s="226">
        <f>Dat_02!E297</f>
        <v>108.10243370537623</v>
      </c>
      <c r="I298" s="227">
        <f>Dat_02!G297</f>
        <v>0</v>
      </c>
      <c r="J298" s="233" t="str">
        <f>IF(Dat_02!H297=0,"",Dat_02!H297)</f>
        <v/>
      </c>
    </row>
    <row r="299" spans="2:10">
      <c r="B299" s="224"/>
      <c r="C299" s="225">
        <f>Dat_02!B298</f>
        <v>44916</v>
      </c>
      <c r="D299" s="224"/>
      <c r="E299" s="226">
        <f>Dat_02!C298</f>
        <v>216.41231130322751</v>
      </c>
      <c r="F299" s="226">
        <f>Dat_02!D298</f>
        <v>108.10243370537623</v>
      </c>
      <c r="G299" s="226">
        <f>Dat_02!E298</f>
        <v>108.10243370537623</v>
      </c>
      <c r="I299" s="227">
        <f>Dat_02!G298</f>
        <v>0</v>
      </c>
      <c r="J299" s="233" t="str">
        <f>IF(Dat_02!H298=0,"",Dat_02!H298)</f>
        <v/>
      </c>
    </row>
    <row r="300" spans="2:10">
      <c r="B300" s="224"/>
      <c r="C300" s="225">
        <f>Dat_02!B299</f>
        <v>44917</v>
      </c>
      <c r="D300" s="224"/>
      <c r="E300" s="226">
        <f>Dat_02!C299</f>
        <v>231.06819202322563</v>
      </c>
      <c r="F300" s="226">
        <f>Dat_02!D299</f>
        <v>108.10243370537623</v>
      </c>
      <c r="G300" s="226">
        <f>Dat_02!E299</f>
        <v>108.10243370537623</v>
      </c>
      <c r="I300" s="227">
        <f>Dat_02!G299</f>
        <v>0</v>
      </c>
      <c r="J300" s="233" t="str">
        <f>IF(Dat_02!H299=0,"",Dat_02!H299)</f>
        <v/>
      </c>
    </row>
    <row r="301" spans="2:10">
      <c r="B301" s="224"/>
      <c r="C301" s="225">
        <f>Dat_02!B300</f>
        <v>44918</v>
      </c>
      <c r="D301" s="224"/>
      <c r="E301" s="226">
        <f>Dat_02!C300</f>
        <v>208.50973759122655</v>
      </c>
      <c r="F301" s="226">
        <f>Dat_02!D300</f>
        <v>108.10243370537623</v>
      </c>
      <c r="G301" s="226">
        <f>Dat_02!E300</f>
        <v>108.10243370537623</v>
      </c>
      <c r="I301" s="227">
        <f>Dat_02!G300</f>
        <v>0</v>
      </c>
      <c r="J301" s="233" t="str">
        <f>IF(Dat_02!H300=0,"",Dat_02!H300)</f>
        <v/>
      </c>
    </row>
    <row r="302" spans="2:10">
      <c r="B302" s="224"/>
      <c r="C302" s="225">
        <f>Dat_02!B301</f>
        <v>44919</v>
      </c>
      <c r="D302" s="224"/>
      <c r="E302" s="226">
        <f>Dat_02!C301</f>
        <v>181.46844320322654</v>
      </c>
      <c r="F302" s="226">
        <f>Dat_02!D301</f>
        <v>108.10243370537623</v>
      </c>
      <c r="G302" s="226">
        <f>Dat_02!E301</f>
        <v>108.10243370537623</v>
      </c>
      <c r="I302" s="227">
        <f>Dat_02!G301</f>
        <v>0</v>
      </c>
      <c r="J302" s="233" t="str">
        <f>IF(Dat_02!H301=0,"",Dat_02!H301)</f>
        <v/>
      </c>
    </row>
    <row r="303" spans="2:10">
      <c r="B303" s="224"/>
      <c r="C303" s="225">
        <f>Dat_02!B302</f>
        <v>44920</v>
      </c>
      <c r="D303" s="224"/>
      <c r="E303" s="226">
        <f>Dat_02!C302</f>
        <v>167.11491751522655</v>
      </c>
      <c r="F303" s="226">
        <f>Dat_02!D302</f>
        <v>108.10243370537623</v>
      </c>
      <c r="G303" s="226">
        <f>Dat_02!E302</f>
        <v>108.10243370537623</v>
      </c>
      <c r="I303" s="227">
        <f>Dat_02!G302</f>
        <v>0</v>
      </c>
      <c r="J303" s="233" t="str">
        <f>IF(Dat_02!H302=0,"",Dat_02!H302)</f>
        <v/>
      </c>
    </row>
    <row r="304" spans="2:10">
      <c r="B304" s="224"/>
      <c r="C304" s="225">
        <f>Dat_02!B303</f>
        <v>44921</v>
      </c>
      <c r="D304" s="224"/>
      <c r="E304" s="226">
        <f>Dat_02!C303</f>
        <v>204.13234757522562</v>
      </c>
      <c r="F304" s="226">
        <f>Dat_02!D303</f>
        <v>108.10243370537623</v>
      </c>
      <c r="G304" s="226">
        <f>Dat_02!E303</f>
        <v>108.10243370537623</v>
      </c>
      <c r="I304" s="227">
        <f>Dat_02!G303</f>
        <v>0</v>
      </c>
      <c r="J304" s="233" t="str">
        <f>IF(Dat_02!H303=0,"",Dat_02!H303)</f>
        <v/>
      </c>
    </row>
    <row r="305" spans="2:10">
      <c r="B305" s="224"/>
      <c r="C305" s="225">
        <f>Dat_02!B304</f>
        <v>44922</v>
      </c>
      <c r="D305" s="224"/>
      <c r="E305" s="226">
        <f>Dat_02!C304</f>
        <v>234.34795938322748</v>
      </c>
      <c r="F305" s="226">
        <f>Dat_02!D304</f>
        <v>108.10243370537623</v>
      </c>
      <c r="G305" s="226">
        <f>Dat_02!E304</f>
        <v>108.10243370537623</v>
      </c>
      <c r="I305" s="227">
        <f>Dat_02!G304</f>
        <v>0</v>
      </c>
      <c r="J305" s="233" t="str">
        <f>IF(Dat_02!H304=0,"",Dat_02!H304)</f>
        <v/>
      </c>
    </row>
    <row r="306" spans="2:10">
      <c r="B306" s="224"/>
      <c r="C306" s="225">
        <f>Dat_02!B305</f>
        <v>44923</v>
      </c>
      <c r="D306" s="224"/>
      <c r="E306" s="226">
        <f>Dat_02!C305</f>
        <v>193.8002134387624</v>
      </c>
      <c r="F306" s="226">
        <f>Dat_02!D305</f>
        <v>108.10243370537623</v>
      </c>
      <c r="G306" s="226">
        <f>Dat_02!E305</f>
        <v>108.10243370537623</v>
      </c>
      <c r="I306" s="227">
        <f>Dat_02!G305</f>
        <v>0</v>
      </c>
      <c r="J306" s="233" t="str">
        <f>IF(Dat_02!H305=0,"",Dat_02!H305)</f>
        <v/>
      </c>
    </row>
    <row r="307" spans="2:10">
      <c r="B307" s="224"/>
      <c r="C307" s="225">
        <f>Dat_02!B306</f>
        <v>44924</v>
      </c>
      <c r="D307" s="224"/>
      <c r="E307" s="226">
        <f>Dat_02!C306</f>
        <v>196.19100491875963</v>
      </c>
      <c r="F307" s="226">
        <f>Dat_02!D306</f>
        <v>108.10243370537623</v>
      </c>
      <c r="G307" s="226">
        <f>Dat_02!E306</f>
        <v>108.10243370537623</v>
      </c>
      <c r="I307" s="227">
        <f>Dat_02!G306</f>
        <v>0</v>
      </c>
      <c r="J307" s="233" t="str">
        <f>IF(Dat_02!H306=0,"",Dat_02!H306)</f>
        <v/>
      </c>
    </row>
    <row r="308" spans="2:10">
      <c r="B308" s="224" t="s">
        <v>199</v>
      </c>
      <c r="C308" s="225">
        <f>Dat_02!B307</f>
        <v>44925</v>
      </c>
      <c r="D308" s="224"/>
      <c r="E308" s="226">
        <f>Dat_02!C307</f>
        <v>181.06590471476241</v>
      </c>
      <c r="F308" s="226">
        <f>Dat_02!D307</f>
        <v>108.10243370537623</v>
      </c>
      <c r="G308" s="226">
        <f>Dat_02!E307</f>
        <v>108.10243370537623</v>
      </c>
      <c r="I308" s="227">
        <f>Dat_02!G307</f>
        <v>0</v>
      </c>
      <c r="J308" s="233" t="str">
        <f>IF(Dat_02!H307=0,"",Dat_02!H307)</f>
        <v/>
      </c>
    </row>
    <row r="309" spans="2:10">
      <c r="B309" s="224"/>
      <c r="C309" s="225">
        <f>Dat_02!B308</f>
        <v>44926</v>
      </c>
      <c r="D309" s="224"/>
      <c r="E309" s="226">
        <f>Dat_02!C308</f>
        <v>181.0535762667615</v>
      </c>
      <c r="F309" s="226">
        <f>Dat_02!D308</f>
        <v>108.10243370537623</v>
      </c>
      <c r="G309" s="226">
        <f>Dat_02!E308</f>
        <v>108.10243370537623</v>
      </c>
      <c r="I309" s="227">
        <f>Dat_02!G308</f>
        <v>0</v>
      </c>
      <c r="J309" s="233" t="str">
        <f>IF(Dat_02!H308=0,"",Dat_02!H308)</f>
        <v/>
      </c>
    </row>
    <row r="310" spans="2:10">
      <c r="B310" s="224"/>
      <c r="C310" s="225">
        <f>Dat_02!B309</f>
        <v>44927</v>
      </c>
      <c r="D310" s="224"/>
      <c r="E310" s="226">
        <f>Dat_02!C309</f>
        <v>184.75735599076242</v>
      </c>
      <c r="F310" s="226">
        <f>Dat_02!D309</f>
        <v>119.44455644829111</v>
      </c>
      <c r="G310" s="226">
        <f>Dat_02!E309</f>
        <v>119.44455644829111</v>
      </c>
      <c r="I310" s="227">
        <f>Dat_02!G309</f>
        <v>0</v>
      </c>
      <c r="J310" s="233">
        <f>IF(Dat_02!H309=0,"",Dat_02!H309)</f>
        <v>2023</v>
      </c>
    </row>
    <row r="311" spans="2:10">
      <c r="B311" s="224"/>
      <c r="C311" s="225">
        <f>Dat_02!B310</f>
        <v>44928</v>
      </c>
      <c r="D311" s="224"/>
      <c r="E311" s="226">
        <f>Dat_02!C310</f>
        <v>244.67985851076057</v>
      </c>
      <c r="F311" s="226">
        <f>Dat_02!D310</f>
        <v>119.44455644829111</v>
      </c>
      <c r="G311" s="226">
        <f>Dat_02!E310</f>
        <v>119.44455644829111</v>
      </c>
      <c r="I311" s="227">
        <f>Dat_02!G310</f>
        <v>0</v>
      </c>
      <c r="J311" s="233" t="str">
        <f>IF(Dat_02!H310=0,"",Dat_02!H310)</f>
        <v/>
      </c>
    </row>
    <row r="312" spans="2:10">
      <c r="B312" s="224"/>
      <c r="C312" s="225">
        <f>Dat_02!B311</f>
        <v>44929</v>
      </c>
      <c r="D312" s="224"/>
      <c r="E312" s="226">
        <f>Dat_02!C311</f>
        <v>261.87291061476151</v>
      </c>
      <c r="F312" s="226">
        <f>Dat_02!D311</f>
        <v>119.44455644829111</v>
      </c>
      <c r="G312" s="226">
        <f>Dat_02!E311</f>
        <v>119.44455644829111</v>
      </c>
      <c r="I312" s="227">
        <f>Dat_02!G311</f>
        <v>0</v>
      </c>
      <c r="J312" s="233" t="str">
        <f>IF(Dat_02!H311=0,"",Dat_02!H311)</f>
        <v/>
      </c>
    </row>
    <row r="313" spans="2:10">
      <c r="B313" s="224"/>
      <c r="C313" s="225">
        <f>Dat_02!B312</f>
        <v>44930</v>
      </c>
      <c r="D313" s="224"/>
      <c r="E313" s="226">
        <f>Dat_02!C312</f>
        <v>209.71860584719701</v>
      </c>
      <c r="F313" s="226">
        <f>Dat_02!D312</f>
        <v>119.44455644829111</v>
      </c>
      <c r="G313" s="226">
        <f>Dat_02!E312</f>
        <v>119.44455644829111</v>
      </c>
      <c r="I313" s="227">
        <f>Dat_02!G312</f>
        <v>0</v>
      </c>
      <c r="J313" s="233" t="str">
        <f>IF(Dat_02!H312=0,"",Dat_02!H312)</f>
        <v/>
      </c>
    </row>
    <row r="314" spans="2:10">
      <c r="B314" s="224"/>
      <c r="C314" s="225">
        <f>Dat_02!B313</f>
        <v>44931</v>
      </c>
      <c r="D314" s="224"/>
      <c r="E314" s="226">
        <f>Dat_02!C313</f>
        <v>214.68212655219702</v>
      </c>
      <c r="F314" s="226">
        <f>Dat_02!D313</f>
        <v>119.44455644829111</v>
      </c>
      <c r="G314" s="226">
        <f>Dat_02!E313</f>
        <v>119.44455644829111</v>
      </c>
      <c r="I314" s="227">
        <f>Dat_02!G313</f>
        <v>0</v>
      </c>
      <c r="J314" s="233" t="str">
        <f>IF(Dat_02!H313=0,"",Dat_02!H313)</f>
        <v/>
      </c>
    </row>
    <row r="315" spans="2:10">
      <c r="B315" s="224"/>
      <c r="C315" s="225">
        <f>Dat_02!B314</f>
        <v>44932</v>
      </c>
      <c r="D315" s="224"/>
      <c r="E315" s="226">
        <f>Dat_02!C314</f>
        <v>202.65080127619512</v>
      </c>
      <c r="F315" s="226">
        <f>Dat_02!D314</f>
        <v>119.44455644829111</v>
      </c>
      <c r="G315" s="226">
        <f>Dat_02!E314</f>
        <v>119.44455644829111</v>
      </c>
      <c r="I315" s="227">
        <f>Dat_02!G314</f>
        <v>0</v>
      </c>
      <c r="J315" s="233" t="str">
        <f>IF(Dat_02!H314=0,"",Dat_02!H314)</f>
        <v/>
      </c>
    </row>
    <row r="316" spans="2:10">
      <c r="B316" s="224"/>
      <c r="C316" s="225">
        <f>Dat_02!B315</f>
        <v>44933</v>
      </c>
      <c r="D316" s="224"/>
      <c r="E316" s="226">
        <f>Dat_02!C315</f>
        <v>146.04670680019515</v>
      </c>
      <c r="F316" s="226">
        <f>Dat_02!D315</f>
        <v>119.44455644829111</v>
      </c>
      <c r="G316" s="226">
        <f>Dat_02!E315</f>
        <v>119.44455644829111</v>
      </c>
      <c r="I316" s="227">
        <f>Dat_02!G315</f>
        <v>0</v>
      </c>
      <c r="J316" s="233" t="str">
        <f>IF(Dat_02!H315=0,"",Dat_02!H315)</f>
        <v/>
      </c>
    </row>
    <row r="317" spans="2:10">
      <c r="B317" s="224"/>
      <c r="C317" s="225">
        <f>Dat_02!B316</f>
        <v>44934</v>
      </c>
      <c r="D317" s="224"/>
      <c r="E317" s="226">
        <f>Dat_02!C316</f>
        <v>152.47383951619699</v>
      </c>
      <c r="F317" s="226">
        <f>Dat_02!D316</f>
        <v>119.44455644829111</v>
      </c>
      <c r="G317" s="226">
        <f>Dat_02!E316</f>
        <v>119.44455644829111</v>
      </c>
      <c r="I317" s="227">
        <f>Dat_02!G316</f>
        <v>0</v>
      </c>
      <c r="J317" s="233" t="str">
        <f>IF(Dat_02!H316=0,"",Dat_02!H316)</f>
        <v/>
      </c>
    </row>
    <row r="318" spans="2:10">
      <c r="B318" s="224"/>
      <c r="C318" s="225">
        <f>Dat_02!B317</f>
        <v>44935</v>
      </c>
      <c r="D318" s="224"/>
      <c r="E318" s="226">
        <f>Dat_02!C317</f>
        <v>173.76520320419701</v>
      </c>
      <c r="F318" s="226">
        <f>Dat_02!D317</f>
        <v>119.44455644829111</v>
      </c>
      <c r="G318" s="226">
        <f>Dat_02!E317</f>
        <v>119.44455644829111</v>
      </c>
      <c r="I318" s="227">
        <f>Dat_02!G317</f>
        <v>0</v>
      </c>
      <c r="J318" s="233" t="str">
        <f>IF(Dat_02!H317=0,"",Dat_02!H317)</f>
        <v/>
      </c>
    </row>
    <row r="319" spans="2:10">
      <c r="B319" s="224"/>
      <c r="C319" s="225">
        <f>Dat_02!B318</f>
        <v>44936</v>
      </c>
      <c r="D319" s="224"/>
      <c r="E319" s="226">
        <f>Dat_02!C318</f>
        <v>220.39382234819513</v>
      </c>
      <c r="F319" s="226">
        <f>Dat_02!D318</f>
        <v>119.44455644829111</v>
      </c>
      <c r="G319" s="226">
        <f>Dat_02!E318</f>
        <v>119.44455644829111</v>
      </c>
      <c r="I319" s="227">
        <f>Dat_02!G318</f>
        <v>0</v>
      </c>
      <c r="J319" s="233" t="str">
        <f>IF(Dat_02!H318=0,"",Dat_02!H318)</f>
        <v/>
      </c>
    </row>
    <row r="320" spans="2:10">
      <c r="B320" s="224"/>
      <c r="C320" s="225">
        <f>Dat_02!B319</f>
        <v>44937</v>
      </c>
      <c r="D320" s="224"/>
      <c r="E320" s="226">
        <f>Dat_02!C319</f>
        <v>192.80566395746041</v>
      </c>
      <c r="F320" s="226">
        <f>Dat_02!D319</f>
        <v>119.44455644829111</v>
      </c>
      <c r="G320" s="226">
        <f>Dat_02!E319</f>
        <v>119.44455644829111</v>
      </c>
      <c r="I320" s="227">
        <f>Dat_02!G319</f>
        <v>0</v>
      </c>
      <c r="J320" s="233" t="str">
        <f>IF(Dat_02!H319=0,"",Dat_02!H319)</f>
        <v/>
      </c>
    </row>
    <row r="321" spans="2:10">
      <c r="B321" s="224"/>
      <c r="C321" s="225">
        <f>Dat_02!B320</f>
        <v>44938</v>
      </c>
      <c r="D321" s="224"/>
      <c r="E321" s="226">
        <f>Dat_02!C320</f>
        <v>204.73352045346039</v>
      </c>
      <c r="F321" s="226">
        <f>Dat_02!D320</f>
        <v>119.44455644829111</v>
      </c>
      <c r="G321" s="226">
        <f>Dat_02!E320</f>
        <v>119.44455644829111</v>
      </c>
      <c r="I321" s="227">
        <f>Dat_02!G320</f>
        <v>0</v>
      </c>
      <c r="J321" s="233" t="str">
        <f>IF(Dat_02!H320=0,"",Dat_02!H320)</f>
        <v/>
      </c>
    </row>
    <row r="322" spans="2:10">
      <c r="B322" s="224"/>
      <c r="C322" s="225">
        <f>Dat_02!B321</f>
        <v>44939</v>
      </c>
      <c r="D322" s="224"/>
      <c r="E322" s="226">
        <f>Dat_02!C321</f>
        <v>208.52852887346043</v>
      </c>
      <c r="F322" s="226">
        <f>Dat_02!D321</f>
        <v>119.44455644829111</v>
      </c>
      <c r="G322" s="226">
        <f>Dat_02!E321</f>
        <v>119.44455644829111</v>
      </c>
      <c r="I322" s="227">
        <f>Dat_02!G321</f>
        <v>0</v>
      </c>
      <c r="J322" s="233" t="str">
        <f>IF(Dat_02!H321=0,"",Dat_02!H321)</f>
        <v/>
      </c>
    </row>
    <row r="323" spans="2:10">
      <c r="B323" s="224"/>
      <c r="C323" s="225">
        <f>Dat_02!B322</f>
        <v>44940</v>
      </c>
      <c r="D323" s="224"/>
      <c r="E323" s="226">
        <f>Dat_02!C322</f>
        <v>185.32112553746228</v>
      </c>
      <c r="F323" s="226">
        <f>Dat_02!D322</f>
        <v>119.44455644829111</v>
      </c>
      <c r="G323" s="226">
        <f>Dat_02!E322</f>
        <v>119.44455644829111</v>
      </c>
      <c r="I323" s="227">
        <f>Dat_02!G322</f>
        <v>0</v>
      </c>
      <c r="J323" s="233" t="str">
        <f>IF(Dat_02!H322=0,"",Dat_02!H322)</f>
        <v/>
      </c>
    </row>
    <row r="324" spans="2:10">
      <c r="B324" s="224"/>
      <c r="C324" s="225">
        <f>Dat_02!B323</f>
        <v>44941</v>
      </c>
      <c r="D324" s="224"/>
      <c r="E324" s="226">
        <f>Dat_02!C323</f>
        <v>125.24761058545855</v>
      </c>
      <c r="F324" s="226">
        <f>Dat_02!D323</f>
        <v>119.44455644829111</v>
      </c>
      <c r="G324" s="226">
        <f>Dat_02!E323</f>
        <v>119.44455644829111</v>
      </c>
      <c r="I324" s="227">
        <f>Dat_02!G323</f>
        <v>119.44455644829111</v>
      </c>
      <c r="J324" s="233" t="str">
        <f>IF(Dat_02!H323=0,"",Dat_02!H323)</f>
        <v/>
      </c>
    </row>
    <row r="325" spans="2:10">
      <c r="B325" s="224"/>
      <c r="C325" s="225">
        <f>Dat_02!B324</f>
        <v>44942</v>
      </c>
      <c r="D325" s="224"/>
      <c r="E325" s="226">
        <f>Dat_02!C324</f>
        <v>143.21331817346228</v>
      </c>
      <c r="F325" s="226">
        <f>Dat_02!D324</f>
        <v>119.44455644829111</v>
      </c>
      <c r="G325" s="226">
        <f>Dat_02!E324</f>
        <v>119.44455644829111</v>
      </c>
      <c r="I325" s="227">
        <f>Dat_02!G324</f>
        <v>0</v>
      </c>
      <c r="J325" s="233" t="str">
        <f>IF(Dat_02!H324=0,"",Dat_02!H324)</f>
        <v/>
      </c>
    </row>
    <row r="326" spans="2:10">
      <c r="B326" s="224"/>
      <c r="C326" s="225">
        <f>Dat_02!B325</f>
        <v>44943</v>
      </c>
      <c r="D326" s="224"/>
      <c r="E326" s="226">
        <f>Dat_02!C325</f>
        <v>139.81863649845857</v>
      </c>
      <c r="F326" s="226">
        <f>Dat_02!D325</f>
        <v>119.44455644829111</v>
      </c>
      <c r="G326" s="226">
        <f>Dat_02!E325</f>
        <v>119.44455644829111</v>
      </c>
      <c r="I326" s="227">
        <f>Dat_02!G325</f>
        <v>0</v>
      </c>
      <c r="J326" s="233" t="str">
        <f>IF(Dat_02!H325=0,"",Dat_02!H325)</f>
        <v/>
      </c>
    </row>
    <row r="327" spans="2:10">
      <c r="B327" s="224"/>
      <c r="C327" s="225">
        <f>Dat_02!B326</f>
        <v>44944</v>
      </c>
      <c r="D327" s="224"/>
      <c r="E327" s="226">
        <f>Dat_02!C326</f>
        <v>210.31799327556047</v>
      </c>
      <c r="F327" s="226">
        <f>Dat_02!D326</f>
        <v>119.44455644829111</v>
      </c>
      <c r="G327" s="226">
        <f>Dat_02!E326</f>
        <v>119.44455644829111</v>
      </c>
      <c r="I327" s="227">
        <f>Dat_02!G326</f>
        <v>0</v>
      </c>
      <c r="J327" s="233" t="str">
        <f>IF(Dat_02!H326=0,"",Dat_02!H326)</f>
        <v/>
      </c>
    </row>
    <row r="328" spans="2:10">
      <c r="B328" s="224"/>
      <c r="C328" s="225">
        <f>Dat_02!B327</f>
        <v>44945</v>
      </c>
      <c r="D328" s="224"/>
      <c r="E328" s="226">
        <f>Dat_02!C327</f>
        <v>212.85371273355861</v>
      </c>
      <c r="F328" s="226">
        <f>Dat_02!D327</f>
        <v>119.44455644829111</v>
      </c>
      <c r="G328" s="226">
        <f>Dat_02!E327</f>
        <v>119.44455644829111</v>
      </c>
      <c r="I328" s="227">
        <f>Dat_02!G327</f>
        <v>0</v>
      </c>
      <c r="J328" s="233" t="str">
        <f>IF(Dat_02!H327=0,"",Dat_02!H327)</f>
        <v/>
      </c>
    </row>
    <row r="329" spans="2:10">
      <c r="B329" s="224"/>
      <c r="C329" s="225">
        <f>Dat_02!B328</f>
        <v>44946</v>
      </c>
      <c r="D329" s="224"/>
      <c r="E329" s="226">
        <f>Dat_02!C328</f>
        <v>233.69651104555675</v>
      </c>
      <c r="F329" s="226">
        <f>Dat_02!D328</f>
        <v>119.44455644829111</v>
      </c>
      <c r="G329" s="226">
        <f>Dat_02!E328</f>
        <v>119.44455644829111</v>
      </c>
      <c r="I329" s="227">
        <f>Dat_02!G328</f>
        <v>0</v>
      </c>
      <c r="J329" s="233" t="str">
        <f>IF(Dat_02!H328=0,"",Dat_02!H328)</f>
        <v/>
      </c>
    </row>
    <row r="330" spans="2:10">
      <c r="B330" s="224"/>
      <c r="C330" s="225">
        <f>Dat_02!B329</f>
        <v>44947</v>
      </c>
      <c r="D330" s="224"/>
      <c r="E330" s="226">
        <f>Dat_02!C329</f>
        <v>216.74085348956049</v>
      </c>
      <c r="F330" s="226">
        <f>Dat_02!D329</f>
        <v>119.44455644829111</v>
      </c>
      <c r="G330" s="226">
        <f>Dat_02!E329</f>
        <v>119.44455644829111</v>
      </c>
      <c r="I330" s="227">
        <f>Dat_02!G329</f>
        <v>0</v>
      </c>
      <c r="J330" s="233" t="str">
        <f>IF(Dat_02!H329=0,"",Dat_02!H329)</f>
        <v/>
      </c>
    </row>
    <row r="331" spans="2:10">
      <c r="B331" s="224"/>
      <c r="C331" s="225">
        <f>Dat_02!B330</f>
        <v>44948</v>
      </c>
      <c r="D331" s="224"/>
      <c r="E331" s="226">
        <f>Dat_02!C330</f>
        <v>209.38934882955857</v>
      </c>
      <c r="F331" s="226">
        <f>Dat_02!D330</f>
        <v>119.44455644829111</v>
      </c>
      <c r="G331" s="226">
        <f>Dat_02!E330</f>
        <v>119.44455644829111</v>
      </c>
      <c r="I331" s="227">
        <f>Dat_02!G330</f>
        <v>0</v>
      </c>
      <c r="J331" s="233" t="str">
        <f>IF(Dat_02!H330=0,"",Dat_02!H330)</f>
        <v/>
      </c>
    </row>
    <row r="332" spans="2:10">
      <c r="B332" s="224"/>
      <c r="C332" s="225">
        <f>Dat_02!B331</f>
        <v>44949</v>
      </c>
      <c r="D332" s="224"/>
      <c r="E332" s="226">
        <f>Dat_02!C331</f>
        <v>236.63857497755674</v>
      </c>
      <c r="F332" s="226">
        <f>Dat_02!D331</f>
        <v>119.44455644829111</v>
      </c>
      <c r="G332" s="226">
        <f>Dat_02!E331</f>
        <v>119.44455644829111</v>
      </c>
      <c r="I332" s="227">
        <f>Dat_02!G331</f>
        <v>0</v>
      </c>
      <c r="J332" s="233" t="str">
        <f>IF(Dat_02!H331=0,"",Dat_02!H331)</f>
        <v/>
      </c>
    </row>
    <row r="333" spans="2:10">
      <c r="B333" s="224"/>
      <c r="C333" s="225">
        <f>Dat_02!B332</f>
        <v>44950</v>
      </c>
      <c r="D333" s="224"/>
      <c r="E333" s="226">
        <f>Dat_02!C332</f>
        <v>265.77015223356045</v>
      </c>
      <c r="F333" s="226">
        <f>Dat_02!D332</f>
        <v>119.44455644829111</v>
      </c>
      <c r="G333" s="226">
        <f>Dat_02!E332</f>
        <v>119.44455644829111</v>
      </c>
      <c r="I333" s="227">
        <f>Dat_02!G332</f>
        <v>0</v>
      </c>
      <c r="J333" s="233" t="str">
        <f>IF(Dat_02!H332=0,"",Dat_02!H332)</f>
        <v/>
      </c>
    </row>
    <row r="334" spans="2:10">
      <c r="B334" s="224"/>
      <c r="C334" s="225">
        <f>Dat_02!B333</f>
        <v>44951</v>
      </c>
      <c r="D334" s="224"/>
      <c r="E334" s="226">
        <f>Dat_02!C333</f>
        <v>175.43269650291603</v>
      </c>
      <c r="F334" s="226">
        <f>Dat_02!D333</f>
        <v>119.44455644829111</v>
      </c>
      <c r="G334" s="226">
        <f>Dat_02!E333</f>
        <v>119.44455644829111</v>
      </c>
      <c r="I334" s="227">
        <f>Dat_02!G333</f>
        <v>0</v>
      </c>
      <c r="J334" s="233" t="str">
        <f>IF(Dat_02!H333=0,"",Dat_02!H333)</f>
        <v/>
      </c>
    </row>
    <row r="335" spans="2:10">
      <c r="B335" s="224"/>
      <c r="C335" s="225">
        <f>Dat_02!B334</f>
        <v>44952</v>
      </c>
      <c r="D335" s="224"/>
      <c r="E335" s="226">
        <f>Dat_02!C334</f>
        <v>171.15210955092161</v>
      </c>
      <c r="F335" s="226">
        <f>Dat_02!D334</f>
        <v>119.44455644829111</v>
      </c>
      <c r="G335" s="226">
        <f>Dat_02!E334</f>
        <v>119.44455644829111</v>
      </c>
      <c r="I335" s="227">
        <f>Dat_02!G334</f>
        <v>0</v>
      </c>
      <c r="J335" s="233" t="str">
        <f>IF(Dat_02!H334=0,"",Dat_02!H334)</f>
        <v/>
      </c>
    </row>
    <row r="336" spans="2:10">
      <c r="B336" s="224"/>
      <c r="C336" s="225">
        <f>Dat_02!B335</f>
        <v>44953</v>
      </c>
      <c r="D336" s="224"/>
      <c r="E336" s="226">
        <f>Dat_02!C335</f>
        <v>152.50442946691788</v>
      </c>
      <c r="F336" s="226">
        <f>Dat_02!D335</f>
        <v>119.44455644829111</v>
      </c>
      <c r="G336" s="226">
        <f>Dat_02!E335</f>
        <v>119.44455644829111</v>
      </c>
      <c r="I336" s="227">
        <f>Dat_02!G335</f>
        <v>0</v>
      </c>
      <c r="J336" s="233" t="str">
        <f>IF(Dat_02!H335=0,"",Dat_02!H335)</f>
        <v/>
      </c>
    </row>
    <row r="337" spans="2:10">
      <c r="B337" s="224"/>
      <c r="C337" s="225">
        <f>Dat_02!B336</f>
        <v>44954</v>
      </c>
      <c r="D337" s="224"/>
      <c r="E337" s="226">
        <f>Dat_02!C336</f>
        <v>118.75098253891976</v>
      </c>
      <c r="F337" s="226">
        <f>Dat_02!D336</f>
        <v>119.44455644829111</v>
      </c>
      <c r="G337" s="226">
        <f>Dat_02!E336</f>
        <v>118.75098253891976</v>
      </c>
      <c r="I337" s="227">
        <f>Dat_02!G336</f>
        <v>0</v>
      </c>
      <c r="J337" s="233" t="str">
        <f>IF(Dat_02!H336=0,"",Dat_02!H336)</f>
        <v/>
      </c>
    </row>
    <row r="338" spans="2:10">
      <c r="B338" s="224"/>
      <c r="C338" s="225">
        <f>Dat_02!B337</f>
        <v>44955</v>
      </c>
      <c r="D338" s="224"/>
      <c r="E338" s="226">
        <f>Dat_02!C337</f>
        <v>117.44109541892162</v>
      </c>
      <c r="F338" s="226">
        <f>Dat_02!D337</f>
        <v>119.44455644829111</v>
      </c>
      <c r="G338" s="226">
        <f>Dat_02!E337</f>
        <v>117.44109541892162</v>
      </c>
      <c r="I338" s="227">
        <f>Dat_02!G337</f>
        <v>0</v>
      </c>
      <c r="J338" s="233" t="str">
        <f>IF(Dat_02!H337=0,"",Dat_02!H337)</f>
        <v/>
      </c>
    </row>
    <row r="339" spans="2:10">
      <c r="B339" s="224" t="s">
        <v>194</v>
      </c>
      <c r="C339" s="225">
        <f>Dat_02!B338</f>
        <v>44956</v>
      </c>
      <c r="D339" s="224"/>
      <c r="E339" s="226">
        <f>Dat_02!C338</f>
        <v>167.47841404691789</v>
      </c>
      <c r="F339" s="226">
        <f>Dat_02!D338</f>
        <v>119.44455644829111</v>
      </c>
      <c r="G339" s="226">
        <f>Dat_02!E338</f>
        <v>119.44455644829111</v>
      </c>
      <c r="I339" s="227">
        <f>Dat_02!G338</f>
        <v>0</v>
      </c>
      <c r="J339" s="233" t="str">
        <f>IF(Dat_02!H338=0,"",Dat_02!H338)</f>
        <v/>
      </c>
    </row>
    <row r="340" spans="2:10">
      <c r="B340" s="224"/>
      <c r="C340" s="225">
        <f>Dat_02!B339</f>
        <v>44957</v>
      </c>
      <c r="D340" s="224"/>
      <c r="E340" s="226">
        <f>Dat_02!C339</f>
        <v>157.44045010691602</v>
      </c>
      <c r="F340" s="226">
        <f>Dat_02!D339</f>
        <v>119.44455644829111</v>
      </c>
      <c r="G340" s="226">
        <f>Dat_02!E339</f>
        <v>119.44455644829111</v>
      </c>
      <c r="I340" s="227">
        <f>Dat_02!G339</f>
        <v>0</v>
      </c>
      <c r="J340" s="233" t="str">
        <f>IF(Dat_02!H339=0,"",Dat_02!H339)</f>
        <v/>
      </c>
    </row>
    <row r="341" spans="2:10">
      <c r="B341" s="224"/>
      <c r="C341" s="225">
        <f>Dat_02!B340</f>
        <v>44958</v>
      </c>
      <c r="D341" s="224"/>
      <c r="E341" s="226">
        <f>Dat_02!C340</f>
        <v>109.69644377138364</v>
      </c>
      <c r="F341" s="226">
        <f>Dat_02!D340</f>
        <v>127.90897946252304</v>
      </c>
      <c r="G341" s="226">
        <f>Dat_02!E340</f>
        <v>109.69644377138364</v>
      </c>
      <c r="I341" s="227">
        <f>Dat_02!G340</f>
        <v>0</v>
      </c>
      <c r="J341" s="233" t="str">
        <f>IF(Dat_02!H340=0,"",Dat_02!H340)</f>
        <v/>
      </c>
    </row>
    <row r="342" spans="2:10">
      <c r="B342" s="224"/>
      <c r="C342" s="225">
        <f>Dat_02!B341</f>
        <v>44959</v>
      </c>
      <c r="D342" s="224"/>
      <c r="E342" s="226">
        <f>Dat_02!C341</f>
        <v>110.93907483538176</v>
      </c>
      <c r="F342" s="226">
        <f>Dat_02!D341</f>
        <v>127.90897946252304</v>
      </c>
      <c r="G342" s="226">
        <f>Dat_02!E341</f>
        <v>110.93907483538176</v>
      </c>
      <c r="I342" s="227">
        <f>Dat_02!G341</f>
        <v>0</v>
      </c>
      <c r="J342" s="233" t="str">
        <f>IF(Dat_02!H341=0,"",Dat_02!H341)</f>
        <v/>
      </c>
    </row>
    <row r="343" spans="2:10">
      <c r="B343" s="224"/>
      <c r="C343" s="225">
        <f>Dat_02!B342</f>
        <v>44960</v>
      </c>
      <c r="D343" s="224"/>
      <c r="E343" s="226">
        <f>Dat_02!C342</f>
        <v>115.45928817137805</v>
      </c>
      <c r="F343" s="226">
        <f>Dat_02!D342</f>
        <v>127.90897946252304</v>
      </c>
      <c r="G343" s="226">
        <f>Dat_02!E342</f>
        <v>115.45928817137805</v>
      </c>
      <c r="I343" s="227">
        <f>Dat_02!G342</f>
        <v>0</v>
      </c>
      <c r="J343" s="233" t="str">
        <f>IF(Dat_02!H342=0,"",Dat_02!H342)</f>
        <v/>
      </c>
    </row>
    <row r="344" spans="2:10">
      <c r="B344" s="224"/>
      <c r="C344" s="225">
        <f>Dat_02!B343</f>
        <v>44961</v>
      </c>
      <c r="D344" s="224"/>
      <c r="E344" s="226">
        <f>Dat_02!C343</f>
        <v>67.379530903383639</v>
      </c>
      <c r="F344" s="226">
        <f>Dat_02!D343</f>
        <v>127.90897946252304</v>
      </c>
      <c r="G344" s="226">
        <f>Dat_02!E343</f>
        <v>67.379530903383639</v>
      </c>
      <c r="I344" s="227">
        <f>Dat_02!G343</f>
        <v>0</v>
      </c>
      <c r="J344" s="233" t="str">
        <f>IF(Dat_02!H343=0,"",Dat_02!H343)</f>
        <v/>
      </c>
    </row>
    <row r="345" spans="2:10">
      <c r="B345" s="224"/>
      <c r="C345" s="225">
        <f>Dat_02!B344</f>
        <v>44962</v>
      </c>
      <c r="D345" s="224"/>
      <c r="E345" s="226">
        <f>Dat_02!C344</f>
        <v>35.286046567381774</v>
      </c>
      <c r="F345" s="226">
        <f>Dat_02!D344</f>
        <v>127.90897946252304</v>
      </c>
      <c r="G345" s="226">
        <f>Dat_02!E344</f>
        <v>35.286046567381774</v>
      </c>
      <c r="I345" s="227">
        <f>Dat_02!G344</f>
        <v>0</v>
      </c>
      <c r="J345" s="233" t="str">
        <f>IF(Dat_02!H344=0,"",Dat_02!H344)</f>
        <v/>
      </c>
    </row>
    <row r="346" spans="2:10">
      <c r="B346" s="224"/>
      <c r="C346" s="225">
        <f>Dat_02!B345</f>
        <v>44963</v>
      </c>
      <c r="D346" s="224"/>
      <c r="E346" s="226">
        <f>Dat_02!C345</f>
        <v>54.936889847379902</v>
      </c>
      <c r="F346" s="226">
        <f>Dat_02!D345</f>
        <v>127.90897946252304</v>
      </c>
      <c r="G346" s="226">
        <f>Dat_02!E345</f>
        <v>54.936889847379902</v>
      </c>
      <c r="I346" s="227">
        <f>Dat_02!G345</f>
        <v>0</v>
      </c>
      <c r="J346" s="233" t="str">
        <f>IF(Dat_02!H345=0,"",Dat_02!H345)</f>
        <v/>
      </c>
    </row>
    <row r="347" spans="2:10">
      <c r="B347" s="224"/>
      <c r="C347" s="225">
        <f>Dat_02!B346</f>
        <v>44964</v>
      </c>
      <c r="D347" s="224"/>
      <c r="E347" s="226">
        <f>Dat_02!C346</f>
        <v>98.663010611379917</v>
      </c>
      <c r="F347" s="226">
        <f>Dat_02!D346</f>
        <v>127.90897946252304</v>
      </c>
      <c r="G347" s="226">
        <f>Dat_02!E346</f>
        <v>98.663010611379917</v>
      </c>
      <c r="I347" s="227">
        <f>Dat_02!G346</f>
        <v>0</v>
      </c>
      <c r="J347" s="233" t="str">
        <f>IF(Dat_02!H346=0,"",Dat_02!H346)</f>
        <v/>
      </c>
    </row>
    <row r="348" spans="2:10">
      <c r="B348" s="224"/>
      <c r="C348" s="225">
        <f>Dat_02!B347</f>
        <v>44965</v>
      </c>
      <c r="D348" s="224"/>
      <c r="E348" s="226">
        <f>Dat_02!C347</f>
        <v>105.74671553278</v>
      </c>
      <c r="F348" s="226">
        <f>Dat_02!D347</f>
        <v>127.90897946252304</v>
      </c>
      <c r="G348" s="226">
        <f>Dat_02!E347</f>
        <v>105.74671553278</v>
      </c>
      <c r="I348" s="227">
        <f>Dat_02!G347</f>
        <v>0</v>
      </c>
      <c r="J348" s="233" t="str">
        <f>IF(Dat_02!H347=0,"",Dat_02!H347)</f>
        <v/>
      </c>
    </row>
    <row r="349" spans="2:10">
      <c r="B349" s="224"/>
      <c r="C349" s="225">
        <f>Dat_02!B348</f>
        <v>44966</v>
      </c>
      <c r="D349" s="224"/>
      <c r="E349" s="226">
        <f>Dat_02!C348</f>
        <v>90.159075136778128</v>
      </c>
      <c r="F349" s="226">
        <f>Dat_02!D348</f>
        <v>127.90897946252304</v>
      </c>
      <c r="G349" s="226">
        <f>Dat_02!E348</f>
        <v>90.159075136778128</v>
      </c>
      <c r="I349" s="227">
        <f>Dat_02!G348</f>
        <v>0</v>
      </c>
      <c r="J349" s="233" t="str">
        <f>IF(Dat_02!H348=0,"",Dat_02!H348)</f>
        <v/>
      </c>
    </row>
    <row r="350" spans="2:10">
      <c r="B350" s="224"/>
      <c r="C350" s="225">
        <f>Dat_02!B349</f>
        <v>44967</v>
      </c>
      <c r="D350" s="224"/>
      <c r="E350" s="226">
        <f>Dat_02!C349</f>
        <v>92.669122980778141</v>
      </c>
      <c r="F350" s="226">
        <f>Dat_02!D349</f>
        <v>127.90897946252304</v>
      </c>
      <c r="G350" s="226">
        <f>Dat_02!E349</f>
        <v>92.669122980778141</v>
      </c>
      <c r="I350" s="227">
        <f>Dat_02!G349</f>
        <v>0</v>
      </c>
      <c r="J350" s="233" t="str">
        <f>IF(Dat_02!H349=0,"",Dat_02!H349)</f>
        <v/>
      </c>
    </row>
    <row r="351" spans="2:10">
      <c r="B351" s="224"/>
      <c r="C351" s="225">
        <f>Dat_02!B350</f>
        <v>44968</v>
      </c>
      <c r="D351" s="224"/>
      <c r="E351" s="226">
        <f>Dat_02!C350</f>
        <v>63.645498124776275</v>
      </c>
      <c r="F351" s="226">
        <f>Dat_02!D350</f>
        <v>127.90897946252304</v>
      </c>
      <c r="G351" s="226">
        <f>Dat_02!E350</f>
        <v>63.645498124776275</v>
      </c>
      <c r="I351" s="227">
        <f>Dat_02!G350</f>
        <v>0</v>
      </c>
      <c r="J351" s="233" t="str">
        <f>IF(Dat_02!H350=0,"",Dat_02!H350)</f>
        <v/>
      </c>
    </row>
    <row r="352" spans="2:10">
      <c r="B352" s="224"/>
      <c r="C352" s="225">
        <f>Dat_02!B351</f>
        <v>44969</v>
      </c>
      <c r="D352" s="224"/>
      <c r="E352" s="226">
        <f>Dat_02!C351</f>
        <v>58.624108388780002</v>
      </c>
      <c r="F352" s="226">
        <f>Dat_02!D351</f>
        <v>127.90897946252304</v>
      </c>
      <c r="G352" s="226">
        <f>Dat_02!E351</f>
        <v>58.624108388780002</v>
      </c>
      <c r="I352" s="227">
        <f>Dat_02!G351</f>
        <v>0</v>
      </c>
      <c r="J352" s="233" t="str">
        <f>IF(Dat_02!H351=0,"",Dat_02!H351)</f>
        <v/>
      </c>
    </row>
    <row r="353" spans="2:10">
      <c r="B353" s="224"/>
      <c r="C353" s="225">
        <f>Dat_02!B352</f>
        <v>44970</v>
      </c>
      <c r="D353" s="224"/>
      <c r="E353" s="226">
        <f>Dat_02!C352</f>
        <v>73.806724304778143</v>
      </c>
      <c r="F353" s="226">
        <f>Dat_02!D352</f>
        <v>127.90897946252304</v>
      </c>
      <c r="G353" s="226">
        <f>Dat_02!E352</f>
        <v>73.806724304778143</v>
      </c>
      <c r="I353" s="227">
        <f>Dat_02!G352</f>
        <v>0</v>
      </c>
      <c r="J353" s="233" t="str">
        <f>IF(Dat_02!H352=0,"",Dat_02!H352)</f>
        <v/>
      </c>
    </row>
    <row r="354" spans="2:10">
      <c r="B354" s="224"/>
      <c r="C354" s="225">
        <f>Dat_02!B353</f>
        <v>44971</v>
      </c>
      <c r="D354" s="224"/>
      <c r="E354" s="226">
        <f>Dat_02!C353</f>
        <v>62.580834532776279</v>
      </c>
      <c r="F354" s="226">
        <f>Dat_02!D353</f>
        <v>127.90897946252304</v>
      </c>
      <c r="G354" s="226">
        <f>Dat_02!E353</f>
        <v>62.580834532776279</v>
      </c>
      <c r="I354" s="227">
        <f>Dat_02!G353</f>
        <v>0</v>
      </c>
      <c r="J354" s="233" t="str">
        <f>IF(Dat_02!H353=0,"",Dat_02!H353)</f>
        <v/>
      </c>
    </row>
    <row r="355" spans="2:10">
      <c r="B355" s="224"/>
      <c r="C355" s="225">
        <f>Dat_02!B354</f>
        <v>44972</v>
      </c>
      <c r="D355" s="224"/>
      <c r="E355" s="226">
        <f>Dat_02!C354</f>
        <v>73.77204675838793</v>
      </c>
      <c r="F355" s="226">
        <f>Dat_02!D354</f>
        <v>127.90897946252304</v>
      </c>
      <c r="G355" s="226">
        <f>Dat_02!E354</f>
        <v>73.77204675838793</v>
      </c>
      <c r="I355" s="227">
        <f>Dat_02!G354</f>
        <v>127.90897946252304</v>
      </c>
      <c r="J355" s="233" t="str">
        <f>IF(Dat_02!H354=0,"",Dat_02!H354)</f>
        <v/>
      </c>
    </row>
    <row r="356" spans="2:10">
      <c r="B356" s="224"/>
      <c r="C356" s="225">
        <f>Dat_02!B355</f>
        <v>44973</v>
      </c>
      <c r="D356" s="224"/>
      <c r="E356" s="226">
        <f>Dat_02!C355</f>
        <v>76.179004566387931</v>
      </c>
      <c r="F356" s="226">
        <f>Dat_02!D355</f>
        <v>127.90897946252304</v>
      </c>
      <c r="G356" s="226">
        <f>Dat_02!E355</f>
        <v>76.179004566387931</v>
      </c>
      <c r="I356" s="227">
        <f>Dat_02!G355</f>
        <v>0</v>
      </c>
      <c r="J356" s="233" t="str">
        <f>IF(Dat_02!H355=0,"",Dat_02!H355)</f>
        <v/>
      </c>
    </row>
    <row r="357" spans="2:10">
      <c r="B357" s="224"/>
      <c r="C357" s="225">
        <f>Dat_02!B356</f>
        <v>44974</v>
      </c>
      <c r="D357" s="224"/>
      <c r="E357" s="226">
        <f>Dat_02!C356</f>
        <v>60.705458206387938</v>
      </c>
      <c r="F357" s="226">
        <f>Dat_02!D356</f>
        <v>127.90897946252304</v>
      </c>
      <c r="G357" s="226">
        <f>Dat_02!E356</f>
        <v>60.705458206387938</v>
      </c>
      <c r="I357" s="227">
        <f>Dat_02!G356</f>
        <v>0</v>
      </c>
      <c r="J357" s="233" t="str">
        <f>IF(Dat_02!H356=0,"",Dat_02!H356)</f>
        <v/>
      </c>
    </row>
    <row r="358" spans="2:10">
      <c r="B358" s="224"/>
      <c r="C358" s="225">
        <f>Dat_02!B357</f>
        <v>44975</v>
      </c>
      <c r="D358" s="224"/>
      <c r="E358" s="226">
        <f>Dat_02!C357</f>
        <v>55.492423114384202</v>
      </c>
      <c r="F358" s="226">
        <f>Dat_02!D357</f>
        <v>127.90897946252304</v>
      </c>
      <c r="G358" s="226">
        <f>Dat_02!E357</f>
        <v>55.492423114384202</v>
      </c>
      <c r="I358" s="227">
        <f>Dat_02!G357</f>
        <v>0</v>
      </c>
      <c r="J358" s="233" t="str">
        <f>IF(Dat_02!H357=0,"",Dat_02!H357)</f>
        <v/>
      </c>
    </row>
    <row r="359" spans="2:10">
      <c r="B359" s="224"/>
      <c r="C359" s="225">
        <f>Dat_02!B358</f>
        <v>44976</v>
      </c>
      <c r="D359" s="224"/>
      <c r="E359" s="226">
        <f>Dat_02!C358</f>
        <v>47.155717002386076</v>
      </c>
      <c r="F359" s="226">
        <f>Dat_02!D358</f>
        <v>127.90897946252304</v>
      </c>
      <c r="G359" s="226">
        <f>Dat_02!E358</f>
        <v>47.155717002386076</v>
      </c>
      <c r="I359" s="227">
        <f>Dat_02!G358</f>
        <v>0</v>
      </c>
      <c r="J359" s="233" t="str">
        <f>IF(Dat_02!H358=0,"",Dat_02!H358)</f>
        <v/>
      </c>
    </row>
    <row r="360" spans="2:10">
      <c r="B360" s="224"/>
      <c r="C360" s="225">
        <f>Dat_02!B359</f>
        <v>44977</v>
      </c>
      <c r="D360" s="224"/>
      <c r="E360" s="226">
        <f>Dat_02!C359</f>
        <v>55.316829946389802</v>
      </c>
      <c r="F360" s="226">
        <f>Dat_02!D359</f>
        <v>127.90897946252304</v>
      </c>
      <c r="G360" s="226">
        <f>Dat_02!E359</f>
        <v>55.316829946389802</v>
      </c>
      <c r="I360" s="227">
        <f>Dat_02!G359</f>
        <v>0</v>
      </c>
      <c r="J360" s="233" t="str">
        <f>IF(Dat_02!H359=0,"",Dat_02!H359)</f>
        <v/>
      </c>
    </row>
    <row r="361" spans="2:10">
      <c r="B361" s="224"/>
      <c r="C361" s="225">
        <f>Dat_02!B360</f>
        <v>44978</v>
      </c>
      <c r="D361" s="224"/>
      <c r="E361" s="226">
        <f>Dat_02!C360</f>
        <v>69.958321530386073</v>
      </c>
      <c r="F361" s="226">
        <f>Dat_02!D360</f>
        <v>127.90897946252304</v>
      </c>
      <c r="G361" s="226">
        <f>Dat_02!E360</f>
        <v>69.958321530386073</v>
      </c>
      <c r="I361" s="227">
        <f>Dat_02!G360</f>
        <v>0</v>
      </c>
      <c r="J361" s="233" t="str">
        <f>IF(Dat_02!H360=0,"",Dat_02!H360)</f>
        <v/>
      </c>
    </row>
    <row r="362" spans="2:10">
      <c r="B362" s="224"/>
      <c r="C362" s="225">
        <f>Dat_02!B361</f>
        <v>44979</v>
      </c>
      <c r="D362" s="224"/>
      <c r="E362" s="226">
        <f>Dat_02!C361</f>
        <v>79.308118382491884</v>
      </c>
      <c r="F362" s="226">
        <f>Dat_02!D361</f>
        <v>127.90897946252304</v>
      </c>
      <c r="G362" s="226">
        <f>Dat_02!E361</f>
        <v>79.308118382491884</v>
      </c>
      <c r="I362" s="227">
        <f>Dat_02!G361</f>
        <v>0</v>
      </c>
      <c r="J362" s="233" t="str">
        <f>IF(Dat_02!H361=0,"",Dat_02!H361)</f>
        <v/>
      </c>
    </row>
    <row r="363" spans="2:10">
      <c r="B363" s="224"/>
      <c r="C363" s="225">
        <f>Dat_02!B362</f>
        <v>44980</v>
      </c>
      <c r="D363" s="224"/>
      <c r="E363" s="226">
        <f>Dat_02!C362</f>
        <v>71.608538294493741</v>
      </c>
      <c r="F363" s="226">
        <f>Dat_02!D362</f>
        <v>127.90897946252304</v>
      </c>
      <c r="G363" s="226">
        <f>Dat_02!E362</f>
        <v>71.608538294493741</v>
      </c>
      <c r="I363" s="227">
        <f>Dat_02!G362</f>
        <v>0</v>
      </c>
      <c r="J363" s="233" t="str">
        <f>IF(Dat_02!H362=0,"",Dat_02!H362)</f>
        <v/>
      </c>
    </row>
    <row r="364" spans="2:10">
      <c r="B364" s="224"/>
      <c r="C364" s="225">
        <f>Dat_02!B363</f>
        <v>44981</v>
      </c>
      <c r="D364" s="224"/>
      <c r="E364" s="226">
        <f>Dat_02!C363</f>
        <v>87.803712022493741</v>
      </c>
      <c r="F364" s="226">
        <f>Dat_02!D363</f>
        <v>127.90897946252304</v>
      </c>
      <c r="G364" s="226">
        <f>Dat_02!E363</f>
        <v>87.803712022493741</v>
      </c>
      <c r="I364" s="227">
        <f>Dat_02!G363</f>
        <v>0</v>
      </c>
      <c r="J364" s="233" t="str">
        <f>IF(Dat_02!H363=0,"",Dat_02!H363)</f>
        <v/>
      </c>
    </row>
    <row r="365" spans="2:10">
      <c r="B365" s="224"/>
      <c r="C365" s="225">
        <f>Dat_02!B364</f>
        <v>44982</v>
      </c>
      <c r="D365" s="224"/>
      <c r="E365" s="226">
        <f>Dat_02!C364</f>
        <v>79.125568238490018</v>
      </c>
      <c r="F365" s="226">
        <f>Dat_02!D364</f>
        <v>127.90897946252304</v>
      </c>
      <c r="G365" s="226">
        <f>Dat_02!E364</f>
        <v>79.125568238490018</v>
      </c>
      <c r="I365" s="227">
        <f>Dat_02!G364</f>
        <v>0</v>
      </c>
      <c r="J365" s="233" t="str">
        <f>IF(Dat_02!H364=0,"",Dat_02!H364)</f>
        <v/>
      </c>
    </row>
    <row r="366" spans="2:10">
      <c r="B366" s="224"/>
      <c r="C366" s="225">
        <f>Dat_02!B365</f>
        <v>44983</v>
      </c>
      <c r="D366" s="224"/>
      <c r="E366" s="226">
        <f>Dat_02!C365</f>
        <v>40.344502714493743</v>
      </c>
      <c r="F366" s="226">
        <f>Dat_02!D365</f>
        <v>127.90897946252304</v>
      </c>
      <c r="G366" s="226">
        <f>Dat_02!E365</f>
        <v>40.344502714493743</v>
      </c>
      <c r="I366" s="227">
        <f>Dat_02!G365</f>
        <v>0</v>
      </c>
      <c r="J366" s="233" t="str">
        <f>IF(Dat_02!H365=0,"",Dat_02!H365)</f>
        <v/>
      </c>
    </row>
    <row r="367" spans="2:10">
      <c r="B367" s="224"/>
      <c r="C367" s="225">
        <f>Dat_02!B366</f>
        <v>44984</v>
      </c>
      <c r="D367" s="224"/>
      <c r="E367" s="226">
        <f>Dat_02!C366</f>
        <v>42.078752766493743</v>
      </c>
      <c r="F367" s="226">
        <f>Dat_02!D366</f>
        <v>127.90897946252304</v>
      </c>
      <c r="G367" s="226">
        <f>Dat_02!E366</f>
        <v>42.078752766493743</v>
      </c>
      <c r="I367" s="227">
        <f>Dat_02!G366</f>
        <v>0</v>
      </c>
      <c r="J367" s="233" t="str">
        <f>IF(Dat_02!H366=0,"",Dat_02!H366)</f>
        <v/>
      </c>
    </row>
    <row r="368" spans="2:10">
      <c r="B368" s="224"/>
      <c r="C368" s="225">
        <f>Dat_02!B367</f>
        <v>44985</v>
      </c>
      <c r="D368" s="224"/>
      <c r="E368" s="226">
        <f>Dat_02!C367</f>
        <v>59.996479074493742</v>
      </c>
      <c r="F368" s="226">
        <f>Dat_02!D367</f>
        <v>127.90897946252304</v>
      </c>
      <c r="G368" s="226">
        <f>Dat_02!E367</f>
        <v>59.996479074493742</v>
      </c>
      <c r="I368" s="227">
        <f>Dat_02!G367</f>
        <v>0</v>
      </c>
      <c r="J368" s="233" t="str">
        <f>IF(Dat_02!H367=0,"",Dat_02!H367)</f>
        <v/>
      </c>
    </row>
    <row r="369" spans="2:10">
      <c r="B369" s="224" t="s">
        <v>197</v>
      </c>
      <c r="C369" s="225">
        <f>Dat_02!B368</f>
        <v>44986</v>
      </c>
      <c r="D369" s="224"/>
      <c r="E369" s="226">
        <f>Dat_02!C368</f>
        <v>64.091979240687394</v>
      </c>
      <c r="F369" s="226">
        <f>Dat_02!D368</f>
        <v>128.18908398701601</v>
      </c>
      <c r="G369" s="226">
        <f>Dat_02!E368</f>
        <v>64.091979240687394</v>
      </c>
      <c r="I369" s="227">
        <f>Dat_02!G368</f>
        <v>0</v>
      </c>
      <c r="J369" s="233" t="str">
        <f>IF(Dat_02!H368=0,"",Dat_02!H368)</f>
        <v/>
      </c>
    </row>
    <row r="370" spans="2:10">
      <c r="B370" s="224"/>
      <c r="C370" s="225">
        <f>Dat_02!B369</f>
        <v>44987</v>
      </c>
      <c r="D370" s="224"/>
      <c r="E370" s="226">
        <f>Dat_02!C369</f>
        <v>65.819765584685541</v>
      </c>
      <c r="F370" s="226">
        <f>Dat_02!D369</f>
        <v>128.18908398701601</v>
      </c>
      <c r="G370" s="226">
        <f>Dat_02!E369</f>
        <v>65.819765584685541</v>
      </c>
      <c r="I370" s="227">
        <f>Dat_02!G369</f>
        <v>0</v>
      </c>
      <c r="J370" s="233" t="str">
        <f>IF(Dat_02!H369=0,"",Dat_02!H369)</f>
        <v/>
      </c>
    </row>
    <row r="371" spans="2:10">
      <c r="B371" s="224"/>
      <c r="C371" s="225">
        <f>Dat_02!B370</f>
        <v>44988</v>
      </c>
      <c r="D371" s="224"/>
      <c r="E371" s="226">
        <f>Dat_02!C370</f>
        <v>63.845628172687398</v>
      </c>
      <c r="F371" s="226">
        <f>Dat_02!D370</f>
        <v>128.18908398701601</v>
      </c>
      <c r="G371" s="226">
        <f>Dat_02!E370</f>
        <v>63.845628172687398</v>
      </c>
      <c r="I371" s="227">
        <f>Dat_02!G370</f>
        <v>0</v>
      </c>
      <c r="J371" s="233" t="str">
        <f>IF(Dat_02!H370=0,"",Dat_02!H370)</f>
        <v/>
      </c>
    </row>
    <row r="372" spans="2:10">
      <c r="B372" s="224"/>
      <c r="C372" s="225">
        <f>Dat_02!B371</f>
        <v>44989</v>
      </c>
      <c r="D372" s="224"/>
      <c r="E372" s="226">
        <f>Dat_02!C371</f>
        <v>68.848843408687387</v>
      </c>
      <c r="F372" s="226">
        <f>Dat_02!D371</f>
        <v>128.18908398701601</v>
      </c>
      <c r="G372" s="226">
        <f>Dat_02!E371</f>
        <v>68.848843408687387</v>
      </c>
      <c r="I372" s="227">
        <f>Dat_02!G371</f>
        <v>0</v>
      </c>
      <c r="J372" s="233" t="str">
        <f>IF(Dat_02!H371=0,"",Dat_02!H371)</f>
        <v/>
      </c>
    </row>
    <row r="373" spans="2:10">
      <c r="B373" s="224"/>
      <c r="C373" s="225">
        <f>Dat_02!B372</f>
        <v>44990</v>
      </c>
      <c r="D373" s="224"/>
      <c r="E373" s="226">
        <f>Dat_02!C372</f>
        <v>73.285303176687393</v>
      </c>
      <c r="F373" s="226">
        <f>Dat_02!D372</f>
        <v>128.18908398701601</v>
      </c>
      <c r="G373" s="226">
        <f>Dat_02!E372</f>
        <v>73.285303176687393</v>
      </c>
      <c r="I373" s="227">
        <f>Dat_02!G372</f>
        <v>0</v>
      </c>
      <c r="J373" s="233" t="str">
        <f>IF(Dat_02!H372=0,"",Dat_02!H372)</f>
        <v/>
      </c>
    </row>
    <row r="374" spans="2:10">
      <c r="B374" s="224"/>
      <c r="C374" s="225">
        <f>Dat_02!B373</f>
        <v>44991</v>
      </c>
      <c r="D374" s="224"/>
      <c r="E374" s="226">
        <f>Dat_02!C373</f>
        <v>65.150454980683676</v>
      </c>
      <c r="F374" s="226">
        <f>Dat_02!D373</f>
        <v>128.18908398701601</v>
      </c>
      <c r="G374" s="226">
        <f>Dat_02!E373</f>
        <v>65.150454980683676</v>
      </c>
      <c r="I374" s="227">
        <f>Dat_02!G373</f>
        <v>0</v>
      </c>
      <c r="J374" s="233" t="str">
        <f>IF(Dat_02!H373=0,"",Dat_02!H373)</f>
        <v/>
      </c>
    </row>
    <row r="375" spans="2:10">
      <c r="B375" s="224"/>
      <c r="C375" s="225">
        <f>Dat_02!B374</f>
        <v>44992</v>
      </c>
      <c r="D375" s="224"/>
      <c r="E375" s="226">
        <f>Dat_02!C374</f>
        <v>29.726404709689255</v>
      </c>
      <c r="F375" s="226">
        <f>Dat_02!D374</f>
        <v>128.18908398701601</v>
      </c>
      <c r="G375" s="226">
        <f>Dat_02!E374</f>
        <v>29.726404709689255</v>
      </c>
      <c r="I375" s="227">
        <f>Dat_02!G374</f>
        <v>0</v>
      </c>
      <c r="J375" s="233" t="str">
        <f>IF(Dat_02!H374=0,"",Dat_02!H374)</f>
        <v/>
      </c>
    </row>
    <row r="376" spans="2:10">
      <c r="B376" s="224"/>
      <c r="C376" s="225">
        <f>Dat_02!B375</f>
        <v>44993</v>
      </c>
      <c r="D376" s="224"/>
      <c r="E376" s="226">
        <f>Dat_02!C375</f>
        <v>84.360668918236271</v>
      </c>
      <c r="F376" s="226">
        <f>Dat_02!D375</f>
        <v>128.18908398701601</v>
      </c>
      <c r="G376" s="226">
        <f>Dat_02!E375</f>
        <v>84.360668918236271</v>
      </c>
      <c r="I376" s="227">
        <f>Dat_02!G375</f>
        <v>0</v>
      </c>
      <c r="J376" s="233" t="str">
        <f>IF(Dat_02!H375=0,"",Dat_02!H375)</f>
        <v/>
      </c>
    </row>
    <row r="377" spans="2:10">
      <c r="B377" s="224"/>
      <c r="C377" s="225">
        <f>Dat_02!B376</f>
        <v>44994</v>
      </c>
      <c r="D377" s="224"/>
      <c r="E377" s="226">
        <f>Dat_02!C376</f>
        <v>81.907544380236274</v>
      </c>
      <c r="F377" s="226">
        <f>Dat_02!D376</f>
        <v>128.18908398701601</v>
      </c>
      <c r="G377" s="226">
        <f>Dat_02!E376</f>
        <v>81.907544380236274</v>
      </c>
      <c r="I377" s="227">
        <f>Dat_02!G376</f>
        <v>0</v>
      </c>
      <c r="J377" s="233" t="str">
        <f>IF(Dat_02!H376=0,"",Dat_02!H376)</f>
        <v/>
      </c>
    </row>
    <row r="378" spans="2:10">
      <c r="B378" s="224"/>
      <c r="C378" s="225">
        <f>Dat_02!B377</f>
        <v>44995</v>
      </c>
      <c r="D378" s="224"/>
      <c r="E378" s="226">
        <f>Dat_02!C377</f>
        <v>75.485651818238139</v>
      </c>
      <c r="F378" s="226">
        <f>Dat_02!D377</f>
        <v>128.18908398701601</v>
      </c>
      <c r="G378" s="226">
        <f>Dat_02!E377</f>
        <v>75.485651818238139</v>
      </c>
      <c r="I378" s="227">
        <f>Dat_02!G377</f>
        <v>0</v>
      </c>
      <c r="J378" s="233" t="str">
        <f>IF(Dat_02!H377=0,"",Dat_02!H377)</f>
        <v/>
      </c>
    </row>
    <row r="379" spans="2:10">
      <c r="B379" s="224"/>
      <c r="C379" s="225">
        <f>Dat_02!B378</f>
        <v>44996</v>
      </c>
      <c r="D379" s="224"/>
      <c r="E379" s="226">
        <f>Dat_02!C378</f>
        <v>73.822267547238127</v>
      </c>
      <c r="F379" s="226">
        <f>Dat_02!D378</f>
        <v>128.18908398701601</v>
      </c>
      <c r="G379" s="226">
        <f>Dat_02!E378</f>
        <v>73.822267547238127</v>
      </c>
      <c r="I379" s="227">
        <f>Dat_02!G378</f>
        <v>0</v>
      </c>
      <c r="J379" s="233" t="str">
        <f>IF(Dat_02!H378=0,"",Dat_02!H378)</f>
        <v/>
      </c>
    </row>
    <row r="380" spans="2:10">
      <c r="B380" s="224"/>
      <c r="C380" s="225">
        <f>Dat_02!B379</f>
        <v>44997</v>
      </c>
      <c r="D380" s="224"/>
      <c r="E380" s="226">
        <f>Dat_02!C379</f>
        <v>92.400156339236275</v>
      </c>
      <c r="F380" s="226">
        <f>Dat_02!D379</f>
        <v>128.18908398701601</v>
      </c>
      <c r="G380" s="226">
        <f>Dat_02!E379</f>
        <v>92.400156339236275</v>
      </c>
      <c r="I380" s="227">
        <f>Dat_02!G379</f>
        <v>0</v>
      </c>
      <c r="J380" s="233" t="str">
        <f>IF(Dat_02!H379=0,"",Dat_02!H379)</f>
        <v/>
      </c>
    </row>
    <row r="381" spans="2:10">
      <c r="B381" s="224"/>
      <c r="C381" s="225">
        <f>Dat_02!B380</f>
        <v>44998</v>
      </c>
      <c r="D381" s="224"/>
      <c r="E381" s="226">
        <f>Dat_02!C380</f>
        <v>82.96517933123441</v>
      </c>
      <c r="F381" s="226">
        <f>Dat_02!D380</f>
        <v>128.18908398701601</v>
      </c>
      <c r="G381" s="226">
        <f>Dat_02!E380</f>
        <v>82.96517933123441</v>
      </c>
      <c r="I381" s="227">
        <f>Dat_02!G380</f>
        <v>0</v>
      </c>
      <c r="J381" s="233" t="str">
        <f>IF(Dat_02!H380=0,"",Dat_02!H380)</f>
        <v/>
      </c>
    </row>
    <row r="382" spans="2:10">
      <c r="B382" s="224"/>
      <c r="C382" s="225">
        <f>Dat_02!B381</f>
        <v>44999</v>
      </c>
      <c r="D382" s="224"/>
      <c r="E382" s="226">
        <f>Dat_02!C381</f>
        <v>92.232445647236275</v>
      </c>
      <c r="F382" s="226">
        <f>Dat_02!D381</f>
        <v>128.18908398701601</v>
      </c>
      <c r="G382" s="226">
        <f>Dat_02!E381</f>
        <v>92.232445647236275</v>
      </c>
      <c r="I382" s="227">
        <f>Dat_02!G381</f>
        <v>0</v>
      </c>
      <c r="J382" s="233" t="str">
        <f>IF(Dat_02!H381=0,"",Dat_02!H381)</f>
        <v/>
      </c>
    </row>
    <row r="383" spans="2:10">
      <c r="B383" s="224"/>
      <c r="C383" s="225">
        <f>Dat_02!B382</f>
        <v>45000</v>
      </c>
      <c r="D383" s="224"/>
      <c r="E383" s="226">
        <f>Dat_02!C382</f>
        <v>124.43187104481936</v>
      </c>
      <c r="F383" s="226">
        <f>Dat_02!D382</f>
        <v>128.18908398701601</v>
      </c>
      <c r="G383" s="226">
        <f>Dat_02!E382</f>
        <v>124.43187104481936</v>
      </c>
      <c r="I383" s="227">
        <f>Dat_02!G382</f>
        <v>128.18908398701601</v>
      </c>
      <c r="J383" s="233" t="str">
        <f>IF(Dat_02!H382=0,"",Dat_02!H382)</f>
        <v/>
      </c>
    </row>
    <row r="384" spans="2:10">
      <c r="B384" s="224"/>
      <c r="C384" s="225">
        <f>Dat_02!B383</f>
        <v>45001</v>
      </c>
      <c r="D384" s="224"/>
      <c r="E384" s="226">
        <f>Dat_02!C383</f>
        <v>96.044287556819356</v>
      </c>
      <c r="F384" s="226">
        <f>Dat_02!D383</f>
        <v>128.18908398701601</v>
      </c>
      <c r="G384" s="226">
        <f>Dat_02!E383</f>
        <v>96.044287556819356</v>
      </c>
      <c r="I384" s="227">
        <f>Dat_02!G383</f>
        <v>0</v>
      </c>
      <c r="J384" s="233" t="str">
        <f>IF(Dat_02!H383=0,"",Dat_02!H383)</f>
        <v/>
      </c>
    </row>
    <row r="385" spans="2:10">
      <c r="B385" s="224"/>
      <c r="C385" s="225">
        <f>Dat_02!B384</f>
        <v>45002</v>
      </c>
      <c r="D385" s="224"/>
      <c r="E385" s="226">
        <f>Dat_02!C384</f>
        <v>91.691753812819371</v>
      </c>
      <c r="F385" s="226">
        <f>Dat_02!D384</f>
        <v>128.18908398701601</v>
      </c>
      <c r="G385" s="226">
        <f>Dat_02!E384</f>
        <v>91.691753812819371</v>
      </c>
      <c r="I385" s="227">
        <f>Dat_02!G384</f>
        <v>0</v>
      </c>
      <c r="J385" s="233" t="str">
        <f>IF(Dat_02!H384=0,"",Dat_02!H384)</f>
        <v/>
      </c>
    </row>
    <row r="386" spans="2:10">
      <c r="B386" s="224"/>
      <c r="C386" s="225">
        <f>Dat_02!B385</f>
        <v>45003</v>
      </c>
      <c r="D386" s="224"/>
      <c r="E386" s="226">
        <f>Dat_02!C385</f>
        <v>103.27007991681936</v>
      </c>
      <c r="F386" s="226">
        <f>Dat_02!D385</f>
        <v>128.18908398701601</v>
      </c>
      <c r="G386" s="226">
        <f>Dat_02!E385</f>
        <v>103.27007991681936</v>
      </c>
      <c r="I386" s="227">
        <f>Dat_02!G385</f>
        <v>0</v>
      </c>
      <c r="J386" s="233" t="str">
        <f>IF(Dat_02!H385=0,"",Dat_02!H385)</f>
        <v/>
      </c>
    </row>
    <row r="387" spans="2:10">
      <c r="B387" s="224"/>
      <c r="C387" s="225">
        <f>Dat_02!B386</f>
        <v>45004</v>
      </c>
      <c r="D387" s="224"/>
      <c r="E387" s="226">
        <f>Dat_02!C386</f>
        <v>95.511306064821227</v>
      </c>
      <c r="F387" s="226">
        <f>Dat_02!D386</f>
        <v>128.18908398701601</v>
      </c>
      <c r="G387" s="226">
        <f>Dat_02!E386</f>
        <v>95.511306064821227</v>
      </c>
      <c r="I387" s="227">
        <f>Dat_02!G386</f>
        <v>0</v>
      </c>
      <c r="J387" s="233" t="str">
        <f>IF(Dat_02!H386=0,"",Dat_02!H386)</f>
        <v/>
      </c>
    </row>
    <row r="388" spans="2:10">
      <c r="B388" s="224"/>
      <c r="C388" s="225">
        <f>Dat_02!B387</f>
        <v>45005</v>
      </c>
      <c r="D388" s="224"/>
      <c r="E388" s="226">
        <f>Dat_02!C387</f>
        <v>113.3886712728175</v>
      </c>
      <c r="F388" s="226">
        <f>Dat_02!D387</f>
        <v>128.18908398701601</v>
      </c>
      <c r="G388" s="226">
        <f>Dat_02!E387</f>
        <v>113.3886712728175</v>
      </c>
      <c r="I388" s="227">
        <f>Dat_02!G387</f>
        <v>0</v>
      </c>
      <c r="J388" s="233" t="str">
        <f>IF(Dat_02!H387=0,"",Dat_02!H387)</f>
        <v/>
      </c>
    </row>
    <row r="389" spans="2:10">
      <c r="B389" s="224"/>
      <c r="C389" s="225">
        <f>Dat_02!B388</f>
        <v>45006</v>
      </c>
      <c r="D389" s="224"/>
      <c r="E389" s="226">
        <f>Dat_02!C388</f>
        <v>112.87991530081936</v>
      </c>
      <c r="F389" s="226">
        <f>Dat_02!D388</f>
        <v>128.18908398701601</v>
      </c>
      <c r="G389" s="226">
        <f>Dat_02!E388</f>
        <v>112.87991530081936</v>
      </c>
      <c r="I389" s="227">
        <f>Dat_02!G388</f>
        <v>0</v>
      </c>
      <c r="J389" s="233" t="str">
        <f>IF(Dat_02!H388=0,"",Dat_02!H388)</f>
        <v/>
      </c>
    </row>
    <row r="390" spans="2:10">
      <c r="B390" s="224"/>
      <c r="C390" s="225">
        <f>Dat_02!B389</f>
        <v>45007</v>
      </c>
      <c r="D390" s="224"/>
      <c r="E390" s="226">
        <f>Dat_02!C389</f>
        <v>85.663567835179578</v>
      </c>
      <c r="F390" s="226">
        <f>Dat_02!D389</f>
        <v>128.18908398701601</v>
      </c>
      <c r="G390" s="226">
        <f>Dat_02!E389</f>
        <v>85.663567835179578</v>
      </c>
      <c r="I390" s="227">
        <f>Dat_02!G389</f>
        <v>0</v>
      </c>
      <c r="J390" s="233" t="str">
        <f>IF(Dat_02!H389=0,"",Dat_02!H389)</f>
        <v/>
      </c>
    </row>
    <row r="391" spans="2:10">
      <c r="B391" s="224"/>
      <c r="C391" s="225">
        <f>Dat_02!B390</f>
        <v>45008</v>
      </c>
      <c r="D391" s="224"/>
      <c r="E391" s="226">
        <f>Dat_02!C390</f>
        <v>75.502702003183316</v>
      </c>
      <c r="F391" s="226">
        <f>Dat_02!D390</f>
        <v>128.18908398701601</v>
      </c>
      <c r="G391" s="226">
        <f>Dat_02!E390</f>
        <v>75.502702003183316</v>
      </c>
      <c r="I391" s="227">
        <f>Dat_02!G390</f>
        <v>0</v>
      </c>
      <c r="J391" s="233" t="str">
        <f>IF(Dat_02!H390=0,"",Dat_02!H390)</f>
        <v/>
      </c>
    </row>
    <row r="392" spans="2:10">
      <c r="B392" s="224"/>
      <c r="C392" s="225">
        <f>Dat_02!B391</f>
        <v>45009</v>
      </c>
      <c r="D392" s="224"/>
      <c r="E392" s="226">
        <f>Dat_02!C391</f>
        <v>72.755112667177713</v>
      </c>
      <c r="F392" s="226">
        <f>Dat_02!D391</f>
        <v>128.18908398701601</v>
      </c>
      <c r="G392" s="226">
        <f>Dat_02!E391</f>
        <v>72.755112667177713</v>
      </c>
      <c r="I392" s="227">
        <f>Dat_02!G391</f>
        <v>0</v>
      </c>
      <c r="J392" s="233" t="str">
        <f>IF(Dat_02!H391=0,"",Dat_02!H391)</f>
        <v/>
      </c>
    </row>
    <row r="393" spans="2:10">
      <c r="B393" s="224"/>
      <c r="C393" s="225">
        <f>Dat_02!B392</f>
        <v>45010</v>
      </c>
      <c r="D393" s="224"/>
      <c r="E393" s="226">
        <f>Dat_02!C392</f>
        <v>62.116361844181441</v>
      </c>
      <c r="F393" s="226">
        <f>Dat_02!D392</f>
        <v>128.18908398701601</v>
      </c>
      <c r="G393" s="226">
        <f>Dat_02!E392</f>
        <v>62.116361844181441</v>
      </c>
      <c r="I393" s="227">
        <f>Dat_02!G392</f>
        <v>0</v>
      </c>
      <c r="J393" s="233" t="str">
        <f>IF(Dat_02!H392=0,"",Dat_02!H392)</f>
        <v/>
      </c>
    </row>
    <row r="394" spans="2:10">
      <c r="B394" s="224"/>
      <c r="C394" s="225">
        <f>Dat_02!B393</f>
        <v>45011</v>
      </c>
      <c r="D394" s="224"/>
      <c r="E394" s="226">
        <f>Dat_02!C393</f>
        <v>47.913730123179569</v>
      </c>
      <c r="F394" s="226">
        <f>Dat_02!D393</f>
        <v>128.18908398701601</v>
      </c>
      <c r="G394" s="226">
        <f>Dat_02!E393</f>
        <v>47.913730123179569</v>
      </c>
      <c r="I394" s="227">
        <f>Dat_02!G393</f>
        <v>0</v>
      </c>
      <c r="J394" s="233" t="str">
        <f>IF(Dat_02!H393=0,"",Dat_02!H393)</f>
        <v/>
      </c>
    </row>
    <row r="395" spans="2:10">
      <c r="B395" s="224"/>
      <c r="C395" s="225">
        <f>Dat_02!B394</f>
        <v>45012</v>
      </c>
      <c r="D395" s="224"/>
      <c r="E395" s="226">
        <f>Dat_02!C394</f>
        <v>85.26875574318143</v>
      </c>
      <c r="F395" s="226">
        <f>Dat_02!D394</f>
        <v>128.18908398701601</v>
      </c>
      <c r="G395" s="226">
        <f>Dat_02!E394</f>
        <v>85.26875574318143</v>
      </c>
      <c r="I395" s="227">
        <f>Dat_02!G394</f>
        <v>0</v>
      </c>
      <c r="J395" s="233" t="str">
        <f>IF(Dat_02!H394=0,"",Dat_02!H394)</f>
        <v/>
      </c>
    </row>
    <row r="396" spans="2:10">
      <c r="B396" s="224"/>
      <c r="C396" s="225">
        <f>Dat_02!B395</f>
        <v>45013</v>
      </c>
      <c r="D396" s="224"/>
      <c r="E396" s="226">
        <f>Dat_02!C395</f>
        <v>98.424402666181436</v>
      </c>
      <c r="F396" s="226">
        <f>Dat_02!D395</f>
        <v>128.18908398701601</v>
      </c>
      <c r="G396" s="226">
        <f>Dat_02!E395</f>
        <v>98.424402666181436</v>
      </c>
      <c r="I396" s="227">
        <f>Dat_02!G395</f>
        <v>0</v>
      </c>
      <c r="J396" s="233" t="str">
        <f>IF(Dat_02!H395=0,"",Dat_02!H395)</f>
        <v/>
      </c>
    </row>
    <row r="397" spans="2:10">
      <c r="B397" s="224"/>
      <c r="C397" s="225">
        <f>Dat_02!B396</f>
        <v>45014</v>
      </c>
      <c r="D397" s="224"/>
      <c r="E397" s="226">
        <f>Dat_02!C396</f>
        <v>64.691698202706135</v>
      </c>
      <c r="F397" s="226">
        <f>Dat_02!D396</f>
        <v>128.18908398701601</v>
      </c>
      <c r="G397" s="226">
        <f>Dat_02!E396</f>
        <v>64.691698202706135</v>
      </c>
      <c r="I397" s="227">
        <f>Dat_02!G396</f>
        <v>0</v>
      </c>
      <c r="J397" s="233" t="str">
        <f>IF(Dat_02!H396=0,"",Dat_02!H396)</f>
        <v/>
      </c>
    </row>
    <row r="398" spans="2:10">
      <c r="B398" s="224"/>
      <c r="C398" s="225">
        <f>Dat_02!B397</f>
        <v>45015</v>
      </c>
      <c r="D398" s="224"/>
      <c r="E398" s="226">
        <f>Dat_02!C397</f>
        <v>59.011945382707992</v>
      </c>
      <c r="F398" s="226">
        <f>Dat_02!D397</f>
        <v>128.18908398701601</v>
      </c>
      <c r="G398" s="226">
        <f>Dat_02!E397</f>
        <v>59.011945382707992</v>
      </c>
      <c r="I398" s="227">
        <f>Dat_02!G397</f>
        <v>0</v>
      </c>
      <c r="J398" s="233" t="str">
        <f>IF(Dat_02!H397=0,"",Dat_02!H397)</f>
        <v/>
      </c>
    </row>
    <row r="399" spans="2:10">
      <c r="B399" s="224"/>
      <c r="C399" s="225">
        <f>Dat_02!B398</f>
        <v>45016</v>
      </c>
      <c r="D399" s="224"/>
      <c r="E399" s="226">
        <f>Dat_02!C398</f>
        <v>53.312698355709855</v>
      </c>
      <c r="F399" s="226">
        <f>Dat_02!D398</f>
        <v>128.18908398701601</v>
      </c>
      <c r="G399" s="226">
        <f>Dat_02!E398</f>
        <v>53.312698355709855</v>
      </c>
      <c r="I399" s="227">
        <f>Dat_02!G398</f>
        <v>0</v>
      </c>
      <c r="J399" s="233"/>
    </row>
    <row r="400" spans="2:10">
      <c r="B400" s="224"/>
      <c r="C400" s="225">
        <f>Dat_02!B399</f>
        <v>45017</v>
      </c>
      <c r="D400" s="224"/>
      <c r="E400" s="226">
        <f>Dat_02!C399</f>
        <v>42.493725209706128</v>
      </c>
      <c r="F400" s="226">
        <f>Dat_02!D399</f>
        <v>125.90182729691037</v>
      </c>
      <c r="G400" s="226">
        <f>Dat_02!E399</f>
        <v>42.493725209706128</v>
      </c>
      <c r="I400" s="227">
        <f>Dat_02!G399</f>
        <v>0</v>
      </c>
      <c r="J400" s="233"/>
    </row>
    <row r="401" spans="2:10">
      <c r="B401" s="224"/>
      <c r="C401" s="225">
        <f>Dat_02!B400</f>
        <v>45018</v>
      </c>
      <c r="D401" s="224"/>
      <c r="E401" s="226">
        <f>Dat_02!C400</f>
        <v>36.462962470707993</v>
      </c>
      <c r="F401" s="226">
        <f>Dat_02!D400</f>
        <v>125.90182729691037</v>
      </c>
      <c r="G401" s="226">
        <f>Dat_02!E400</f>
        <v>36.462962470707993</v>
      </c>
      <c r="I401" s="227">
        <f>Dat_02!G400</f>
        <v>0</v>
      </c>
      <c r="J401" s="233"/>
    </row>
    <row r="402" spans="2:10">
      <c r="B402" s="224"/>
      <c r="C402" s="225">
        <f>Dat_02!B401</f>
        <v>45019</v>
      </c>
      <c r="D402" s="224"/>
      <c r="E402" s="226">
        <f>Dat_02!C401</f>
        <v>71.586927515707998</v>
      </c>
      <c r="F402" s="226">
        <f>Dat_02!D401</f>
        <v>125.90182729691037</v>
      </c>
      <c r="G402" s="226">
        <f>Dat_02!E401</f>
        <v>71.586927515707998</v>
      </c>
      <c r="I402" s="227">
        <f>Dat_02!G401</f>
        <v>0</v>
      </c>
      <c r="J402" s="233"/>
    </row>
    <row r="403" spans="2:10">
      <c r="B403" s="224"/>
      <c r="C403" s="225">
        <f>Dat_02!B402</f>
        <v>45020</v>
      </c>
      <c r="D403" s="224"/>
      <c r="E403" s="226">
        <f>Dat_02!C402</f>
        <v>57.255484254709863</v>
      </c>
      <c r="F403" s="226">
        <f>Dat_02!D402</f>
        <v>125.90182729691037</v>
      </c>
      <c r="G403" s="226">
        <f>Dat_02!E402</f>
        <v>57.255484254709863</v>
      </c>
      <c r="I403" s="227">
        <f>Dat_02!G402</f>
        <v>0</v>
      </c>
      <c r="J403" s="233"/>
    </row>
    <row r="404" spans="2:10">
      <c r="B404" s="224"/>
      <c r="C404" s="225">
        <f>Dat_02!B403</f>
        <v>45021</v>
      </c>
      <c r="D404" s="224"/>
      <c r="E404" s="226">
        <f>Dat_02!C403</f>
        <v>64.599635284221606</v>
      </c>
      <c r="F404" s="226">
        <f>Dat_02!D403</f>
        <v>125.90182729691037</v>
      </c>
      <c r="G404" s="226">
        <f>Dat_02!E403</f>
        <v>64.599635284221606</v>
      </c>
      <c r="I404" s="227">
        <f>Dat_02!G403</f>
        <v>0</v>
      </c>
      <c r="J404" s="233"/>
    </row>
    <row r="405" spans="2:10">
      <c r="B405" s="224"/>
      <c r="C405" s="225">
        <f>Dat_02!B404</f>
        <v>45022</v>
      </c>
      <c r="D405" s="224"/>
      <c r="E405" s="226">
        <f>Dat_02!C404</f>
        <v>46.730263355221595</v>
      </c>
      <c r="F405" s="226">
        <f>Dat_02!D404</f>
        <v>125.90182729691037</v>
      </c>
      <c r="G405" s="226">
        <f>Dat_02!E404</f>
        <v>46.730263355221595</v>
      </c>
      <c r="I405" s="227">
        <f>Dat_02!G404</f>
        <v>0</v>
      </c>
      <c r="J405" s="233"/>
    </row>
    <row r="406" spans="2:10">
      <c r="B406" s="224"/>
      <c r="C406" s="225">
        <f>Dat_02!B405</f>
        <v>45023</v>
      </c>
      <c r="D406" s="224"/>
      <c r="E406" s="226">
        <f>Dat_02!C405</f>
        <v>37.4792726572216</v>
      </c>
      <c r="F406" s="226">
        <f>Dat_02!D405</f>
        <v>125.90182729691037</v>
      </c>
      <c r="G406" s="226">
        <f>Dat_02!E405</f>
        <v>37.4792726572216</v>
      </c>
      <c r="I406" s="227">
        <f>Dat_02!G405</f>
        <v>0</v>
      </c>
      <c r="J406" s="233"/>
    </row>
    <row r="407" spans="2:10">
      <c r="B407" s="224"/>
      <c r="C407" s="225">
        <f>Dat_02!B406</f>
        <v>45024</v>
      </c>
      <c r="D407" s="224"/>
      <c r="E407" s="226">
        <f>Dat_02!C406</f>
        <v>46.00130915122346</v>
      </c>
      <c r="F407" s="226">
        <f>Dat_02!D406</f>
        <v>125.90182729691037</v>
      </c>
      <c r="G407" s="226">
        <f>Dat_02!E406</f>
        <v>46.00130915122346</v>
      </c>
      <c r="I407" s="227">
        <f>Dat_02!G406</f>
        <v>0</v>
      </c>
      <c r="J407" s="233"/>
    </row>
    <row r="408" spans="2:10">
      <c r="B408" s="224"/>
      <c r="C408" s="225">
        <f>Dat_02!B407</f>
        <v>45025</v>
      </c>
      <c r="D408" s="224"/>
      <c r="E408" s="226">
        <f>Dat_02!C407</f>
        <v>35.098987776223453</v>
      </c>
      <c r="F408" s="226">
        <f>Dat_02!D407</f>
        <v>125.90182729691037</v>
      </c>
      <c r="G408" s="226">
        <f>Dat_02!E407</f>
        <v>35.098987776223453</v>
      </c>
      <c r="I408" s="227">
        <f>Dat_02!G407</f>
        <v>0</v>
      </c>
      <c r="J408" s="233"/>
    </row>
    <row r="409" spans="2:10">
      <c r="B409" s="224"/>
      <c r="C409" s="225">
        <f>Dat_02!B408</f>
        <v>45026</v>
      </c>
      <c r="D409" s="224"/>
      <c r="E409" s="226">
        <f>Dat_02!C408</f>
        <v>30.006082424221596</v>
      </c>
      <c r="F409" s="226">
        <f>Dat_02!D408</f>
        <v>125.90182729691037</v>
      </c>
      <c r="G409" s="226">
        <f>Dat_02!E408</f>
        <v>30.006082424221596</v>
      </c>
      <c r="I409" s="227">
        <f>Dat_02!G408</f>
        <v>0</v>
      </c>
      <c r="J409" s="233"/>
    </row>
    <row r="410" spans="2:10">
      <c r="B410" s="224"/>
      <c r="C410" s="225">
        <f>Dat_02!B409</f>
        <v>45027</v>
      </c>
      <c r="D410" s="224"/>
      <c r="E410" s="226">
        <f>Dat_02!C409</f>
        <v>50.322251453221597</v>
      </c>
      <c r="F410" s="226">
        <f>Dat_02!D409</f>
        <v>125.90182729691037</v>
      </c>
      <c r="G410" s="226">
        <f>Dat_02!E409</f>
        <v>50.322251453221597</v>
      </c>
      <c r="I410" s="227">
        <f>Dat_02!G409</f>
        <v>0</v>
      </c>
      <c r="J410" s="233"/>
    </row>
    <row r="411" spans="2:10">
      <c r="B411" s="224"/>
      <c r="C411" s="225">
        <f>Dat_02!B410</f>
        <v>45028</v>
      </c>
      <c r="D411" s="224"/>
      <c r="E411" s="226">
        <f>Dat_02!C410</f>
        <v>26.62239486300227</v>
      </c>
      <c r="F411" s="226">
        <f>Dat_02!D410</f>
        <v>125.90182729691037</v>
      </c>
      <c r="G411" s="226">
        <f>Dat_02!E410</f>
        <v>26.62239486300227</v>
      </c>
      <c r="I411" s="227">
        <f>Dat_02!G410</f>
        <v>0</v>
      </c>
      <c r="J411" s="233"/>
    </row>
    <row r="412" spans="2:10">
      <c r="B412" s="224"/>
      <c r="C412" s="225">
        <f>Dat_02!B411</f>
        <v>45029</v>
      </c>
      <c r="D412" s="224"/>
      <c r="E412" s="226">
        <f>Dat_02!C411</f>
        <v>33.460726938004143</v>
      </c>
      <c r="F412" s="226">
        <f>Dat_02!D411</f>
        <v>125.90182729691037</v>
      </c>
      <c r="G412" s="226">
        <f>Dat_02!E411</f>
        <v>33.460726938004143</v>
      </c>
      <c r="I412" s="227">
        <f>Dat_02!G411</f>
        <v>0</v>
      </c>
      <c r="J412" s="233"/>
    </row>
    <row r="413" spans="2:10">
      <c r="B413" s="224"/>
      <c r="C413" s="225">
        <f>Dat_02!B412</f>
        <v>45030</v>
      </c>
      <c r="D413" s="224"/>
      <c r="E413" s="226">
        <f>Dat_02!C412</f>
        <v>32.087652683002275</v>
      </c>
      <c r="F413" s="226">
        <f>Dat_02!D412</f>
        <v>125.90182729691037</v>
      </c>
      <c r="G413" s="226">
        <f>Dat_02!E412</f>
        <v>32.087652683002275</v>
      </c>
      <c r="I413" s="227">
        <f>Dat_02!G412</f>
        <v>0</v>
      </c>
      <c r="J413" s="233"/>
    </row>
    <row r="414" spans="2:10">
      <c r="B414" s="224"/>
      <c r="C414" s="225">
        <f>Dat_02!B413</f>
        <v>45031</v>
      </c>
      <c r="D414" s="224"/>
      <c r="E414" s="226">
        <f>Dat_02!C413</f>
        <v>26.979100495002275</v>
      </c>
      <c r="F414" s="226">
        <f>Dat_02!D413</f>
        <v>125.90182729691037</v>
      </c>
      <c r="G414" s="226">
        <f>Dat_02!E413</f>
        <v>26.979100495002275</v>
      </c>
      <c r="I414" s="227">
        <f>Dat_02!G413</f>
        <v>125.90182729691037</v>
      </c>
      <c r="J414" s="233"/>
    </row>
    <row r="415" spans="2:10">
      <c r="B415" s="224"/>
      <c r="C415" s="225">
        <f>Dat_02!B414</f>
        <v>45032</v>
      </c>
      <c r="D415" s="224"/>
      <c r="E415" s="226">
        <f>Dat_02!C414</f>
        <v>23.588325971002277</v>
      </c>
      <c r="F415" s="226">
        <f>Dat_02!D414</f>
        <v>125.90182729691037</v>
      </c>
      <c r="G415" s="226">
        <f>Dat_02!E414</f>
        <v>23.588325971002277</v>
      </c>
      <c r="I415" s="227">
        <f>Dat_02!G414</f>
        <v>0</v>
      </c>
      <c r="J415" s="233"/>
    </row>
    <row r="416" spans="2:10">
      <c r="B416" s="224"/>
      <c r="C416" s="225">
        <f>Dat_02!B415</f>
        <v>45033</v>
      </c>
      <c r="D416" s="224"/>
      <c r="E416" s="226">
        <f>Dat_02!C415</f>
        <v>40.381294851002274</v>
      </c>
      <c r="F416" s="226">
        <f>Dat_02!D415</f>
        <v>125.90182729691037</v>
      </c>
      <c r="G416" s="226">
        <f>Dat_02!E415</f>
        <v>40.381294851002274</v>
      </c>
      <c r="I416" s="227">
        <f>Dat_02!G415</f>
        <v>0</v>
      </c>
      <c r="J416" s="233"/>
    </row>
    <row r="417" spans="2:10">
      <c r="B417" s="224"/>
      <c r="C417" s="225">
        <f>Dat_02!B416</f>
        <v>45034</v>
      </c>
      <c r="D417" s="224"/>
      <c r="E417" s="226">
        <f>Dat_02!C416</f>
        <v>41.698311407002272</v>
      </c>
      <c r="F417" s="226">
        <f>Dat_02!D416</f>
        <v>125.90182729691037</v>
      </c>
      <c r="G417" s="226">
        <f>Dat_02!E416</f>
        <v>41.698311407002272</v>
      </c>
      <c r="I417" s="227">
        <f>Dat_02!G416</f>
        <v>0</v>
      </c>
      <c r="J417" s="233"/>
    </row>
    <row r="418" spans="2:10">
      <c r="B418" s="224"/>
      <c r="C418" s="225">
        <f>Dat_02!B417</f>
        <v>45035</v>
      </c>
      <c r="D418" s="224"/>
      <c r="E418" s="226">
        <f>Dat_02!C417</f>
        <v>38.459751478523017</v>
      </c>
      <c r="F418" s="226">
        <f>Dat_02!D417</f>
        <v>125.90182729691037</v>
      </c>
      <c r="G418" s="226">
        <f>Dat_02!E417</f>
        <v>38.459751478523017</v>
      </c>
      <c r="I418" s="227">
        <f>Dat_02!G417</f>
        <v>0</v>
      </c>
      <c r="J418" s="233"/>
    </row>
    <row r="419" spans="2:10">
      <c r="B419" s="224"/>
      <c r="C419" s="225">
        <f>Dat_02!B418</f>
        <v>45036</v>
      </c>
      <c r="D419" s="224"/>
      <c r="E419" s="226">
        <f>Dat_02!C418</f>
        <v>44.606724438528602</v>
      </c>
      <c r="F419" s="226">
        <f>Dat_02!D418</f>
        <v>125.90182729691037</v>
      </c>
      <c r="G419" s="226">
        <f>Dat_02!E418</f>
        <v>44.606724438528602</v>
      </c>
      <c r="I419" s="227">
        <f>Dat_02!G418</f>
        <v>0</v>
      </c>
      <c r="J419" s="233"/>
    </row>
    <row r="420" spans="2:10">
      <c r="B420" s="224"/>
      <c r="C420" s="225">
        <f>Dat_02!B419</f>
        <v>45037</v>
      </c>
      <c r="D420" s="224"/>
      <c r="E420" s="226">
        <f>Dat_02!C419</f>
        <v>42.978956294528601</v>
      </c>
      <c r="F420" s="226">
        <f>Dat_02!D419</f>
        <v>125.90182729691037</v>
      </c>
      <c r="G420" s="226">
        <f>Dat_02!E419</f>
        <v>42.978956294528601</v>
      </c>
      <c r="I420" s="227">
        <f>Dat_02!G419</f>
        <v>0</v>
      </c>
      <c r="J420" s="233"/>
    </row>
    <row r="421" spans="2:10">
      <c r="B421" s="224"/>
      <c r="C421" s="225">
        <f>Dat_02!B420</f>
        <v>45038</v>
      </c>
      <c r="D421" s="224"/>
      <c r="E421" s="226">
        <f>Dat_02!C420</f>
        <v>32.30674932252488</v>
      </c>
      <c r="F421" s="226">
        <f>Dat_02!D420</f>
        <v>125.90182729691037</v>
      </c>
      <c r="G421" s="226">
        <f>Dat_02!E420</f>
        <v>32.30674932252488</v>
      </c>
      <c r="I421" s="227">
        <f>Dat_02!G420</f>
        <v>0</v>
      </c>
      <c r="J421" s="233"/>
    </row>
    <row r="422" spans="2:10">
      <c r="B422" s="224"/>
      <c r="C422" s="225">
        <f>Dat_02!B421</f>
        <v>45039</v>
      </c>
      <c r="D422" s="224"/>
      <c r="E422" s="226">
        <f>Dat_02!C421</f>
        <v>16.129574974524875</v>
      </c>
      <c r="F422" s="226">
        <f>Dat_02!D421</f>
        <v>125.90182729691037</v>
      </c>
      <c r="G422" s="226">
        <f>Dat_02!E421</f>
        <v>16.129574974524875</v>
      </c>
      <c r="I422" s="227">
        <f>Dat_02!G421</f>
        <v>0</v>
      </c>
      <c r="J422" s="233"/>
    </row>
    <row r="423" spans="2:10">
      <c r="B423" s="224"/>
      <c r="C423" s="225">
        <f>Dat_02!B422</f>
        <v>45040</v>
      </c>
      <c r="D423" s="224"/>
      <c r="E423" s="226">
        <f>Dat_02!C422</f>
        <v>33.781601114526737</v>
      </c>
      <c r="F423" s="226">
        <f>Dat_02!D422</f>
        <v>125.90182729691037</v>
      </c>
      <c r="G423" s="226">
        <f>Dat_02!E422</f>
        <v>33.781601114526737</v>
      </c>
      <c r="I423" s="227">
        <f>Dat_02!G422</f>
        <v>0</v>
      </c>
      <c r="J423" s="233"/>
    </row>
    <row r="424" spans="2:10">
      <c r="B424" s="224"/>
      <c r="C424" s="225">
        <f>Dat_02!B423</f>
        <v>45041</v>
      </c>
      <c r="D424" s="224"/>
      <c r="E424" s="226">
        <f>Dat_02!C423</f>
        <v>34.263615814526737</v>
      </c>
      <c r="F424" s="226">
        <f>Dat_02!D423</f>
        <v>125.90182729691037</v>
      </c>
      <c r="G424" s="226">
        <f>Dat_02!E423</f>
        <v>34.263615814526737</v>
      </c>
      <c r="I424" s="227">
        <f>Dat_02!G423</f>
        <v>0</v>
      </c>
      <c r="J424" s="233"/>
    </row>
    <row r="425" spans="2:10">
      <c r="B425" s="224"/>
      <c r="C425" s="225">
        <f>Dat_02!B424</f>
        <v>45042</v>
      </c>
      <c r="D425" s="224"/>
      <c r="E425" s="226">
        <f>Dat_02!C424</f>
        <v>47.822112063296359</v>
      </c>
      <c r="F425" s="226">
        <f>Dat_02!D424</f>
        <v>125.90182729691037</v>
      </c>
      <c r="G425" s="226">
        <f>Dat_02!E424</f>
        <v>47.822112063296359</v>
      </c>
      <c r="I425" s="227">
        <f>Dat_02!G424</f>
        <v>0</v>
      </c>
      <c r="J425" s="233"/>
    </row>
    <row r="426" spans="2:10">
      <c r="B426" s="224"/>
      <c r="C426" s="225">
        <f>Dat_02!B425</f>
        <v>45043</v>
      </c>
      <c r="D426" s="224"/>
      <c r="E426" s="226">
        <f>Dat_02!C425</f>
        <v>51.846013083296363</v>
      </c>
      <c r="F426" s="226">
        <f>Dat_02!D425</f>
        <v>125.90182729691037</v>
      </c>
      <c r="G426" s="226">
        <f>Dat_02!E425</f>
        <v>51.846013083296363</v>
      </c>
      <c r="I426" s="227">
        <f>Dat_02!G425</f>
        <v>0</v>
      </c>
      <c r="J426" s="233"/>
    </row>
    <row r="427" spans="2:10">
      <c r="B427" s="224"/>
      <c r="C427" s="225">
        <f>Dat_02!B426</f>
        <v>45044</v>
      </c>
      <c r="D427" s="224"/>
      <c r="E427" s="226">
        <f>Dat_02!C426</f>
        <v>52.039187827300076</v>
      </c>
      <c r="F427" s="226">
        <f>Dat_02!D426</f>
        <v>125.90182729691037</v>
      </c>
      <c r="G427" s="226">
        <f>Dat_02!E426</f>
        <v>52.039187827300076</v>
      </c>
      <c r="I427" s="227">
        <f>Dat_02!G426</f>
        <v>0</v>
      </c>
      <c r="J427" s="233"/>
    </row>
    <row r="428" spans="2:10">
      <c r="B428" s="224"/>
      <c r="C428" s="225">
        <f>Dat_02!B427</f>
        <v>45045</v>
      </c>
      <c r="D428" s="224"/>
      <c r="E428" s="226">
        <f>Dat_02!C427</f>
        <v>40.590203135296363</v>
      </c>
      <c r="F428" s="226">
        <f>Dat_02!D427</f>
        <v>125.90182729691037</v>
      </c>
      <c r="G428" s="226">
        <f>Dat_02!E427</f>
        <v>40.590203135296363</v>
      </c>
      <c r="I428" s="227">
        <f>Dat_02!G427</f>
        <v>0</v>
      </c>
      <c r="J428" s="233"/>
    </row>
    <row r="429" spans="2:10">
      <c r="B429" s="224"/>
      <c r="C429" s="225">
        <f>Dat_02!B428</f>
        <v>45046</v>
      </c>
      <c r="D429" s="224"/>
      <c r="E429" s="226">
        <f>Dat_02!C428</f>
        <v>28.058505235298224</v>
      </c>
      <c r="F429" s="226">
        <f>Dat_02!D428</f>
        <v>125.90182729691037</v>
      </c>
      <c r="G429" s="226">
        <f>Dat_02!E428</f>
        <v>28.058505235298224</v>
      </c>
      <c r="I429" s="227">
        <f>Dat_02!G428</f>
        <v>0</v>
      </c>
      <c r="J429" s="233"/>
    </row>
    <row r="430" spans="2:10">
      <c r="B430" s="224"/>
      <c r="C430" s="225">
        <f>Dat_02!B429</f>
        <v>45047</v>
      </c>
      <c r="D430" s="224"/>
      <c r="E430" s="226">
        <f>Dat_02!C429</f>
        <v>19.094722231298221</v>
      </c>
      <c r="F430" s="226">
        <f>Dat_02!D429</f>
        <v>98.741424078570617</v>
      </c>
      <c r="G430" s="226">
        <f>Dat_02!E429</f>
        <v>19.094722231298221</v>
      </c>
      <c r="I430" s="227">
        <f>Dat_02!G429</f>
        <v>0</v>
      </c>
      <c r="J430" s="233"/>
    </row>
    <row r="431" spans="2:10">
      <c r="B431" s="224"/>
      <c r="C431" s="225">
        <f>Dat_02!B430</f>
        <v>45048</v>
      </c>
      <c r="D431" s="224"/>
      <c r="E431" s="226">
        <f>Dat_02!C430</f>
        <v>39.405765023296354</v>
      </c>
      <c r="F431" s="226">
        <f>Dat_02!D430</f>
        <v>98.741424078570617</v>
      </c>
      <c r="G431" s="226">
        <f>Dat_02!E430</f>
        <v>39.405765023296354</v>
      </c>
      <c r="I431" s="227">
        <f>Dat_02!G430</f>
        <v>0</v>
      </c>
      <c r="J431" s="233"/>
    </row>
    <row r="432" spans="2:10">
      <c r="B432" s="224"/>
      <c r="C432" s="225">
        <f>Dat_02!B431</f>
        <v>45049</v>
      </c>
      <c r="D432" s="224"/>
      <c r="E432" s="226">
        <f>Dat_02!C431</f>
        <v>24.253473117605893</v>
      </c>
      <c r="F432" s="226">
        <f>Dat_02!D431</f>
        <v>98.741424078570617</v>
      </c>
      <c r="G432" s="226">
        <f>Dat_02!E431</f>
        <v>24.253473117605893</v>
      </c>
      <c r="I432" s="227">
        <f>Dat_02!G431</f>
        <v>0</v>
      </c>
      <c r="J432" s="233"/>
    </row>
    <row r="433" spans="2:10">
      <c r="B433" s="224"/>
      <c r="C433" s="225">
        <f>Dat_02!B432</f>
        <v>45050</v>
      </c>
      <c r="D433" s="224"/>
      <c r="E433" s="226">
        <f>Dat_02!C432</f>
        <v>29.789511705604031</v>
      </c>
      <c r="F433" s="226">
        <f>Dat_02!D432</f>
        <v>98.741424078570617</v>
      </c>
      <c r="G433" s="226">
        <f>Dat_02!E432</f>
        <v>29.789511705604031</v>
      </c>
      <c r="I433" s="227">
        <f>Dat_02!G432</f>
        <v>0</v>
      </c>
      <c r="J433" s="233"/>
    </row>
    <row r="434" spans="2:10">
      <c r="B434" s="224"/>
      <c r="C434" s="225">
        <f>Dat_02!B433</f>
        <v>45051</v>
      </c>
      <c r="D434" s="224"/>
      <c r="E434" s="226">
        <f>Dat_02!C433</f>
        <v>35.531756725605895</v>
      </c>
      <c r="F434" s="226">
        <f>Dat_02!D433</f>
        <v>98.741424078570617</v>
      </c>
      <c r="G434" s="226">
        <f>Dat_02!E433</f>
        <v>35.531756725605895</v>
      </c>
      <c r="I434" s="227">
        <f>Dat_02!G433</f>
        <v>0</v>
      </c>
      <c r="J434" s="233"/>
    </row>
    <row r="435" spans="2:10">
      <c r="B435" s="224"/>
      <c r="C435" s="225">
        <f>Dat_02!B434</f>
        <v>45052</v>
      </c>
      <c r="D435" s="224"/>
      <c r="E435" s="226">
        <f>Dat_02!C434</f>
        <v>22.35288369360217</v>
      </c>
      <c r="F435" s="226">
        <f>Dat_02!D434</f>
        <v>98.741424078570617</v>
      </c>
      <c r="G435" s="226">
        <f>Dat_02!E434</f>
        <v>22.35288369360217</v>
      </c>
      <c r="I435" s="227">
        <f>Dat_02!G434</f>
        <v>0</v>
      </c>
      <c r="J435" s="233"/>
    </row>
    <row r="436" spans="2:10">
      <c r="B436" s="224"/>
      <c r="C436" s="225">
        <f>Dat_02!B435</f>
        <v>45053</v>
      </c>
      <c r="D436" s="224"/>
      <c r="E436" s="226">
        <f>Dat_02!C435</f>
        <v>20.947856357607758</v>
      </c>
      <c r="F436" s="226">
        <f>Dat_02!D435</f>
        <v>98.741424078570617</v>
      </c>
      <c r="G436" s="226">
        <f>Dat_02!E435</f>
        <v>20.947856357607758</v>
      </c>
      <c r="I436" s="227">
        <f>Dat_02!G435</f>
        <v>0</v>
      </c>
      <c r="J436" s="233"/>
    </row>
    <row r="437" spans="2:10">
      <c r="B437" s="224"/>
      <c r="C437" s="225">
        <f>Dat_02!B436</f>
        <v>45054</v>
      </c>
      <c r="D437" s="224"/>
      <c r="E437" s="226">
        <f>Dat_02!C436</f>
        <v>34.689995977604035</v>
      </c>
      <c r="F437" s="226">
        <f>Dat_02!D436</f>
        <v>98.741424078570617</v>
      </c>
      <c r="G437" s="226">
        <f>Dat_02!E436</f>
        <v>34.689995977604035</v>
      </c>
      <c r="I437" s="227">
        <f>Dat_02!G436</f>
        <v>0</v>
      </c>
      <c r="J437" s="233"/>
    </row>
    <row r="438" spans="2:10">
      <c r="B438" s="224"/>
      <c r="C438" s="225">
        <f>Dat_02!B437</f>
        <v>45055</v>
      </c>
      <c r="D438" s="224"/>
      <c r="E438" s="226">
        <f>Dat_02!C437</f>
        <v>23.200321058604029</v>
      </c>
      <c r="F438" s="226">
        <f>Dat_02!D437</f>
        <v>98.741424078570617</v>
      </c>
      <c r="G438" s="226">
        <f>Dat_02!E437</f>
        <v>23.200321058604029</v>
      </c>
      <c r="I438" s="227">
        <f>Dat_02!G437</f>
        <v>0</v>
      </c>
      <c r="J438" s="233"/>
    </row>
    <row r="439" spans="2:10">
      <c r="B439" s="224"/>
      <c r="C439" s="225">
        <f>Dat_02!B438</f>
        <v>45056</v>
      </c>
      <c r="D439" s="224"/>
      <c r="E439" s="226">
        <f>Dat_02!C438</f>
        <v>30.85524472361184</v>
      </c>
      <c r="F439" s="226">
        <f>Dat_02!D438</f>
        <v>98.741424078570617</v>
      </c>
      <c r="G439" s="226">
        <f>Dat_02!E438</f>
        <v>30.85524472361184</v>
      </c>
      <c r="I439" s="227">
        <f>Dat_02!G438</f>
        <v>0</v>
      </c>
      <c r="J439" s="233"/>
    </row>
    <row r="440" spans="2:10">
      <c r="B440" s="224"/>
      <c r="C440" s="225">
        <f>Dat_02!B439</f>
        <v>45057</v>
      </c>
      <c r="D440" s="224"/>
      <c r="E440" s="226">
        <f>Dat_02!C439</f>
        <v>26.687434412613701</v>
      </c>
      <c r="F440" s="226">
        <f>Dat_02!D439</f>
        <v>98.741424078570617</v>
      </c>
      <c r="G440" s="226">
        <f>Dat_02!E439</f>
        <v>26.687434412613701</v>
      </c>
      <c r="I440" s="227">
        <f>Dat_02!G439</f>
        <v>0</v>
      </c>
      <c r="J440" s="233"/>
    </row>
    <row r="441" spans="2:10">
      <c r="B441" s="224"/>
      <c r="C441" s="225">
        <f>Dat_02!B440</f>
        <v>45058</v>
      </c>
      <c r="D441" s="224"/>
      <c r="E441" s="226">
        <f>Dat_02!C440</f>
        <v>24.748296420613705</v>
      </c>
      <c r="F441" s="226">
        <f>Dat_02!D440</f>
        <v>98.741424078570617</v>
      </c>
      <c r="G441" s="226">
        <f>Dat_02!E440</f>
        <v>24.748296420613705</v>
      </c>
      <c r="I441" s="227">
        <f>Dat_02!G440</f>
        <v>0</v>
      </c>
      <c r="J441" s="233"/>
    </row>
    <row r="442" spans="2:10">
      <c r="B442" s="224"/>
      <c r="C442" s="225">
        <f>Dat_02!B441</f>
        <v>45059</v>
      </c>
      <c r="D442" s="224"/>
      <c r="E442" s="226">
        <f>Dat_02!C441</f>
        <v>14.840623304609981</v>
      </c>
      <c r="F442" s="226">
        <f>Dat_02!D441</f>
        <v>98.741424078570617</v>
      </c>
      <c r="G442" s="226">
        <f>Dat_02!E441</f>
        <v>14.840623304609981</v>
      </c>
      <c r="I442" s="227">
        <f>Dat_02!G441</f>
        <v>0</v>
      </c>
      <c r="J442" s="233"/>
    </row>
    <row r="443" spans="2:10">
      <c r="B443" s="224"/>
      <c r="C443" s="225">
        <f>Dat_02!B442</f>
        <v>45060</v>
      </c>
      <c r="D443" s="224"/>
      <c r="E443" s="226">
        <f>Dat_02!C442</f>
        <v>12.583411300613701</v>
      </c>
      <c r="F443" s="226">
        <f>Dat_02!D442</f>
        <v>98.741424078570617</v>
      </c>
      <c r="G443" s="226">
        <f>Dat_02!E442</f>
        <v>12.583411300613701</v>
      </c>
      <c r="I443" s="227">
        <f>Dat_02!G442</f>
        <v>0</v>
      </c>
      <c r="J443" s="233"/>
    </row>
    <row r="444" spans="2:10">
      <c r="B444" s="224"/>
      <c r="C444" s="225">
        <f>Dat_02!B443</f>
        <v>45061</v>
      </c>
      <c r="D444" s="224"/>
      <c r="E444" s="226">
        <f>Dat_02!C443</f>
        <v>19.699402096613703</v>
      </c>
      <c r="F444" s="226">
        <f>Dat_02!D443</f>
        <v>98.741424078570617</v>
      </c>
      <c r="G444" s="226">
        <f>Dat_02!E443</f>
        <v>19.699402096613703</v>
      </c>
      <c r="I444" s="227">
        <f>Dat_02!G443</f>
        <v>98.741424078570617</v>
      </c>
      <c r="J444" s="233"/>
    </row>
    <row r="445" spans="2:10">
      <c r="B445" s="224"/>
      <c r="C445" s="225">
        <f>Dat_02!B444</f>
        <v>45062</v>
      </c>
      <c r="D445" s="224"/>
      <c r="E445" s="226">
        <f>Dat_02!C444</f>
        <v>16.314681832609974</v>
      </c>
      <c r="F445" s="226">
        <f>Dat_02!D444</f>
        <v>98.741424078570617</v>
      </c>
      <c r="G445" s="226">
        <f>Dat_02!E444</f>
        <v>16.314681832609974</v>
      </c>
      <c r="I445" s="227">
        <f>Dat_02!G444</f>
        <v>0</v>
      </c>
      <c r="J445" s="233"/>
    </row>
    <row r="446" spans="2:10">
      <c r="B446" s="224"/>
      <c r="C446" s="225">
        <f>Dat_02!B445</f>
        <v>45063</v>
      </c>
      <c r="D446" s="224"/>
      <c r="E446" s="226">
        <f>Dat_02!C445</f>
        <v>12.384628724485975</v>
      </c>
      <c r="F446" s="226">
        <f>Dat_02!D445</f>
        <v>98.741424078570617</v>
      </c>
      <c r="G446" s="226">
        <f>Dat_02!E445</f>
        <v>12.384628724485975</v>
      </c>
      <c r="I446" s="227">
        <f>Dat_02!G445</f>
        <v>0</v>
      </c>
      <c r="J446" s="233"/>
    </row>
    <row r="447" spans="2:10">
      <c r="B447" s="224"/>
      <c r="C447" s="225">
        <f>Dat_02!B446</f>
        <v>45064</v>
      </c>
      <c r="D447" s="224"/>
      <c r="E447" s="226">
        <f>Dat_02!C446</f>
        <v>16.360547560484111</v>
      </c>
      <c r="F447" s="226">
        <f>Dat_02!D446</f>
        <v>98.741424078570617</v>
      </c>
      <c r="G447" s="226">
        <f>Dat_02!E446</f>
        <v>16.360547560484111</v>
      </c>
      <c r="I447" s="227">
        <f>Dat_02!G446</f>
        <v>0</v>
      </c>
      <c r="J447" s="233"/>
    </row>
    <row r="448" spans="2:10">
      <c r="B448" s="224"/>
      <c r="C448" s="225">
        <f>Dat_02!B447</f>
        <v>45065</v>
      </c>
      <c r="D448" s="224"/>
      <c r="E448" s="226">
        <f>Dat_02!C447</f>
        <v>22.062701252485976</v>
      </c>
      <c r="F448" s="226">
        <f>Dat_02!D447</f>
        <v>98.741424078570617</v>
      </c>
      <c r="G448" s="226">
        <f>Dat_02!E447</f>
        <v>22.062701252485976</v>
      </c>
      <c r="I448" s="227">
        <f>Dat_02!G447</f>
        <v>0</v>
      </c>
      <c r="J448" s="233"/>
    </row>
    <row r="449" spans="2:10">
      <c r="B449" s="224"/>
      <c r="C449" s="225">
        <f>Dat_02!B448</f>
        <v>45066</v>
      </c>
      <c r="D449" s="224"/>
      <c r="E449" s="226">
        <f>Dat_02!C448</f>
        <v>20.187922392484115</v>
      </c>
      <c r="F449" s="226">
        <f>Dat_02!D448</f>
        <v>98.741424078570617</v>
      </c>
      <c r="G449" s="226">
        <f>Dat_02!E448</f>
        <v>20.187922392484115</v>
      </c>
      <c r="I449" s="227">
        <f>Dat_02!G448</f>
        <v>0</v>
      </c>
      <c r="J449" s="233"/>
    </row>
    <row r="450" spans="2:10">
      <c r="B450" s="224"/>
      <c r="C450" s="225">
        <f>Dat_02!B449</f>
        <v>45067</v>
      </c>
      <c r="D450" s="224"/>
      <c r="E450" s="226">
        <f>Dat_02!C449</f>
        <v>23.558985800484109</v>
      </c>
      <c r="F450" s="226">
        <f>Dat_02!D449</f>
        <v>98.741424078570617</v>
      </c>
      <c r="G450" s="226">
        <f>Dat_02!E449</f>
        <v>23.558985800484109</v>
      </c>
      <c r="I450" s="227">
        <f>Dat_02!G449</f>
        <v>0</v>
      </c>
      <c r="J450" s="233"/>
    </row>
    <row r="451" spans="2:10">
      <c r="B451" s="224"/>
      <c r="C451" s="225">
        <f>Dat_02!B450</f>
        <v>45068</v>
      </c>
      <c r="D451" s="224"/>
      <c r="E451" s="226">
        <f>Dat_02!C450</f>
        <v>46.20527082448784</v>
      </c>
      <c r="F451" s="226">
        <f>Dat_02!D450</f>
        <v>98.741424078570617</v>
      </c>
      <c r="G451" s="226">
        <f>Dat_02!E450</f>
        <v>46.20527082448784</v>
      </c>
      <c r="I451" s="227">
        <f>Dat_02!G450</f>
        <v>0</v>
      </c>
      <c r="J451" s="233"/>
    </row>
    <row r="452" spans="2:10">
      <c r="B452" s="224"/>
      <c r="C452" s="225">
        <f>Dat_02!B451</f>
        <v>45069</v>
      </c>
      <c r="D452" s="224"/>
      <c r="E452" s="226">
        <f>Dat_02!C451</f>
        <v>35.948164148484111</v>
      </c>
      <c r="F452" s="226">
        <f>Dat_02!D451</f>
        <v>98.741424078570617</v>
      </c>
      <c r="G452" s="226">
        <f>Dat_02!E451</f>
        <v>35.948164148484111</v>
      </c>
      <c r="I452" s="227">
        <f>Dat_02!G451</f>
        <v>0</v>
      </c>
      <c r="J452" s="233"/>
    </row>
    <row r="453" spans="2:10">
      <c r="B453" s="224"/>
      <c r="C453" s="225">
        <f>Dat_02!B452</f>
        <v>45070</v>
      </c>
      <c r="D453" s="224"/>
      <c r="E453" s="226">
        <f>Dat_02!C452</f>
        <v>37.116430182011072</v>
      </c>
      <c r="F453" s="226">
        <f>Dat_02!D452</f>
        <v>98.741424078570617</v>
      </c>
      <c r="G453" s="226">
        <f>Dat_02!E452</f>
        <v>37.116430182011072</v>
      </c>
      <c r="I453" s="227">
        <f>Dat_02!G452</f>
        <v>0</v>
      </c>
      <c r="J453" s="233"/>
    </row>
    <row r="454" spans="2:10">
      <c r="B454" s="224"/>
      <c r="C454" s="225">
        <f>Dat_02!B453</f>
        <v>45071</v>
      </c>
      <c r="D454" s="224"/>
      <c r="E454" s="226">
        <f>Dat_02!C453</f>
        <v>31.226979650009206</v>
      </c>
      <c r="F454" s="226">
        <f>Dat_02!D453</f>
        <v>98.741424078570617</v>
      </c>
      <c r="G454" s="226">
        <f>Dat_02!E453</f>
        <v>31.226979650009206</v>
      </c>
      <c r="I454" s="227">
        <f>Dat_02!G453</f>
        <v>0</v>
      </c>
      <c r="J454" s="233"/>
    </row>
    <row r="455" spans="2:10">
      <c r="B455" s="224"/>
      <c r="C455" s="225">
        <f>Dat_02!B454</f>
        <v>45072</v>
      </c>
      <c r="D455" s="224"/>
      <c r="E455" s="226">
        <f>Dat_02!C454</f>
        <v>26.447559566012934</v>
      </c>
      <c r="F455" s="226">
        <f>Dat_02!D454</f>
        <v>98.741424078570617</v>
      </c>
      <c r="G455" s="226">
        <f>Dat_02!E454</f>
        <v>26.447559566012934</v>
      </c>
      <c r="I455" s="227">
        <f>Dat_02!G454</f>
        <v>0</v>
      </c>
      <c r="J455" s="233"/>
    </row>
    <row r="456" spans="2:10">
      <c r="B456" s="224"/>
      <c r="C456" s="225">
        <f>Dat_02!B455</f>
        <v>45073</v>
      </c>
      <c r="D456" s="224"/>
      <c r="E456" s="226">
        <f>Dat_02!C455</f>
        <v>36.083278978012935</v>
      </c>
      <c r="F456" s="226">
        <f>Dat_02!D455</f>
        <v>98.741424078570617</v>
      </c>
      <c r="G456" s="226">
        <f>Dat_02!E455</f>
        <v>36.083278978012935</v>
      </c>
      <c r="I456" s="227">
        <f>Dat_02!G455</f>
        <v>0</v>
      </c>
      <c r="J456" s="233"/>
    </row>
    <row r="457" spans="2:10">
      <c r="B457" s="224"/>
      <c r="C457" s="225">
        <f>Dat_02!B456</f>
        <v>45074</v>
      </c>
      <c r="D457" s="224"/>
      <c r="E457" s="226">
        <f>Dat_02!C456</f>
        <v>27.348481378011069</v>
      </c>
      <c r="F457" s="226">
        <f>Dat_02!D456</f>
        <v>98.741424078570617</v>
      </c>
      <c r="G457" s="226">
        <f>Dat_02!E456</f>
        <v>27.348481378011069</v>
      </c>
      <c r="I457" s="227">
        <f>Dat_02!G456</f>
        <v>0</v>
      </c>
      <c r="J457" s="233"/>
    </row>
    <row r="458" spans="2:10">
      <c r="B458" s="224"/>
      <c r="C458" s="225">
        <f>Dat_02!B457</f>
        <v>45075</v>
      </c>
      <c r="D458" s="224"/>
      <c r="E458" s="226">
        <f>Dat_02!C457</f>
        <v>37.985107738009212</v>
      </c>
      <c r="F458" s="226">
        <f>Dat_02!D457</f>
        <v>98.741424078570617</v>
      </c>
      <c r="G458" s="226">
        <f>Dat_02!E457</f>
        <v>37.985107738009212</v>
      </c>
      <c r="I458" s="227">
        <f>Dat_02!G457</f>
        <v>0</v>
      </c>
      <c r="J458" s="233"/>
    </row>
    <row r="459" spans="2:10">
      <c r="B459" s="224"/>
      <c r="C459" s="225">
        <f>Dat_02!B458</f>
        <v>45076</v>
      </c>
      <c r="D459" s="224"/>
      <c r="E459" s="226">
        <f>Dat_02!C458</f>
        <v>53.444317844011074</v>
      </c>
      <c r="F459" s="226">
        <f>Dat_02!D458</f>
        <v>98.741424078570617</v>
      </c>
      <c r="G459" s="226">
        <f>Dat_02!E458</f>
        <v>53.444317844011074</v>
      </c>
      <c r="I459" s="227">
        <f>Dat_02!G458</f>
        <v>0</v>
      </c>
      <c r="J459" s="233"/>
    </row>
    <row r="460" spans="2:10">
      <c r="B460" s="224"/>
      <c r="C460" s="225">
        <f>Dat_02!B459</f>
        <v>45077</v>
      </c>
      <c r="D460" s="224"/>
      <c r="E460" s="226">
        <f>Dat_02!C459</f>
        <v>50.229088330899209</v>
      </c>
      <c r="F460" s="226">
        <f>Dat_02!D459</f>
        <v>98.741424078570617</v>
      </c>
      <c r="G460" s="226">
        <f>Dat_02!E459</f>
        <v>50.229088330899209</v>
      </c>
      <c r="I460" s="227">
        <f>Dat_02!G459</f>
        <v>0</v>
      </c>
      <c r="J460" s="233"/>
    </row>
    <row r="461" spans="2:10">
      <c r="B461" s="224"/>
      <c r="C461" s="225">
        <f>Dat_02!B460</f>
        <v>45078</v>
      </c>
      <c r="D461" s="224"/>
      <c r="E461" s="226">
        <f>Dat_02!C460</f>
        <v>60.779131178901082</v>
      </c>
      <c r="F461" s="226">
        <f>Dat_02!D460</f>
        <v>62.091495991055417</v>
      </c>
      <c r="G461" s="226">
        <f>Dat_02!E460</f>
        <v>60.779131178901082</v>
      </c>
      <c r="I461" s="227">
        <f>Dat_02!G460</f>
        <v>0</v>
      </c>
      <c r="J461" s="233"/>
    </row>
    <row r="462" spans="2:10">
      <c r="B462" s="224"/>
      <c r="C462" s="225">
        <f>Dat_02!B461</f>
        <v>45079</v>
      </c>
      <c r="D462" s="224"/>
      <c r="E462" s="226">
        <f>Dat_02!C461</f>
        <v>61.613809250901078</v>
      </c>
      <c r="F462" s="226">
        <f>Dat_02!D461</f>
        <v>62.091495991055417</v>
      </c>
      <c r="G462" s="226">
        <f>Dat_02!E461</f>
        <v>61.613809250901078</v>
      </c>
      <c r="I462" s="227">
        <f>Dat_02!G461</f>
        <v>0</v>
      </c>
      <c r="J462" s="233"/>
    </row>
    <row r="463" spans="2:10">
      <c r="B463" s="224"/>
      <c r="C463" s="225">
        <f>Dat_02!B462</f>
        <v>45080</v>
      </c>
      <c r="D463" s="224"/>
      <c r="E463" s="226">
        <f>Dat_02!C462</f>
        <v>40.712711482899209</v>
      </c>
      <c r="F463" s="226">
        <f>Dat_02!D462</f>
        <v>62.091495991055417</v>
      </c>
      <c r="G463" s="226">
        <f>Dat_02!E462</f>
        <v>40.712711482899209</v>
      </c>
      <c r="I463" s="227">
        <f>Dat_02!G462</f>
        <v>0</v>
      </c>
      <c r="J463" s="233"/>
    </row>
    <row r="464" spans="2:10">
      <c r="B464" s="224"/>
      <c r="C464" s="225">
        <f>Dat_02!B463</f>
        <v>45081</v>
      </c>
      <c r="D464" s="224"/>
      <c r="E464" s="226">
        <f>Dat_02!C463</f>
        <v>32.857694770899215</v>
      </c>
      <c r="F464" s="226">
        <f>Dat_02!D463</f>
        <v>62.091495991055417</v>
      </c>
      <c r="G464" s="226">
        <f>Dat_02!E463</f>
        <v>32.857694770899215</v>
      </c>
      <c r="I464" s="227">
        <f>Dat_02!G463</f>
        <v>0</v>
      </c>
      <c r="J464" s="233"/>
    </row>
    <row r="465" spans="2:10">
      <c r="B465" s="224"/>
      <c r="C465" s="225">
        <f>Dat_02!B464</f>
        <v>45082</v>
      </c>
      <c r="D465" s="224"/>
      <c r="E465" s="226">
        <f>Dat_02!C464</f>
        <v>59.050819934901085</v>
      </c>
      <c r="F465" s="226">
        <f>Dat_02!D464</f>
        <v>62.091495991055417</v>
      </c>
      <c r="G465" s="226">
        <f>Dat_02!E464</f>
        <v>59.050819934901085</v>
      </c>
      <c r="I465" s="227">
        <f>Dat_02!G464</f>
        <v>0</v>
      </c>
      <c r="J465" s="233"/>
    </row>
    <row r="466" spans="2:10">
      <c r="B466" s="224"/>
      <c r="C466" s="225">
        <f>Dat_02!B465</f>
        <v>45083</v>
      </c>
      <c r="D466" s="224"/>
      <c r="E466" s="226">
        <f>Dat_02!C465</f>
        <v>56.63656027489921</v>
      </c>
      <c r="F466" s="226">
        <f>Dat_02!D465</f>
        <v>62.091495991055417</v>
      </c>
      <c r="G466" s="226">
        <f>Dat_02!E465</f>
        <v>56.63656027489921</v>
      </c>
      <c r="I466" s="227">
        <f>Dat_02!G465</f>
        <v>0</v>
      </c>
      <c r="J466" s="233"/>
    </row>
    <row r="467" spans="2:10">
      <c r="B467" s="224"/>
      <c r="C467" s="225">
        <f>Dat_02!B466</f>
        <v>45084</v>
      </c>
      <c r="D467" s="224"/>
      <c r="E467" s="226">
        <f>Dat_02!C466</f>
        <v>69.214255720859512</v>
      </c>
      <c r="F467" s="226">
        <f>Dat_02!D466</f>
        <v>62.091495991055417</v>
      </c>
      <c r="G467" s="226">
        <f>Dat_02!E466</f>
        <v>62.091495991055417</v>
      </c>
      <c r="I467" s="227">
        <f>Dat_02!G466</f>
        <v>0</v>
      </c>
      <c r="J467" s="233"/>
    </row>
    <row r="468" spans="2:10">
      <c r="B468" s="224"/>
      <c r="C468" s="225">
        <f>Dat_02!B467</f>
        <v>45085</v>
      </c>
      <c r="D468" s="224"/>
      <c r="E468" s="226">
        <f>Dat_02!C467</f>
        <v>72.875898024859524</v>
      </c>
      <c r="F468" s="226">
        <f>Dat_02!D467</f>
        <v>62.091495991055417</v>
      </c>
      <c r="G468" s="226">
        <f>Dat_02!E467</f>
        <v>62.091495991055417</v>
      </c>
      <c r="I468" s="227">
        <f>Dat_02!G467</f>
        <v>0</v>
      </c>
      <c r="J468" s="233"/>
    </row>
    <row r="469" spans="2:10">
      <c r="B469" s="224"/>
      <c r="C469" s="225">
        <f>Dat_02!B468</f>
        <v>45086</v>
      </c>
      <c r="D469" s="224"/>
      <c r="E469" s="226">
        <f>Dat_02!C468</f>
        <v>63.180801376857652</v>
      </c>
      <c r="F469" s="226">
        <f>Dat_02!D468</f>
        <v>62.091495991055417</v>
      </c>
      <c r="G469" s="226">
        <f>Dat_02!E468</f>
        <v>62.091495991055417</v>
      </c>
      <c r="I469" s="227">
        <f>Dat_02!G468</f>
        <v>0</v>
      </c>
      <c r="J469" s="233"/>
    </row>
    <row r="470" spans="2:10">
      <c r="B470" s="224"/>
      <c r="C470" s="225">
        <f>Dat_02!B469</f>
        <v>45087</v>
      </c>
      <c r="D470" s="224"/>
      <c r="E470" s="226">
        <f>Dat_02!C469</f>
        <v>60.43962682885951</v>
      </c>
      <c r="F470" s="226">
        <f>Dat_02!D469</f>
        <v>62.091495991055417</v>
      </c>
      <c r="G470" s="226">
        <f>Dat_02!E469</f>
        <v>60.43962682885951</v>
      </c>
      <c r="I470" s="227">
        <f>Dat_02!G469</f>
        <v>0</v>
      </c>
      <c r="J470" s="233"/>
    </row>
    <row r="471" spans="2:10">
      <c r="B471" s="224"/>
      <c r="C471" s="225">
        <f>Dat_02!B470</f>
        <v>45088</v>
      </c>
      <c r="D471" s="224"/>
      <c r="E471" s="226">
        <f>Dat_02!C470</f>
        <v>51.759126908859514</v>
      </c>
      <c r="F471" s="226">
        <f>Dat_02!D470</f>
        <v>62.091495991055417</v>
      </c>
      <c r="G471" s="226">
        <f>Dat_02!E470</f>
        <v>51.759126908859514</v>
      </c>
      <c r="I471" s="227">
        <f>Dat_02!G470</f>
        <v>0</v>
      </c>
      <c r="J471" s="233"/>
    </row>
    <row r="472" spans="2:10">
      <c r="B472" s="224"/>
      <c r="C472" s="225">
        <f>Dat_02!B471</f>
        <v>45089</v>
      </c>
      <c r="D472" s="224"/>
      <c r="E472" s="226">
        <f>Dat_02!C471</f>
        <v>78.445429872859521</v>
      </c>
      <c r="F472" s="226">
        <f>Dat_02!D471</f>
        <v>62.091495991055417</v>
      </c>
      <c r="G472" s="226">
        <f>Dat_02!E471</f>
        <v>62.091495991055417</v>
      </c>
      <c r="I472" s="227">
        <f>Dat_02!G471</f>
        <v>0</v>
      </c>
      <c r="J472" s="233"/>
    </row>
    <row r="473" spans="2:10">
      <c r="B473" s="224"/>
      <c r="C473" s="225">
        <f>Dat_02!B472</f>
        <v>45090</v>
      </c>
      <c r="D473" s="224"/>
      <c r="E473" s="226">
        <f>Dat_02!C472</f>
        <v>74.472029744859512</v>
      </c>
      <c r="F473" s="226">
        <f>Dat_02!D472</f>
        <v>62.091495991055417</v>
      </c>
      <c r="G473" s="226">
        <f>Dat_02!E472</f>
        <v>62.091495991055417</v>
      </c>
      <c r="I473" s="227">
        <f>Dat_02!G472</f>
        <v>0</v>
      </c>
      <c r="J473" s="233"/>
    </row>
    <row r="474" spans="2:10">
      <c r="B474" s="224"/>
      <c r="C474" s="225">
        <f>Dat_02!B473</f>
        <v>45091</v>
      </c>
      <c r="D474" s="224"/>
      <c r="E474" s="226">
        <f>Dat_02!C473</f>
        <v>61.48177375849162</v>
      </c>
      <c r="F474" s="226">
        <f>Dat_02!D473</f>
        <v>62.091495991055417</v>
      </c>
      <c r="G474" s="226">
        <f>Dat_02!E473</f>
        <v>61.48177375849162</v>
      </c>
      <c r="I474" s="227">
        <f>Dat_02!G473</f>
        <v>0</v>
      </c>
      <c r="J474" s="233"/>
    </row>
    <row r="475" spans="2:10">
      <c r="B475" s="224"/>
      <c r="C475" s="225">
        <f>Dat_02!B474</f>
        <v>45092</v>
      </c>
      <c r="D475" s="224"/>
      <c r="E475" s="226">
        <f>Dat_02!C474</f>
        <v>69.867611942491621</v>
      </c>
      <c r="F475" s="226">
        <f>Dat_02!D474</f>
        <v>62.091495991055417</v>
      </c>
      <c r="G475" s="226">
        <f>Dat_02!E474</f>
        <v>62.091495991055417</v>
      </c>
      <c r="I475" s="227">
        <f>Dat_02!G474</f>
        <v>62.091495991055417</v>
      </c>
      <c r="J475" s="233"/>
    </row>
    <row r="476" spans="2:10">
      <c r="B476" s="224"/>
      <c r="C476" s="225">
        <f>Dat_02!B475</f>
        <v>45093</v>
      </c>
      <c r="D476" s="224"/>
      <c r="E476" s="226">
        <f>Dat_02!C475</f>
        <v>78.254237598495337</v>
      </c>
      <c r="F476" s="226">
        <f>Dat_02!D475</f>
        <v>62.091495991055417</v>
      </c>
      <c r="G476" s="226">
        <f>Dat_02!E475</f>
        <v>62.091495991055417</v>
      </c>
      <c r="I476" s="227">
        <f>Dat_02!G475</f>
        <v>0</v>
      </c>
      <c r="J476" s="233"/>
    </row>
    <row r="477" spans="2:10">
      <c r="B477" s="224"/>
      <c r="C477" s="225">
        <f>Dat_02!B476</f>
        <v>45094</v>
      </c>
      <c r="D477" s="224"/>
      <c r="E477" s="226">
        <f>Dat_02!C476</f>
        <v>56.491981126493485</v>
      </c>
      <c r="F477" s="226">
        <f>Dat_02!D476</f>
        <v>62.091495991055417</v>
      </c>
      <c r="G477" s="226">
        <f>Dat_02!E476</f>
        <v>56.491981126493485</v>
      </c>
      <c r="I477" s="227">
        <f>Dat_02!G476</f>
        <v>0</v>
      </c>
      <c r="J477" s="233"/>
    </row>
    <row r="478" spans="2:10">
      <c r="B478" s="224"/>
      <c r="C478" s="225">
        <f>Dat_02!B477</f>
        <v>45095</v>
      </c>
      <c r="D478" s="224"/>
      <c r="E478" s="226">
        <f>Dat_02!C477</f>
        <v>40.625565390491616</v>
      </c>
      <c r="F478" s="226">
        <f>Dat_02!D477</f>
        <v>62.091495991055417</v>
      </c>
      <c r="G478" s="226">
        <f>Dat_02!E477</f>
        <v>40.625565390491616</v>
      </c>
      <c r="I478" s="227">
        <f>Dat_02!G477</f>
        <v>0</v>
      </c>
      <c r="J478" s="233"/>
    </row>
    <row r="479" spans="2:10">
      <c r="B479" s="224"/>
      <c r="C479" s="225">
        <f>Dat_02!B478</f>
        <v>45096</v>
      </c>
      <c r="D479" s="224"/>
      <c r="E479" s="226">
        <f>Dat_02!C478</f>
        <v>63.964851278493484</v>
      </c>
      <c r="F479" s="226">
        <f>Dat_02!D478</f>
        <v>62.091495991055417</v>
      </c>
      <c r="G479" s="226">
        <f>Dat_02!E478</f>
        <v>62.091495991055417</v>
      </c>
      <c r="I479" s="227">
        <f>Dat_02!G478</f>
        <v>0</v>
      </c>
      <c r="J479" s="233"/>
    </row>
    <row r="480" spans="2:10">
      <c r="B480" s="224"/>
      <c r="C480" s="225">
        <f>Dat_02!B479</f>
        <v>45097</v>
      </c>
      <c r="D480" s="224"/>
      <c r="E480" s="226">
        <f>Dat_02!C479</f>
        <v>63.700315196493477</v>
      </c>
      <c r="F480" s="226">
        <f>Dat_02!D479</f>
        <v>62.091495991055417</v>
      </c>
      <c r="G480" s="226">
        <f>Dat_02!E479</f>
        <v>62.091495991055417</v>
      </c>
      <c r="I480" s="227">
        <f>Dat_02!G479</f>
        <v>0</v>
      </c>
      <c r="J480" s="233"/>
    </row>
    <row r="481" spans="2:10">
      <c r="B481" s="224"/>
      <c r="C481" s="225">
        <f>Dat_02!B480</f>
        <v>45098</v>
      </c>
      <c r="D481" s="224"/>
      <c r="E481" s="226">
        <f>Dat_02!C480</f>
        <v>76.434700403560868</v>
      </c>
      <c r="F481" s="226">
        <f>Dat_02!D480</f>
        <v>62.091495991055417</v>
      </c>
      <c r="G481" s="226">
        <f>Dat_02!E480</f>
        <v>62.091495991055417</v>
      </c>
      <c r="I481" s="227">
        <f>Dat_02!G480</f>
        <v>0</v>
      </c>
      <c r="J481" s="233"/>
    </row>
    <row r="482" spans="2:10">
      <c r="B482" s="224"/>
      <c r="C482" s="225">
        <f>Dat_02!B481</f>
        <v>45099</v>
      </c>
      <c r="D482" s="224"/>
      <c r="E482" s="226">
        <f>Dat_02!C481</f>
        <v>60.879025239560868</v>
      </c>
      <c r="F482" s="226">
        <f>Dat_02!D481</f>
        <v>62.091495991055417</v>
      </c>
      <c r="G482" s="226">
        <f>Dat_02!E481</f>
        <v>60.879025239560868</v>
      </c>
      <c r="I482" s="227">
        <f>Dat_02!G481</f>
        <v>0</v>
      </c>
      <c r="J482" s="233"/>
    </row>
    <row r="483" spans="2:10">
      <c r="B483" s="224"/>
      <c r="C483" s="225">
        <f>Dat_02!B482</f>
        <v>45100</v>
      </c>
      <c r="D483" s="224"/>
      <c r="E483" s="226">
        <f>Dat_02!C482</f>
        <v>56.585806815560865</v>
      </c>
      <c r="F483" s="226">
        <f>Dat_02!D482</f>
        <v>62.091495991055417</v>
      </c>
      <c r="G483" s="226">
        <f>Dat_02!E482</f>
        <v>56.585806815560865</v>
      </c>
      <c r="I483" s="227">
        <f>Dat_02!G482</f>
        <v>0</v>
      </c>
      <c r="J483" s="233"/>
    </row>
    <row r="484" spans="2:10">
      <c r="B484" s="224"/>
      <c r="C484" s="225">
        <f>Dat_02!B483</f>
        <v>45101</v>
      </c>
      <c r="D484" s="224"/>
      <c r="E484" s="226">
        <f>Dat_02!C483</f>
        <v>45.285563307560864</v>
      </c>
      <c r="F484" s="226">
        <f>Dat_02!D483</f>
        <v>62.091495991055417</v>
      </c>
      <c r="G484" s="226">
        <f>Dat_02!E483</f>
        <v>45.285563307560864</v>
      </c>
      <c r="I484" s="227">
        <f>Dat_02!G483</f>
        <v>0</v>
      </c>
      <c r="J484" s="233"/>
    </row>
    <row r="485" spans="2:10">
      <c r="B485" s="224"/>
      <c r="C485" s="225">
        <f>Dat_02!B484</f>
        <v>45102</v>
      </c>
      <c r="D485" s="224"/>
      <c r="E485" s="226">
        <f>Dat_02!C484</f>
        <v>39.898130859559004</v>
      </c>
      <c r="F485" s="226">
        <f>Dat_02!D484</f>
        <v>62.091495991055417</v>
      </c>
      <c r="G485" s="226">
        <f>Dat_02!E484</f>
        <v>39.898130859559004</v>
      </c>
      <c r="I485" s="227">
        <f>Dat_02!G484</f>
        <v>0</v>
      </c>
      <c r="J485" s="233"/>
    </row>
    <row r="486" spans="2:10">
      <c r="B486" s="224"/>
      <c r="C486" s="225">
        <f>Dat_02!B485</f>
        <v>45103</v>
      </c>
      <c r="D486" s="224"/>
      <c r="E486" s="226">
        <f>Dat_02!C485</f>
        <v>49.490690407560869</v>
      </c>
      <c r="F486" s="226">
        <f>Dat_02!D485</f>
        <v>62.091495991055417</v>
      </c>
      <c r="G486" s="226">
        <f>Dat_02!E485</f>
        <v>49.490690407560869</v>
      </c>
      <c r="I486" s="227">
        <f>Dat_02!G485</f>
        <v>0</v>
      </c>
      <c r="J486" s="233"/>
    </row>
    <row r="487" spans="2:10">
      <c r="B487" s="224"/>
      <c r="C487" s="225">
        <f>Dat_02!B486</f>
        <v>45104</v>
      </c>
      <c r="D487" s="224"/>
      <c r="E487" s="226">
        <f>Dat_02!C486</f>
        <v>60.819213259559007</v>
      </c>
      <c r="F487" s="226">
        <f>Dat_02!D486</f>
        <v>62.091495991055417</v>
      </c>
      <c r="G487" s="226">
        <f>Dat_02!E486</f>
        <v>60.819213259559007</v>
      </c>
      <c r="I487" s="227">
        <f>Dat_02!G486</f>
        <v>0</v>
      </c>
      <c r="J487" s="233"/>
    </row>
    <row r="488" spans="2:10">
      <c r="B488" s="224"/>
      <c r="C488" s="225">
        <f>Dat_02!B487</f>
        <v>45105</v>
      </c>
      <c r="D488" s="224"/>
      <c r="E488" s="226">
        <f>Dat_02!C487</f>
        <v>37.402692723792917</v>
      </c>
      <c r="F488" s="226">
        <f>Dat_02!D487</f>
        <v>62.091495991055417</v>
      </c>
      <c r="G488" s="226">
        <f>Dat_02!E487</f>
        <v>37.402692723792917</v>
      </c>
      <c r="I488" s="227">
        <f>Dat_02!G487</f>
        <v>0</v>
      </c>
      <c r="J488" s="233"/>
    </row>
    <row r="489" spans="2:10">
      <c r="B489" s="224"/>
      <c r="C489" s="225">
        <f>Dat_02!B488</f>
        <v>45106</v>
      </c>
      <c r="D489" s="224"/>
      <c r="E489" s="226">
        <f>Dat_02!C488</f>
        <v>17.675389911791054</v>
      </c>
      <c r="F489" s="226">
        <f>Dat_02!D488</f>
        <v>62.091495991055417</v>
      </c>
      <c r="G489" s="226">
        <f>Dat_02!E488</f>
        <v>17.675389911791054</v>
      </c>
      <c r="I489" s="227">
        <f>Dat_02!G488</f>
        <v>0</v>
      </c>
      <c r="J489" s="233"/>
    </row>
    <row r="490" spans="2:10">
      <c r="B490" s="224"/>
      <c r="C490" s="225">
        <f>Dat_02!B489</f>
        <v>45107</v>
      </c>
      <c r="D490" s="224"/>
      <c r="E490" s="226">
        <f>Dat_02!C489</f>
        <v>22.42099434779292</v>
      </c>
      <c r="F490" s="226">
        <f>Dat_02!D489</f>
        <v>62.091495991055417</v>
      </c>
      <c r="G490" s="226">
        <f>Dat_02!E489</f>
        <v>22.42099434779292</v>
      </c>
      <c r="I490" s="227">
        <f>Dat_02!G489</f>
        <v>0</v>
      </c>
      <c r="J490" s="233"/>
    </row>
    <row r="491" spans="2:10">
      <c r="B491" s="224"/>
      <c r="C491" s="225">
        <f>Dat_02!B490</f>
        <v>45108</v>
      </c>
      <c r="D491" s="224"/>
      <c r="E491" s="226">
        <f>Dat_02!C490</f>
        <v>10.764143951792917</v>
      </c>
      <c r="F491" s="226">
        <f>Dat_02!D490</f>
        <v>26.601704529721381</v>
      </c>
      <c r="G491" s="226">
        <f>Dat_02!E490</f>
        <v>10.764143951792917</v>
      </c>
      <c r="I491" s="227">
        <f>Dat_02!G490</f>
        <v>0</v>
      </c>
      <c r="J491" s="233"/>
    </row>
    <row r="492" spans="2:10">
      <c r="B492" s="224"/>
      <c r="C492" s="225">
        <f>Dat_02!B491</f>
        <v>45109</v>
      </c>
      <c r="D492" s="224"/>
      <c r="E492" s="226">
        <f>Dat_02!C491</f>
        <v>12.38707608779292</v>
      </c>
      <c r="F492" s="226">
        <f>Dat_02!D491</f>
        <v>26.601704529721381</v>
      </c>
      <c r="G492" s="226">
        <f>Dat_02!E491</f>
        <v>12.38707608779292</v>
      </c>
      <c r="I492" s="227">
        <f>Dat_02!G491</f>
        <v>0</v>
      </c>
      <c r="J492" s="233"/>
    </row>
    <row r="493" spans="2:10">
      <c r="B493" s="224"/>
      <c r="C493" s="225">
        <f>Dat_02!B492</f>
        <v>45110</v>
      </c>
      <c r="D493" s="224"/>
      <c r="E493" s="226">
        <f>Dat_02!C492</f>
        <v>25.683337035791052</v>
      </c>
      <c r="F493" s="226">
        <f>Dat_02!D492</f>
        <v>26.601704529721381</v>
      </c>
      <c r="G493" s="226">
        <f>Dat_02!E492</f>
        <v>25.683337035791052</v>
      </c>
      <c r="I493" s="227">
        <f>Dat_02!G492</f>
        <v>0</v>
      </c>
      <c r="J493" s="233"/>
    </row>
    <row r="494" spans="2:10">
      <c r="B494" s="224"/>
      <c r="C494" s="225">
        <f>Dat_02!B493</f>
        <v>45111</v>
      </c>
      <c r="D494" s="224"/>
      <c r="E494" s="226">
        <f>Dat_02!C493</f>
        <v>23.145132199792918</v>
      </c>
      <c r="F494" s="226">
        <f>Dat_02!D493</f>
        <v>26.601704529721381</v>
      </c>
      <c r="G494" s="226">
        <f>Dat_02!E493</f>
        <v>23.145132199792918</v>
      </c>
      <c r="I494" s="227">
        <f>Dat_02!G493</f>
        <v>0</v>
      </c>
      <c r="J494" s="233"/>
    </row>
    <row r="495" spans="2:10">
      <c r="B495" s="224"/>
      <c r="C495" s="225">
        <f>Dat_02!B494</f>
        <v>45112</v>
      </c>
      <c r="D495" s="224"/>
      <c r="E495" s="226">
        <f>Dat_02!C494</f>
        <v>25.82995115699865</v>
      </c>
      <c r="F495" s="226">
        <f>Dat_02!D494</f>
        <v>26.601704529721381</v>
      </c>
      <c r="G495" s="226">
        <f>Dat_02!E494</f>
        <v>25.82995115699865</v>
      </c>
      <c r="I495" s="227">
        <f>Dat_02!G494</f>
        <v>0</v>
      </c>
      <c r="J495" s="233"/>
    </row>
    <row r="496" spans="2:10">
      <c r="B496" s="224"/>
      <c r="C496" s="225">
        <f>Dat_02!B495</f>
        <v>45113</v>
      </c>
      <c r="D496" s="224"/>
      <c r="E496" s="226">
        <f>Dat_02!C495</f>
        <v>26.201231548998649</v>
      </c>
      <c r="F496" s="226">
        <f>Dat_02!D495</f>
        <v>26.601704529721381</v>
      </c>
      <c r="G496" s="226">
        <f>Dat_02!E495</f>
        <v>26.201231548998649</v>
      </c>
      <c r="I496" s="227">
        <f>Dat_02!G495</f>
        <v>0</v>
      </c>
      <c r="J496" s="233"/>
    </row>
    <row r="497" spans="2:10">
      <c r="B497" s="224"/>
      <c r="C497" s="225">
        <f>Dat_02!B496</f>
        <v>45114</v>
      </c>
      <c r="D497" s="224"/>
      <c r="E497" s="226">
        <f>Dat_02!C496</f>
        <v>17.300016412998652</v>
      </c>
      <c r="F497" s="226">
        <f>Dat_02!D496</f>
        <v>26.601704529721381</v>
      </c>
      <c r="G497" s="226">
        <f>Dat_02!E496</f>
        <v>17.300016412998652</v>
      </c>
      <c r="I497" s="227">
        <f>Dat_02!G496</f>
        <v>0</v>
      </c>
      <c r="J497" s="233"/>
    </row>
    <row r="498" spans="2:10">
      <c r="B498" s="224"/>
      <c r="C498" s="225">
        <f>Dat_02!B497</f>
        <v>45115</v>
      </c>
      <c r="D498" s="224"/>
      <c r="E498" s="226">
        <f>Dat_02!C497</f>
        <v>15.172527685000517</v>
      </c>
      <c r="F498" s="226">
        <f>Dat_02!D497</f>
        <v>26.601704529721381</v>
      </c>
      <c r="G498" s="226">
        <f>Dat_02!E497</f>
        <v>15.172527685000517</v>
      </c>
      <c r="I498" s="227">
        <f>Dat_02!G497</f>
        <v>0</v>
      </c>
      <c r="J498" s="233"/>
    </row>
    <row r="499" spans="2:10">
      <c r="B499" s="224"/>
      <c r="C499" s="225">
        <f>Dat_02!B498</f>
        <v>45116</v>
      </c>
      <c r="D499" s="224"/>
      <c r="E499" s="226">
        <f>Dat_02!C498</f>
        <v>10.88104752899865</v>
      </c>
      <c r="F499" s="226">
        <f>Dat_02!D498</f>
        <v>26.601704529721381</v>
      </c>
      <c r="G499" s="226">
        <f>Dat_02!E498</f>
        <v>10.88104752899865</v>
      </c>
      <c r="I499" s="227">
        <f>Dat_02!G498</f>
        <v>0</v>
      </c>
      <c r="J499" s="233"/>
    </row>
    <row r="500" spans="2:10">
      <c r="B500" s="224"/>
      <c r="C500" s="225">
        <f>Dat_02!B499</f>
        <v>45117</v>
      </c>
      <c r="D500" s="224"/>
      <c r="E500" s="226">
        <f>Dat_02!C499</f>
        <v>28.920031092998652</v>
      </c>
      <c r="F500" s="226">
        <f>Dat_02!D499</f>
        <v>26.601704529721381</v>
      </c>
      <c r="G500" s="226">
        <f>Dat_02!E499</f>
        <v>26.601704529721381</v>
      </c>
      <c r="I500" s="227">
        <f>Dat_02!G499</f>
        <v>0</v>
      </c>
      <c r="J500" s="233"/>
    </row>
    <row r="501" spans="2:10">
      <c r="B501" s="224"/>
      <c r="C501" s="225">
        <f>Dat_02!B500</f>
        <v>45118</v>
      </c>
      <c r="D501" s="224"/>
      <c r="E501" s="226">
        <f>Dat_02!C500</f>
        <v>31.077243037000517</v>
      </c>
      <c r="F501" s="226">
        <f>Dat_02!D500</f>
        <v>26.601704529721381</v>
      </c>
      <c r="G501" s="226">
        <f>Dat_02!E500</f>
        <v>26.601704529721381</v>
      </c>
      <c r="I501" s="227">
        <f>Dat_02!G500</f>
        <v>0</v>
      </c>
      <c r="J501" s="233"/>
    </row>
    <row r="502" spans="2:10">
      <c r="B502" s="224"/>
      <c r="C502" s="225">
        <f>Dat_02!B501</f>
        <v>45119</v>
      </c>
      <c r="D502" s="224"/>
      <c r="E502" s="226">
        <f>Dat_02!C501</f>
        <v>14.183226333087557</v>
      </c>
      <c r="F502" s="226">
        <f>Dat_02!D501</f>
        <v>26.601704529721381</v>
      </c>
      <c r="G502" s="226">
        <f>Dat_02!E501</f>
        <v>14.183226333087557</v>
      </c>
      <c r="I502" s="227">
        <f>Dat_02!G501</f>
        <v>0</v>
      </c>
      <c r="J502" s="233"/>
    </row>
    <row r="503" spans="2:10">
      <c r="B503" s="224"/>
      <c r="C503" s="225">
        <f>Dat_02!B502</f>
        <v>45120</v>
      </c>
      <c r="D503" s="224"/>
      <c r="E503" s="226">
        <f>Dat_02!C502</f>
        <v>10.3727383630857</v>
      </c>
      <c r="F503" s="226">
        <f>Dat_02!D502</f>
        <v>26.601704529721381</v>
      </c>
      <c r="G503" s="226">
        <f>Dat_02!E502</f>
        <v>10.3727383630857</v>
      </c>
      <c r="I503" s="227">
        <f>Dat_02!G502</f>
        <v>0</v>
      </c>
      <c r="J503" s="233"/>
    </row>
    <row r="504" spans="2:10">
      <c r="B504" s="224"/>
      <c r="C504" s="225">
        <f>Dat_02!B503</f>
        <v>45121</v>
      </c>
      <c r="D504" s="224"/>
      <c r="E504" s="226">
        <f>Dat_02!C503</f>
        <v>4.9091500490875628</v>
      </c>
      <c r="F504" s="226">
        <f>Dat_02!D503</f>
        <v>26.601704529721381</v>
      </c>
      <c r="G504" s="226">
        <f>Dat_02!E503</f>
        <v>4.9091500490875628</v>
      </c>
      <c r="I504" s="227">
        <f>Dat_02!G503</f>
        <v>0</v>
      </c>
      <c r="J504" s="233"/>
    </row>
    <row r="505" spans="2:10">
      <c r="B505" s="224"/>
      <c r="C505" s="225">
        <f>Dat_02!B504</f>
        <v>45122</v>
      </c>
      <c r="D505" s="224"/>
      <c r="E505" s="226">
        <f>Dat_02!C504</f>
        <v>1.1223621510875601</v>
      </c>
      <c r="F505" s="226">
        <f>Dat_02!D504</f>
        <v>26.601704529721381</v>
      </c>
      <c r="G505" s="226">
        <f>Dat_02!E504</f>
        <v>1.1223621510875601</v>
      </c>
      <c r="I505" s="227">
        <f>Dat_02!G504</f>
        <v>26.601704529721381</v>
      </c>
      <c r="J505" s="233"/>
    </row>
    <row r="506" spans="2:10">
      <c r="B506" s="224"/>
      <c r="C506" s="225">
        <f>Dat_02!B505</f>
        <v>45123</v>
      </c>
      <c r="D506" s="224"/>
      <c r="E506" s="226">
        <f>Dat_02!C505</f>
        <v>1.2527377760875607</v>
      </c>
      <c r="F506" s="226">
        <f>Dat_02!D505</f>
        <v>26.601704529721381</v>
      </c>
      <c r="G506" s="226">
        <f>Dat_02!E505</f>
        <v>1.2527377760875607</v>
      </c>
      <c r="I506" s="227">
        <f>Dat_02!G505</f>
        <v>0</v>
      </c>
      <c r="J506" s="233"/>
    </row>
    <row r="507" spans="2:10">
      <c r="B507" s="224"/>
      <c r="C507" s="225">
        <f>Dat_02!B506</f>
        <v>45124</v>
      </c>
      <c r="D507" s="224"/>
      <c r="E507" s="226">
        <f>Dat_02!C506</f>
        <v>9.5187780880875579</v>
      </c>
      <c r="F507" s="226">
        <f>Dat_02!D506</f>
        <v>26.601704529721381</v>
      </c>
      <c r="G507" s="226">
        <f>Dat_02!E506</f>
        <v>9.5187780880875579</v>
      </c>
      <c r="I507" s="227">
        <f>Dat_02!G506</f>
        <v>0</v>
      </c>
      <c r="J507" s="233"/>
    </row>
    <row r="508" spans="2:10">
      <c r="B508" s="224"/>
      <c r="C508" s="225">
        <f>Dat_02!B507</f>
        <v>45125</v>
      </c>
      <c r="D508" s="224"/>
      <c r="E508" s="226">
        <f>Dat_02!C507</f>
        <v>21.238165024087561</v>
      </c>
      <c r="F508" s="226">
        <f>Dat_02!D507</f>
        <v>26.601704529721381</v>
      </c>
      <c r="G508" s="226">
        <f>Dat_02!E507</f>
        <v>21.238165024087561</v>
      </c>
      <c r="I508" s="227">
        <f>Dat_02!G507</f>
        <v>0</v>
      </c>
      <c r="J508" s="233"/>
    </row>
    <row r="509" spans="2:10">
      <c r="B509" s="224"/>
      <c r="C509" s="225">
        <f>Dat_02!B508</f>
        <v>45126</v>
      </c>
      <c r="D509" s="224"/>
      <c r="E509" s="226">
        <f>Dat_02!C508</f>
        <v>14.719824948133187</v>
      </c>
      <c r="F509" s="226">
        <f>Dat_02!D508</f>
        <v>26.601704529721381</v>
      </c>
      <c r="G509" s="226">
        <f>Dat_02!E508</f>
        <v>14.719824948133187</v>
      </c>
      <c r="I509" s="227">
        <f>Dat_02!G508</f>
        <v>0</v>
      </c>
      <c r="J509" s="233"/>
    </row>
    <row r="510" spans="2:10">
      <c r="B510" s="224"/>
      <c r="C510" s="225">
        <f>Dat_02!B509</f>
        <v>45127</v>
      </c>
      <c r="D510" s="224"/>
      <c r="E510" s="226">
        <f>Dat_02!C509</f>
        <v>4.3961503001350506</v>
      </c>
      <c r="F510" s="226">
        <f>Dat_02!D509</f>
        <v>26.601704529721381</v>
      </c>
      <c r="G510" s="226">
        <f>Dat_02!E509</f>
        <v>4.3961503001350506</v>
      </c>
      <c r="I510" s="227">
        <f>Dat_02!G509</f>
        <v>0</v>
      </c>
      <c r="J510" s="233"/>
    </row>
    <row r="511" spans="2:10">
      <c r="B511" s="224"/>
      <c r="C511" s="225">
        <f>Dat_02!B510</f>
        <v>45128</v>
      </c>
      <c r="D511" s="224"/>
      <c r="E511" s="226">
        <f>Dat_02!C510</f>
        <v>2.7864231081313267</v>
      </c>
      <c r="F511" s="226">
        <f>Dat_02!D510</f>
        <v>26.601704529721381</v>
      </c>
      <c r="G511" s="226">
        <f>Dat_02!E510</f>
        <v>2.7864231081313267</v>
      </c>
      <c r="I511" s="227">
        <f>Dat_02!G510</f>
        <v>0</v>
      </c>
      <c r="J511" s="233"/>
    </row>
    <row r="512" spans="2:10">
      <c r="B512" s="224"/>
      <c r="C512" s="225">
        <f>Dat_02!B511</f>
        <v>45129</v>
      </c>
      <c r="D512" s="224"/>
      <c r="E512" s="226">
        <f>Dat_02!C511</f>
        <v>3.4104858281331909</v>
      </c>
      <c r="F512" s="226">
        <f>Dat_02!D511</f>
        <v>26.601704529721381</v>
      </c>
      <c r="G512" s="226">
        <f>Dat_02!E511</f>
        <v>3.4104858281331909</v>
      </c>
      <c r="I512" s="227">
        <f>Dat_02!G511</f>
        <v>0</v>
      </c>
      <c r="J512" s="233"/>
    </row>
    <row r="513" spans="2:10">
      <c r="B513" s="224"/>
      <c r="C513" s="225">
        <f>Dat_02!B512</f>
        <v>45130</v>
      </c>
      <c r="D513" s="224"/>
      <c r="E513" s="226">
        <f>Dat_02!C512</f>
        <v>0.66356802413318661</v>
      </c>
      <c r="F513" s="226">
        <f>Dat_02!D512</f>
        <v>26.601704529721381</v>
      </c>
      <c r="G513" s="226">
        <f>Dat_02!E512</f>
        <v>0.66356802413318661</v>
      </c>
      <c r="I513" s="227">
        <f>Dat_02!G512</f>
        <v>0</v>
      </c>
      <c r="J513" s="233"/>
    </row>
    <row r="514" spans="2:10">
      <c r="B514" s="224"/>
      <c r="C514" s="225">
        <f>Dat_02!B513</f>
        <v>45131</v>
      </c>
      <c r="D514" s="224"/>
      <c r="E514" s="226">
        <f>Dat_02!C513</f>
        <v>2.3629647521331862</v>
      </c>
      <c r="F514" s="226">
        <f>Dat_02!D513</f>
        <v>26.601704529721381</v>
      </c>
      <c r="G514" s="226">
        <f>Dat_02!E513</f>
        <v>2.3629647521331862</v>
      </c>
      <c r="I514" s="227">
        <f>Dat_02!G513</f>
        <v>0</v>
      </c>
      <c r="J514" s="233"/>
    </row>
    <row r="515" spans="2:10">
      <c r="B515" s="224"/>
      <c r="C515" s="225">
        <f>Dat_02!B514</f>
        <v>45132</v>
      </c>
      <c r="D515" s="224"/>
      <c r="E515" s="226">
        <f>Dat_02!C514</f>
        <v>1.2923573881341217</v>
      </c>
      <c r="F515" s="226">
        <f>Dat_02!D514</f>
        <v>26.601704529721381</v>
      </c>
      <c r="G515" s="226">
        <f>Dat_02!E514</f>
        <v>1.2923573881341217</v>
      </c>
      <c r="I515" s="227">
        <f>Dat_02!G514</f>
        <v>0</v>
      </c>
      <c r="J515" s="233"/>
    </row>
    <row r="516" spans="2:10">
      <c r="B516" s="224"/>
      <c r="C516" s="225">
        <f>Dat_02!B515</f>
        <v>45133</v>
      </c>
      <c r="D516" s="224"/>
      <c r="E516" s="226">
        <f>Dat_02!C515</f>
        <v>6.5609360918694071</v>
      </c>
      <c r="F516" s="226">
        <f>Dat_02!D515</f>
        <v>26.601704529721381</v>
      </c>
      <c r="G516" s="226">
        <f>Dat_02!E515</f>
        <v>6.5609360918694071</v>
      </c>
      <c r="I516" s="227">
        <f>Dat_02!G515</f>
        <v>0</v>
      </c>
      <c r="J516" s="233"/>
    </row>
    <row r="517" spans="2:10">
      <c r="B517" s="224"/>
      <c r="C517" s="225">
        <f>Dat_02!B516</f>
        <v>45134</v>
      </c>
      <c r="D517" s="224"/>
      <c r="E517" s="226">
        <f>Dat_02!C516</f>
        <v>4.5303661118684762</v>
      </c>
      <c r="F517" s="226">
        <f>Dat_02!D516</f>
        <v>26.601704529721381</v>
      </c>
      <c r="G517" s="226">
        <f>Dat_02!E516</f>
        <v>4.5303661118684762</v>
      </c>
      <c r="I517" s="227">
        <f>Dat_02!G516</f>
        <v>0</v>
      </c>
      <c r="J517" s="233"/>
    </row>
    <row r="518" spans="2:10">
      <c r="B518" s="224"/>
      <c r="C518" s="225">
        <f>Dat_02!B517</f>
        <v>45135</v>
      </c>
      <c r="D518" s="224"/>
      <c r="E518" s="226">
        <f>Dat_02!C517</f>
        <v>6.5312281798703333</v>
      </c>
      <c r="F518" s="226">
        <f>Dat_02!D517</f>
        <v>26.601704529721381</v>
      </c>
      <c r="G518" s="226">
        <f>Dat_02!E517</f>
        <v>6.5312281798703333</v>
      </c>
      <c r="I518" s="227">
        <f>Dat_02!G517</f>
        <v>0</v>
      </c>
      <c r="J518" s="233"/>
    </row>
    <row r="519" spans="2:10">
      <c r="B519" s="224"/>
      <c r="C519" s="225">
        <f>Dat_02!B518</f>
        <v>45136</v>
      </c>
      <c r="D519" s="224"/>
      <c r="E519" s="226">
        <f>Dat_02!C518</f>
        <v>3.548440679868472</v>
      </c>
      <c r="F519" s="226">
        <f>Dat_02!D518</f>
        <v>26.601704529721381</v>
      </c>
      <c r="G519" s="226">
        <f>Dat_02!E518</f>
        <v>3.548440679868472</v>
      </c>
      <c r="I519" s="227">
        <f>Dat_02!G518</f>
        <v>0</v>
      </c>
      <c r="J519" s="233"/>
    </row>
    <row r="520" spans="2:10">
      <c r="B520" s="224"/>
      <c r="C520" s="225">
        <f>Dat_02!B519</f>
        <v>45137</v>
      </c>
      <c r="D520" s="224"/>
      <c r="E520" s="226">
        <f>Dat_02!C519</f>
        <v>1.105057919869403</v>
      </c>
      <c r="F520" s="226">
        <f>Dat_02!D519</f>
        <v>26.601704529721381</v>
      </c>
      <c r="G520" s="226">
        <f>Dat_02!E519</f>
        <v>1.105057919869403</v>
      </c>
      <c r="I520" s="227">
        <f>Dat_02!G519</f>
        <v>0</v>
      </c>
      <c r="J520" s="233"/>
    </row>
    <row r="521" spans="2:10">
      <c r="B521" s="224"/>
      <c r="C521" s="225">
        <f>Dat_02!B520</f>
        <v>45138</v>
      </c>
      <c r="D521" s="224"/>
      <c r="E521" s="226">
        <f>Dat_02!C520</f>
        <v>1.3670182158694042</v>
      </c>
      <c r="F521" s="226">
        <f>Dat_02!D520</f>
        <v>26.601704529721381</v>
      </c>
      <c r="G521" s="226">
        <f>Dat_02!E520</f>
        <v>1.3670182158694042</v>
      </c>
      <c r="I521" s="227">
        <f>Dat_02!G520</f>
        <v>0</v>
      </c>
      <c r="J521" s="233"/>
    </row>
    <row r="522" spans="2:10">
      <c r="B522" s="224"/>
      <c r="C522" s="225">
        <f>Dat_02!B521</f>
        <v>45139</v>
      </c>
      <c r="D522" s="224"/>
      <c r="E522" s="226">
        <f>Dat_02!C521</f>
        <v>1.782965891869404</v>
      </c>
      <c r="F522" s="226">
        <f>Dat_02!D521</f>
        <v>15.940810769841702</v>
      </c>
      <c r="G522" s="226">
        <f>Dat_02!E521</f>
        <v>1.782965891869404</v>
      </c>
      <c r="I522" s="227">
        <f>Dat_02!G521</f>
        <v>0</v>
      </c>
      <c r="J522" s="233"/>
    </row>
    <row r="523" spans="2:10">
      <c r="B523" s="224"/>
      <c r="C523" s="225">
        <f>Dat_02!B522</f>
        <v>45140</v>
      </c>
      <c r="D523" s="224"/>
      <c r="E523" s="226">
        <f>Dat_02!C522</f>
        <v>2.1689622764460839</v>
      </c>
      <c r="F523" s="226">
        <f>Dat_02!D522</f>
        <v>15.940810769841702</v>
      </c>
      <c r="G523" s="226">
        <f>Dat_02!E522</f>
        <v>2.1689622764460839</v>
      </c>
      <c r="I523" s="227">
        <f>Dat_02!G522</f>
        <v>0</v>
      </c>
      <c r="J523" s="233"/>
    </row>
    <row r="524" spans="2:10">
      <c r="B524" s="224"/>
      <c r="C524" s="225">
        <f>Dat_02!B523</f>
        <v>45141</v>
      </c>
      <c r="D524" s="224"/>
      <c r="E524" s="226">
        <f>Dat_02!C523</f>
        <v>0.78540507645074098</v>
      </c>
      <c r="F524" s="226">
        <f>Dat_02!D523</f>
        <v>15.940810769841702</v>
      </c>
      <c r="G524" s="226">
        <f>Dat_02!E523</f>
        <v>0.78540507645074098</v>
      </c>
      <c r="I524" s="227">
        <f>Dat_02!G523</f>
        <v>0</v>
      </c>
      <c r="J524" s="233"/>
    </row>
    <row r="525" spans="2:10">
      <c r="B525" s="224"/>
      <c r="C525" s="225">
        <f>Dat_02!B524</f>
        <v>45142</v>
      </c>
      <c r="D525" s="224"/>
      <c r="E525" s="226">
        <f>Dat_02!C524</f>
        <v>1.0309195644470164</v>
      </c>
      <c r="F525" s="226">
        <f>Dat_02!D524</f>
        <v>15.940810769841702</v>
      </c>
      <c r="G525" s="226">
        <f>Dat_02!E524</f>
        <v>1.0309195644470164</v>
      </c>
      <c r="I525" s="227">
        <f>Dat_02!G524</f>
        <v>0</v>
      </c>
      <c r="J525" s="233"/>
    </row>
    <row r="526" spans="2:10">
      <c r="B526" s="224"/>
      <c r="C526" s="225">
        <f>Dat_02!B525</f>
        <v>45143</v>
      </c>
      <c r="D526" s="224"/>
      <c r="E526" s="226">
        <f>Dat_02!C525</f>
        <v>1.8049678124498096</v>
      </c>
      <c r="F526" s="226">
        <f>Dat_02!D525</f>
        <v>15.940810769841702</v>
      </c>
      <c r="G526" s="226">
        <f>Dat_02!E525</f>
        <v>1.8049678124498096</v>
      </c>
      <c r="I526" s="227">
        <f>Dat_02!G525</f>
        <v>0</v>
      </c>
      <c r="J526" s="233"/>
    </row>
    <row r="527" spans="2:10">
      <c r="B527" s="224"/>
      <c r="C527" s="225">
        <f>Dat_02!B526</f>
        <v>45144</v>
      </c>
      <c r="D527" s="224"/>
      <c r="E527" s="226">
        <f>Dat_02!C526</f>
        <v>1.004827152447946</v>
      </c>
      <c r="F527" s="226">
        <f>Dat_02!D526</f>
        <v>15.940810769841702</v>
      </c>
      <c r="G527" s="226">
        <f>Dat_02!E526</f>
        <v>1.004827152447946</v>
      </c>
      <c r="I527" s="227">
        <f>Dat_02!G526</f>
        <v>0</v>
      </c>
      <c r="J527" s="233"/>
    </row>
    <row r="528" spans="2:10">
      <c r="B528" s="224"/>
      <c r="C528" s="225">
        <f>Dat_02!B527</f>
        <v>45145</v>
      </c>
      <c r="D528" s="224"/>
      <c r="E528" s="226">
        <f>Dat_02!C527</f>
        <v>0.7337421964488785</v>
      </c>
      <c r="F528" s="226">
        <f>Dat_02!D527</f>
        <v>15.940810769841702</v>
      </c>
      <c r="G528" s="226">
        <f>Dat_02!E527</f>
        <v>0.7337421964488785</v>
      </c>
      <c r="I528" s="227">
        <f>Dat_02!G527</f>
        <v>0</v>
      </c>
      <c r="J528" s="233"/>
    </row>
    <row r="529" spans="2:10">
      <c r="B529" s="224"/>
      <c r="C529" s="225">
        <f>Dat_02!B528</f>
        <v>45146</v>
      </c>
      <c r="D529" s="224"/>
      <c r="E529" s="226">
        <f>Dat_02!C528</f>
        <v>5.0941232324488812</v>
      </c>
      <c r="F529" s="226">
        <f>Dat_02!D528</f>
        <v>15.940810769841702</v>
      </c>
      <c r="G529" s="226">
        <f>Dat_02!E528</f>
        <v>5.0941232324488812</v>
      </c>
      <c r="I529" s="227">
        <f>Dat_02!G528</f>
        <v>0</v>
      </c>
      <c r="J529" s="233"/>
    </row>
    <row r="530" spans="2:10">
      <c r="B530" s="224"/>
      <c r="C530" s="225">
        <f>Dat_02!B529</f>
        <v>45147</v>
      </c>
      <c r="D530" s="224"/>
      <c r="E530" s="226">
        <f>Dat_02!C529</f>
        <v>10.186300378786349</v>
      </c>
      <c r="F530" s="226">
        <f>Dat_02!D529</f>
        <v>15.940810769841702</v>
      </c>
      <c r="G530" s="226">
        <f>Dat_02!E529</f>
        <v>10.186300378786349</v>
      </c>
      <c r="I530" s="227">
        <f>Dat_02!G529</f>
        <v>0</v>
      </c>
      <c r="J530" s="233"/>
    </row>
    <row r="531" spans="2:10">
      <c r="B531" s="224"/>
      <c r="C531" s="225">
        <f>Dat_02!B530</f>
        <v>45148</v>
      </c>
      <c r="D531" s="224"/>
      <c r="E531" s="226">
        <f>Dat_02!C530</f>
        <v>0.79286929878914447</v>
      </c>
      <c r="F531" s="226">
        <f>Dat_02!D530</f>
        <v>15.940810769841702</v>
      </c>
      <c r="G531" s="226">
        <f>Dat_02!E530</f>
        <v>0.79286929878914447</v>
      </c>
      <c r="I531" s="227">
        <f>Dat_02!G530</f>
        <v>0</v>
      </c>
      <c r="J531" s="233"/>
    </row>
    <row r="532" spans="2:10">
      <c r="B532" s="224"/>
      <c r="C532" s="225">
        <f>Dat_02!B531</f>
        <v>45149</v>
      </c>
      <c r="D532" s="224"/>
      <c r="E532" s="226">
        <f>Dat_02!C531</f>
        <v>5.455991310786354</v>
      </c>
      <c r="F532" s="226">
        <f>Dat_02!D531</f>
        <v>15.940810769841702</v>
      </c>
      <c r="G532" s="226">
        <f>Dat_02!E531</f>
        <v>5.455991310786354</v>
      </c>
      <c r="I532" s="227">
        <f>Dat_02!G531</f>
        <v>0</v>
      </c>
      <c r="J532" s="233"/>
    </row>
    <row r="533" spans="2:10">
      <c r="B533" s="224"/>
      <c r="C533" s="225">
        <f>Dat_02!B532</f>
        <v>45150</v>
      </c>
      <c r="D533" s="224"/>
      <c r="E533" s="226">
        <f>Dat_02!C532</f>
        <v>0.80239395078728193</v>
      </c>
      <c r="F533" s="226">
        <f>Dat_02!D532</f>
        <v>15.940810769841702</v>
      </c>
      <c r="G533" s="226">
        <f>Dat_02!E532</f>
        <v>0.80239395078728193</v>
      </c>
      <c r="I533" s="227">
        <f>Dat_02!G532</f>
        <v>0</v>
      </c>
      <c r="J533" s="233"/>
    </row>
    <row r="534" spans="2:10">
      <c r="B534" s="224"/>
      <c r="C534" s="225">
        <f>Dat_02!B533</f>
        <v>45151</v>
      </c>
      <c r="D534" s="224"/>
      <c r="E534" s="226">
        <f>Dat_02!C533</f>
        <v>0.93516316678728251</v>
      </c>
      <c r="F534" s="226">
        <f>Dat_02!D533</f>
        <v>15.940810769841702</v>
      </c>
      <c r="G534" s="226">
        <f>Dat_02!E533</f>
        <v>0.93516316678728251</v>
      </c>
      <c r="I534" s="227">
        <f>Dat_02!G533</f>
        <v>0</v>
      </c>
      <c r="J534" s="233"/>
    </row>
    <row r="535" spans="2:10">
      <c r="B535" s="224"/>
      <c r="C535" s="225">
        <f>Dat_02!B534</f>
        <v>45152</v>
      </c>
      <c r="D535" s="224"/>
      <c r="E535" s="226">
        <f>Dat_02!C534</f>
        <v>0.7927689467872806</v>
      </c>
      <c r="F535" s="226">
        <f>Dat_02!D534</f>
        <v>15.940810769841702</v>
      </c>
      <c r="G535" s="226">
        <f>Dat_02!E534</f>
        <v>0.7927689467872806</v>
      </c>
      <c r="I535" s="227">
        <f>Dat_02!G534</f>
        <v>0</v>
      </c>
      <c r="J535" s="233"/>
    </row>
    <row r="536" spans="2:10">
      <c r="B536" s="224"/>
      <c r="C536" s="225">
        <f>Dat_02!B535</f>
        <v>45153</v>
      </c>
      <c r="D536" s="224"/>
      <c r="E536" s="226">
        <f>Dat_02!C535</f>
        <v>1.0170399587863503</v>
      </c>
      <c r="F536" s="226">
        <f>Dat_02!D535</f>
        <v>15.940810769841702</v>
      </c>
      <c r="G536" s="226">
        <f>Dat_02!E535</f>
        <v>1.0170399587863503</v>
      </c>
      <c r="I536" s="227">
        <f>Dat_02!G535</f>
        <v>15.940810769841702</v>
      </c>
      <c r="J536" s="233"/>
    </row>
    <row r="537" spans="2:10">
      <c r="B537" s="224"/>
      <c r="C537" s="225">
        <f>Dat_02!B536</f>
        <v>45154</v>
      </c>
      <c r="D537" s="224"/>
      <c r="E537" s="226">
        <f>Dat_02!C536</f>
        <v>1.3471824894848832</v>
      </c>
      <c r="F537" s="226">
        <f>Dat_02!D536</f>
        <v>15.940810769841702</v>
      </c>
      <c r="G537" s="226">
        <f>Dat_02!E536</f>
        <v>1.3471824894848832</v>
      </c>
      <c r="I537" s="227">
        <f>Dat_02!G536</f>
        <v>0</v>
      </c>
      <c r="J537" s="233"/>
    </row>
    <row r="538" spans="2:10">
      <c r="B538" s="224"/>
      <c r="C538" s="225">
        <f>Dat_02!B537</f>
        <v>45155</v>
      </c>
      <c r="D538" s="224"/>
      <c r="E538" s="226">
        <f>Dat_02!C537</f>
        <v>0.75471684948861006</v>
      </c>
      <c r="F538" s="226">
        <f>Dat_02!D537</f>
        <v>15.940810769841702</v>
      </c>
      <c r="G538" s="226">
        <f>Dat_02!E537</f>
        <v>0.75471684948861006</v>
      </c>
      <c r="I538" s="227">
        <f>Dat_02!G537</f>
        <v>0</v>
      </c>
      <c r="J538" s="233"/>
    </row>
    <row r="539" spans="2:10">
      <c r="B539" s="224"/>
      <c r="C539" s="225">
        <f>Dat_02!B538</f>
        <v>45156</v>
      </c>
      <c r="D539" s="224"/>
      <c r="E539" s="226">
        <f>Dat_02!C538</f>
        <v>1.4968303974848822</v>
      </c>
      <c r="F539" s="226">
        <f>Dat_02!D538</f>
        <v>15.940810769841702</v>
      </c>
      <c r="G539" s="226">
        <f>Dat_02!E538</f>
        <v>1.4968303974848822</v>
      </c>
      <c r="I539" s="227">
        <f>Dat_02!G538</f>
        <v>0</v>
      </c>
      <c r="J539" s="233"/>
    </row>
    <row r="540" spans="2:10">
      <c r="B540" s="224"/>
      <c r="C540" s="225">
        <f>Dat_02!B539</f>
        <v>45157</v>
      </c>
      <c r="D540" s="224"/>
      <c r="E540" s="226">
        <f>Dat_02!C539</f>
        <v>0.98054632948674769</v>
      </c>
      <c r="F540" s="226">
        <f>Dat_02!D539</f>
        <v>15.940810769841702</v>
      </c>
      <c r="G540" s="226">
        <f>Dat_02!E539</f>
        <v>0.98054632948674769</v>
      </c>
      <c r="I540" s="227">
        <f>Dat_02!G539</f>
        <v>0</v>
      </c>
      <c r="J540" s="233"/>
    </row>
    <row r="541" spans="2:10">
      <c r="B541" s="224"/>
      <c r="C541" s="225">
        <f>Dat_02!B540</f>
        <v>45158</v>
      </c>
      <c r="D541" s="224"/>
      <c r="E541" s="226">
        <f>Dat_02!C540</f>
        <v>0.98118557748674717</v>
      </c>
      <c r="F541" s="226">
        <f>Dat_02!D540</f>
        <v>15.940810769841702</v>
      </c>
      <c r="G541" s="226">
        <f>Dat_02!E540</f>
        <v>0.98118557748674717</v>
      </c>
      <c r="I541" s="227">
        <f>Dat_02!G540</f>
        <v>0</v>
      </c>
      <c r="J541" s="233"/>
    </row>
    <row r="542" spans="2:10">
      <c r="B542" s="224"/>
      <c r="C542" s="225">
        <f>Dat_02!B541</f>
        <v>45159</v>
      </c>
      <c r="D542" s="224"/>
      <c r="E542" s="226">
        <f>Dat_02!C541</f>
        <v>0.93594360148488343</v>
      </c>
      <c r="F542" s="226">
        <f>Dat_02!D541</f>
        <v>15.940810769841702</v>
      </c>
      <c r="G542" s="226">
        <f>Dat_02!E541</f>
        <v>0.93594360148488343</v>
      </c>
      <c r="I542" s="227">
        <f>Dat_02!G541</f>
        <v>0</v>
      </c>
      <c r="J542" s="233"/>
    </row>
    <row r="543" spans="2:10">
      <c r="B543" s="224"/>
      <c r="C543" s="225">
        <f>Dat_02!B542</f>
        <v>45160</v>
      </c>
      <c r="D543" s="224"/>
      <c r="E543" s="226">
        <f>Dat_02!C542</f>
        <v>0.78725084548488666</v>
      </c>
      <c r="F543" s="226">
        <f>Dat_02!D542</f>
        <v>15.940810769841702</v>
      </c>
      <c r="G543" s="226">
        <f>Dat_02!E542</f>
        <v>0.78725084548488666</v>
      </c>
      <c r="I543" s="227">
        <f>Dat_02!G542</f>
        <v>0</v>
      </c>
      <c r="J543" s="233"/>
    </row>
    <row r="544" spans="2:10">
      <c r="B544" s="224"/>
      <c r="C544" s="225">
        <f>Dat_02!B543</f>
        <v>45161</v>
      </c>
      <c r="D544" s="224"/>
      <c r="E544" s="226">
        <f>Dat_02!C543</f>
        <v>5.3613860599029071</v>
      </c>
      <c r="F544" s="226">
        <f>Dat_02!D543</f>
        <v>15.940810769841702</v>
      </c>
      <c r="G544" s="226">
        <f>Dat_02!E543</f>
        <v>5.3613860599029071</v>
      </c>
      <c r="I544" s="227">
        <f>Dat_02!G543</f>
        <v>0</v>
      </c>
      <c r="J544" s="233"/>
    </row>
    <row r="545" spans="2:10">
      <c r="B545" s="224"/>
      <c r="C545" s="225">
        <f>Dat_02!B544</f>
        <v>45162</v>
      </c>
      <c r="D545" s="224"/>
      <c r="E545" s="226">
        <f>Dat_02!C544</f>
        <v>1.3795156158991813</v>
      </c>
      <c r="F545" s="226">
        <f>Dat_02!D544</f>
        <v>15.940810769841702</v>
      </c>
      <c r="G545" s="226">
        <f>Dat_02!E544</f>
        <v>1.3795156158991813</v>
      </c>
      <c r="I545" s="227">
        <f>Dat_02!G544</f>
        <v>0</v>
      </c>
      <c r="J545" s="233"/>
    </row>
    <row r="546" spans="2:10">
      <c r="B546" s="224"/>
      <c r="C546" s="225">
        <f>Dat_02!B545</f>
        <v>45163</v>
      </c>
      <c r="D546" s="224"/>
      <c r="E546" s="226">
        <f>Dat_02!C545</f>
        <v>0.64003740790104346</v>
      </c>
      <c r="F546" s="226">
        <f>Dat_02!D545</f>
        <v>15.940810769841702</v>
      </c>
      <c r="G546" s="226">
        <f>Dat_02!E545</f>
        <v>0.64003740790104346</v>
      </c>
      <c r="I546" s="227">
        <f>Dat_02!G545</f>
        <v>0</v>
      </c>
      <c r="J546" s="233"/>
    </row>
    <row r="547" spans="2:10">
      <c r="B547" s="224"/>
      <c r="C547" s="225">
        <f>Dat_02!B546</f>
        <v>45164</v>
      </c>
      <c r="D547" s="224"/>
      <c r="E547" s="226">
        <f>Dat_02!C546</f>
        <v>0.85277524390197501</v>
      </c>
      <c r="F547" s="226">
        <f>Dat_02!D546</f>
        <v>15.940810769841702</v>
      </c>
      <c r="G547" s="226">
        <f>Dat_02!E546</f>
        <v>0.85277524390197501</v>
      </c>
      <c r="I547" s="227">
        <f>Dat_02!G546</f>
        <v>0</v>
      </c>
      <c r="J547" s="233"/>
    </row>
    <row r="548" spans="2:10">
      <c r="B548" s="224"/>
      <c r="C548" s="225">
        <f>Dat_02!B547</f>
        <v>45165</v>
      </c>
      <c r="D548" s="224"/>
      <c r="E548" s="226">
        <f>Dat_02!C547</f>
        <v>1.3342008999001118</v>
      </c>
      <c r="F548" s="226">
        <f>Dat_02!D547</f>
        <v>15.940810769841702</v>
      </c>
      <c r="G548" s="226">
        <f>Dat_02!E547</f>
        <v>1.3342008999001118</v>
      </c>
      <c r="I548" s="227">
        <f>Dat_02!G547</f>
        <v>0</v>
      </c>
      <c r="J548" s="233"/>
    </row>
    <row r="549" spans="2:10">
      <c r="B549" s="224"/>
      <c r="C549" s="225">
        <f>Dat_02!B548</f>
        <v>45166</v>
      </c>
      <c r="D549" s="224"/>
      <c r="E549" s="226">
        <f>Dat_02!C548</f>
        <v>0.57709913590011275</v>
      </c>
      <c r="F549" s="226">
        <f>Dat_02!D548</f>
        <v>15.940810769841702</v>
      </c>
      <c r="G549" s="226">
        <f>Dat_02!E548</f>
        <v>0.57709913590011275</v>
      </c>
      <c r="I549" s="227">
        <f>Dat_02!G548</f>
        <v>0</v>
      </c>
      <c r="J549" s="233"/>
    </row>
    <row r="550" spans="2:10">
      <c r="B550" s="224"/>
      <c r="C550" s="225">
        <f>Dat_02!B549</f>
        <v>45167</v>
      </c>
      <c r="D550" s="224"/>
      <c r="E550" s="226">
        <f>Dat_02!C549</f>
        <v>1.4900494078991797</v>
      </c>
      <c r="F550" s="226">
        <f>Dat_02!D549</f>
        <v>15.940810769841702</v>
      </c>
      <c r="G550" s="226">
        <f>Dat_02!E549</f>
        <v>1.4900494078991797</v>
      </c>
      <c r="I550" s="227">
        <f>Dat_02!G549</f>
        <v>0</v>
      </c>
      <c r="J550" s="233"/>
    </row>
    <row r="551" spans="2:10">
      <c r="B551" s="224"/>
      <c r="C551" s="225">
        <f>Dat_02!B550</f>
        <v>45168</v>
      </c>
      <c r="D551" s="224"/>
      <c r="E551" s="226">
        <f>Dat_02!C550</f>
        <v>2.439024072921784</v>
      </c>
      <c r="F551" s="226">
        <f>Dat_02!D550</f>
        <v>15.940810769841702</v>
      </c>
      <c r="G551" s="226">
        <f>Dat_02!E550</f>
        <v>2.439024072921784</v>
      </c>
      <c r="I551" s="227">
        <f>Dat_02!G550</f>
        <v>0</v>
      </c>
      <c r="J551" s="233"/>
    </row>
    <row r="552" spans="2:10">
      <c r="B552" s="224"/>
      <c r="C552" s="225">
        <f>Dat_02!B551</f>
        <v>45169</v>
      </c>
      <c r="D552" s="224"/>
      <c r="E552" s="226">
        <f>Dat_02!C551</f>
        <v>2.3962360889227128</v>
      </c>
      <c r="F552" s="226">
        <f>Dat_02!D551</f>
        <v>15.940810769841702</v>
      </c>
      <c r="G552" s="226">
        <f>Dat_02!E551</f>
        <v>2.3962360889227128</v>
      </c>
      <c r="I552" s="227">
        <f>Dat_02!G551</f>
        <v>0</v>
      </c>
      <c r="J552" s="233"/>
    </row>
    <row r="553" spans="2:10">
      <c r="B553" s="224"/>
      <c r="C553" s="225">
        <f>Dat_02!B552</f>
        <v>45170</v>
      </c>
      <c r="D553" s="224"/>
      <c r="E553" s="226">
        <f>Dat_02!C552</f>
        <v>19.802804212921785</v>
      </c>
      <c r="F553" s="226">
        <f>Dat_02!D552</f>
        <v>20.220393285105605</v>
      </c>
      <c r="G553" s="226">
        <f>Dat_02!E552</f>
        <v>19.802804212921785</v>
      </c>
      <c r="I553" s="227">
        <f>Dat_02!G552</f>
        <v>0</v>
      </c>
      <c r="J553" s="233"/>
    </row>
    <row r="554" spans="2:10">
      <c r="B554" s="224"/>
      <c r="C554" s="225">
        <f>Dat_02!B553</f>
        <v>45171</v>
      </c>
      <c r="D554" s="224"/>
      <c r="E554" s="226">
        <f>Dat_02!C553</f>
        <v>8.8364277529208515</v>
      </c>
      <c r="F554" s="226">
        <f>Dat_02!D553</f>
        <v>20.220393285105605</v>
      </c>
      <c r="G554" s="226">
        <f>Dat_02!E553</f>
        <v>8.8364277529208515</v>
      </c>
      <c r="I554" s="227">
        <f>Dat_02!G553</f>
        <v>0</v>
      </c>
      <c r="J554" s="233"/>
    </row>
    <row r="555" spans="2:10">
      <c r="B555" s="224"/>
      <c r="C555" s="225">
        <f>Dat_02!B554</f>
        <v>45172</v>
      </c>
      <c r="D555" s="224"/>
      <c r="E555" s="226">
        <f>Dat_02!C554</f>
        <v>9.7225829929199215</v>
      </c>
      <c r="F555" s="226">
        <f>Dat_02!D554</f>
        <v>20.220393285105605</v>
      </c>
      <c r="G555" s="226">
        <f>Dat_02!E554</f>
        <v>9.7225829929199215</v>
      </c>
      <c r="I555" s="227">
        <f>Dat_02!G554</f>
        <v>0</v>
      </c>
      <c r="J555" s="233"/>
    </row>
    <row r="556" spans="2:10">
      <c r="B556" s="224"/>
      <c r="C556" s="225">
        <f>Dat_02!B555</f>
        <v>45173</v>
      </c>
      <c r="D556" s="224"/>
      <c r="E556" s="226">
        <f>Dat_02!C555</f>
        <v>12.063968236922715</v>
      </c>
      <c r="F556" s="226">
        <f>Dat_02!D555</f>
        <v>20.220393285105605</v>
      </c>
      <c r="G556" s="226">
        <f>Dat_02!E555</f>
        <v>12.063968236922715</v>
      </c>
      <c r="I556" s="227">
        <f>Dat_02!G555</f>
        <v>0</v>
      </c>
      <c r="J556" s="233"/>
    </row>
    <row r="557" spans="2:10">
      <c r="B557" s="224"/>
      <c r="C557" s="225">
        <f>Dat_02!B556</f>
        <v>45174</v>
      </c>
      <c r="D557" s="224"/>
      <c r="E557" s="226">
        <f>Dat_02!C556</f>
        <v>19.704329852921788</v>
      </c>
      <c r="F557" s="226">
        <f>Dat_02!D556</f>
        <v>20.220393285105605</v>
      </c>
      <c r="G557" s="226">
        <f>Dat_02!E556</f>
        <v>19.704329852921788</v>
      </c>
      <c r="I557" s="227">
        <f>Dat_02!G556</f>
        <v>0</v>
      </c>
      <c r="J557" s="233"/>
    </row>
    <row r="558" spans="2:10">
      <c r="B558" s="224"/>
      <c r="C558" s="225">
        <f>Dat_02!B557</f>
        <v>45175</v>
      </c>
      <c r="D558" s="224"/>
      <c r="E558" s="226">
        <f>Dat_02!C557</f>
        <v>38.792895148574281</v>
      </c>
      <c r="F558" s="226">
        <f>Dat_02!D557</f>
        <v>20.220393285105605</v>
      </c>
      <c r="G558" s="226">
        <f>Dat_02!E557</f>
        <v>20.220393285105605</v>
      </c>
      <c r="I558" s="227">
        <f>Dat_02!G557</f>
        <v>0</v>
      </c>
      <c r="J558" s="233"/>
    </row>
    <row r="559" spans="2:10">
      <c r="B559" s="224"/>
      <c r="C559" s="225">
        <f>Dat_02!B558</f>
        <v>45176</v>
      </c>
      <c r="D559" s="224"/>
      <c r="E559" s="226">
        <f>Dat_02!C558</f>
        <v>42.623226828575213</v>
      </c>
      <c r="F559" s="226">
        <f>Dat_02!D558</f>
        <v>20.220393285105605</v>
      </c>
      <c r="G559" s="226">
        <f>Dat_02!E558</f>
        <v>20.220393285105605</v>
      </c>
      <c r="I559" s="227">
        <f>Dat_02!G558</f>
        <v>0</v>
      </c>
      <c r="J559" s="233"/>
    </row>
    <row r="560" spans="2:10">
      <c r="B560" s="224"/>
      <c r="C560" s="225">
        <f>Dat_02!B559</f>
        <v>45177</v>
      </c>
      <c r="D560" s="224"/>
      <c r="E560" s="226">
        <f>Dat_02!C559</f>
        <v>38.379404017574281</v>
      </c>
      <c r="F560" s="226">
        <f>Dat_02!D559</f>
        <v>20.220393285105605</v>
      </c>
      <c r="G560" s="226">
        <f>Dat_02!E559</f>
        <v>20.220393285105605</v>
      </c>
      <c r="I560" s="227">
        <f>Dat_02!G559</f>
        <v>0</v>
      </c>
      <c r="J560" s="233"/>
    </row>
    <row r="561" spans="2:10">
      <c r="B561" s="224"/>
      <c r="C561" s="225">
        <f>Dat_02!B560</f>
        <v>45178</v>
      </c>
      <c r="D561" s="224"/>
      <c r="E561" s="226">
        <f>Dat_02!C560</f>
        <v>25.808062667576145</v>
      </c>
      <c r="F561" s="226">
        <f>Dat_02!D560</f>
        <v>20.220393285105605</v>
      </c>
      <c r="G561" s="226">
        <f>Dat_02!E560</f>
        <v>20.220393285105605</v>
      </c>
      <c r="I561" s="227">
        <f>Dat_02!G560</f>
        <v>0</v>
      </c>
      <c r="J561" s="233"/>
    </row>
    <row r="562" spans="2:10">
      <c r="B562" s="224"/>
      <c r="C562" s="225">
        <f>Dat_02!B561</f>
        <v>45179</v>
      </c>
      <c r="D562" s="224"/>
      <c r="E562" s="226">
        <f>Dat_02!C561</f>
        <v>22.100200360575212</v>
      </c>
      <c r="F562" s="226">
        <f>Dat_02!D561</f>
        <v>20.220393285105605</v>
      </c>
      <c r="G562" s="226">
        <f>Dat_02!E561</f>
        <v>20.220393285105605</v>
      </c>
      <c r="I562" s="227">
        <f>Dat_02!G561</f>
        <v>0</v>
      </c>
      <c r="J562" s="233"/>
    </row>
    <row r="563" spans="2:10">
      <c r="B563" s="224"/>
      <c r="C563" s="225">
        <f>Dat_02!B562</f>
        <v>45180</v>
      </c>
      <c r="D563" s="224"/>
      <c r="E563" s="226">
        <f>Dat_02!C562</f>
        <v>33.835374380574279</v>
      </c>
      <c r="F563" s="226">
        <f>Dat_02!D562</f>
        <v>20.220393285105605</v>
      </c>
      <c r="G563" s="226">
        <f>Dat_02!E562</f>
        <v>20.220393285105605</v>
      </c>
      <c r="I563" s="227">
        <f>Dat_02!G562</f>
        <v>0</v>
      </c>
      <c r="J563" s="233"/>
    </row>
    <row r="564" spans="2:10">
      <c r="B564" s="224"/>
      <c r="C564" s="225">
        <f>Dat_02!B563</f>
        <v>45181</v>
      </c>
      <c r="D564" s="224"/>
      <c r="E564" s="226">
        <f>Dat_02!C563</f>
        <v>35.609643696575212</v>
      </c>
      <c r="F564" s="226">
        <f>Dat_02!D563</f>
        <v>20.220393285105605</v>
      </c>
      <c r="G564" s="226">
        <f>Dat_02!E563</f>
        <v>20.220393285105605</v>
      </c>
      <c r="I564" s="227">
        <f>Dat_02!G563</f>
        <v>0</v>
      </c>
      <c r="J564" s="233"/>
    </row>
    <row r="565" spans="2:10">
      <c r="B565" s="224"/>
      <c r="C565" s="225">
        <f>Dat_02!B564</f>
        <v>45182</v>
      </c>
      <c r="D565" s="224"/>
      <c r="E565" s="226">
        <f>Dat_02!C564</f>
        <v>20.692340154021089</v>
      </c>
      <c r="F565" s="226">
        <f>Dat_02!D564</f>
        <v>20.220393285105605</v>
      </c>
      <c r="G565" s="226">
        <f>Dat_02!E564</f>
        <v>20.220393285105605</v>
      </c>
      <c r="I565" s="227">
        <f>Dat_02!G564</f>
        <v>0</v>
      </c>
      <c r="J565" s="233"/>
    </row>
    <row r="566" spans="2:10">
      <c r="B566" s="224"/>
      <c r="C566" s="225">
        <f>Dat_02!B565</f>
        <v>45183</v>
      </c>
      <c r="D566" s="224"/>
      <c r="E566" s="226">
        <f>Dat_02!C565</f>
        <v>18.260814747020159</v>
      </c>
      <c r="F566" s="226">
        <f>Dat_02!D565</f>
        <v>20.220393285105605</v>
      </c>
      <c r="G566" s="226">
        <f>Dat_02!E565</f>
        <v>18.260814747020159</v>
      </c>
      <c r="I566" s="227">
        <f>Dat_02!G565</f>
        <v>0</v>
      </c>
      <c r="J566" s="233"/>
    </row>
    <row r="567" spans="2:10">
      <c r="B567" s="224"/>
      <c r="C567" s="225">
        <f>Dat_02!B566</f>
        <v>45184</v>
      </c>
      <c r="D567" s="224"/>
      <c r="E567" s="226">
        <f>Dat_02!C566</f>
        <v>24.51274495701923</v>
      </c>
      <c r="F567" s="226">
        <f>Dat_02!D566</f>
        <v>20.220393285105605</v>
      </c>
      <c r="G567" s="226">
        <f>Dat_02!E566</f>
        <v>20.220393285105605</v>
      </c>
      <c r="I567" s="227">
        <f>Dat_02!G566</f>
        <v>20.220393285105605</v>
      </c>
      <c r="J567" s="233"/>
    </row>
    <row r="568" spans="2:10">
      <c r="B568" s="224"/>
      <c r="C568" s="225">
        <f>Dat_02!B567</f>
        <v>45185</v>
      </c>
      <c r="D568" s="224"/>
      <c r="E568" s="226">
        <f>Dat_02!C567</f>
        <v>17.613897146022019</v>
      </c>
      <c r="F568" s="226">
        <f>Dat_02!D567</f>
        <v>20.220393285105605</v>
      </c>
      <c r="G568" s="226">
        <f>Dat_02!E567</f>
        <v>17.613897146022019</v>
      </c>
      <c r="I568" s="227">
        <f>Dat_02!G567</f>
        <v>0</v>
      </c>
      <c r="J568" s="233"/>
    </row>
    <row r="569" spans="2:10">
      <c r="B569" s="224"/>
      <c r="C569" s="225">
        <f>Dat_02!B568</f>
        <v>45186</v>
      </c>
      <c r="D569" s="224"/>
      <c r="E569" s="226">
        <f>Dat_02!C568</f>
        <v>8.9958853780192278</v>
      </c>
      <c r="F569" s="226">
        <f>Dat_02!D568</f>
        <v>20.220393285105605</v>
      </c>
      <c r="G569" s="226">
        <f>Dat_02!E568</f>
        <v>8.9958853780192278</v>
      </c>
      <c r="I569" s="227">
        <f>Dat_02!G568</f>
        <v>0</v>
      </c>
      <c r="J569" s="233"/>
    </row>
    <row r="570" spans="2:10">
      <c r="B570" s="224"/>
      <c r="C570" s="225">
        <f>Dat_02!B569</f>
        <v>45187</v>
      </c>
      <c r="D570" s="224"/>
      <c r="E570" s="226">
        <f>Dat_02!C569</f>
        <v>25.248270350022022</v>
      </c>
      <c r="F570" s="226">
        <f>Dat_02!D569</f>
        <v>20.220393285105605</v>
      </c>
      <c r="G570" s="226">
        <f>Dat_02!E569</f>
        <v>20.220393285105605</v>
      </c>
      <c r="I570" s="227">
        <f>Dat_02!G569</f>
        <v>0</v>
      </c>
      <c r="J570" s="233"/>
    </row>
    <row r="571" spans="2:10">
      <c r="B571" s="224"/>
      <c r="C571" s="225">
        <f>Dat_02!B570</f>
        <v>45188</v>
      </c>
      <c r="D571" s="224"/>
      <c r="E571" s="226">
        <f>Dat_02!C570</f>
        <v>25.563371466020158</v>
      </c>
      <c r="F571" s="226">
        <f>Dat_02!D570</f>
        <v>20.220393285105605</v>
      </c>
      <c r="G571" s="226">
        <f>Dat_02!E570</f>
        <v>20.220393285105605</v>
      </c>
      <c r="I571" s="227">
        <f>Dat_02!G570</f>
        <v>0</v>
      </c>
      <c r="J571" s="233"/>
    </row>
    <row r="572" spans="2:10">
      <c r="B572" s="224"/>
      <c r="C572" s="225">
        <f>Dat_02!B571</f>
        <v>45189</v>
      </c>
      <c r="D572" s="224"/>
      <c r="E572" s="226">
        <f>Dat_02!C571</f>
        <v>21.948302107410477</v>
      </c>
      <c r="F572" s="226">
        <f>Dat_02!D571</f>
        <v>20.220393285105605</v>
      </c>
      <c r="G572" s="226">
        <f>Dat_02!E571</f>
        <v>20.220393285105605</v>
      </c>
      <c r="I572" s="227">
        <f>Dat_02!G571</f>
        <v>0</v>
      </c>
      <c r="J572" s="233"/>
    </row>
    <row r="573" spans="2:10">
      <c r="B573" s="224"/>
      <c r="C573" s="225">
        <f>Dat_02!B572</f>
        <v>45190</v>
      </c>
      <c r="D573" s="224"/>
      <c r="E573" s="226">
        <f>Dat_02!C572</f>
        <v>12.867219731411408</v>
      </c>
      <c r="F573" s="226">
        <f>Dat_02!D572</f>
        <v>20.220393285105605</v>
      </c>
      <c r="G573" s="226">
        <f>Dat_02!E572</f>
        <v>12.867219731411408</v>
      </c>
      <c r="I573" s="227">
        <f>Dat_02!G572</f>
        <v>0</v>
      </c>
      <c r="J573" s="233"/>
    </row>
    <row r="574" spans="2:10">
      <c r="B574" s="224"/>
      <c r="C574" s="225">
        <f>Dat_02!B573</f>
        <v>45191</v>
      </c>
      <c r="D574" s="224"/>
      <c r="E574" s="226">
        <f>Dat_02!C573</f>
        <v>24.258553983410479</v>
      </c>
      <c r="F574" s="226">
        <f>Dat_02!D573</f>
        <v>20.220393285105605</v>
      </c>
      <c r="G574" s="226">
        <f>Dat_02!E573</f>
        <v>20.220393285105605</v>
      </c>
      <c r="I574" s="227">
        <f>Dat_02!G573</f>
        <v>0</v>
      </c>
      <c r="J574" s="233"/>
    </row>
    <row r="575" spans="2:10">
      <c r="B575" s="224"/>
      <c r="C575" s="225">
        <f>Dat_02!B574</f>
        <v>45192</v>
      </c>
      <c r="D575" s="224"/>
      <c r="E575" s="226">
        <f>Dat_02!C574</f>
        <v>17.477073947411409</v>
      </c>
      <c r="F575" s="226">
        <f>Dat_02!D574</f>
        <v>20.220393285105605</v>
      </c>
      <c r="G575" s="226">
        <f>Dat_02!E574</f>
        <v>17.477073947411409</v>
      </c>
      <c r="I575" s="227">
        <f>Dat_02!G574</f>
        <v>0</v>
      </c>
      <c r="J575" s="233"/>
    </row>
    <row r="576" spans="2:10">
      <c r="B576" s="224"/>
      <c r="C576" s="225">
        <f>Dat_02!B575</f>
        <v>45193</v>
      </c>
      <c r="D576" s="224"/>
      <c r="E576" s="226">
        <f>Dat_02!C575</f>
        <v>16.451820575408615</v>
      </c>
      <c r="F576" s="226">
        <f>Dat_02!D575</f>
        <v>20.220393285105605</v>
      </c>
      <c r="G576" s="226">
        <f>Dat_02!E575</f>
        <v>16.451820575408615</v>
      </c>
      <c r="I576" s="227">
        <f>Dat_02!G575</f>
        <v>0</v>
      </c>
      <c r="J576" s="233"/>
    </row>
    <row r="577" spans="2:10">
      <c r="B577" s="224"/>
      <c r="C577" s="225">
        <f>Dat_02!B576</f>
        <v>45194</v>
      </c>
      <c r="D577" s="224"/>
      <c r="E577" s="226">
        <f>Dat_02!C576</f>
        <v>32.104403671412342</v>
      </c>
      <c r="F577" s="226">
        <f>Dat_02!D576</f>
        <v>20.220393285105605</v>
      </c>
      <c r="G577" s="226">
        <f>Dat_02!E576</f>
        <v>20.220393285105605</v>
      </c>
      <c r="I577" s="227">
        <f>Dat_02!G576</f>
        <v>0</v>
      </c>
      <c r="J577" s="233"/>
    </row>
    <row r="578" spans="2:10">
      <c r="B578" s="224"/>
      <c r="C578" s="225">
        <f>Dat_02!B577</f>
        <v>45195</v>
      </c>
      <c r="D578" s="224"/>
      <c r="E578" s="226">
        <f>Dat_02!C577</f>
        <v>33.938328899409541</v>
      </c>
      <c r="F578" s="226">
        <f>Dat_02!D577</f>
        <v>20.220393285105605</v>
      </c>
      <c r="G578" s="226">
        <f>Dat_02!E577</f>
        <v>20.220393285105605</v>
      </c>
      <c r="I578" s="227">
        <f>Dat_02!G577</f>
        <v>0</v>
      </c>
      <c r="J578" s="233"/>
    </row>
    <row r="579" spans="2:10">
      <c r="B579" s="224"/>
      <c r="C579" s="225">
        <f>Dat_02!B578</f>
        <v>45196</v>
      </c>
      <c r="D579" s="224"/>
      <c r="E579" s="226">
        <f>Dat_02!C578</f>
        <v>20.90603436955811</v>
      </c>
      <c r="F579" s="226">
        <f>Dat_02!D578</f>
        <v>20.220393285105605</v>
      </c>
      <c r="G579" s="226">
        <f>Dat_02!E578</f>
        <v>20.220393285105605</v>
      </c>
      <c r="I579" s="227">
        <f>Dat_02!G578</f>
        <v>0</v>
      </c>
      <c r="J579" s="233"/>
    </row>
    <row r="580" spans="2:10">
      <c r="B580" s="224"/>
      <c r="C580" s="225">
        <f>Dat_02!B579</f>
        <v>45197</v>
      </c>
      <c r="D580" s="224"/>
      <c r="E580" s="226">
        <f>Dat_02!C579</f>
        <v>18.33551687355904</v>
      </c>
      <c r="F580" s="226">
        <f>Dat_02!D579</f>
        <v>20.220393285105605</v>
      </c>
      <c r="G580" s="226">
        <f>Dat_02!E579</f>
        <v>18.33551687355904</v>
      </c>
      <c r="I580" s="227">
        <f>Dat_02!G579</f>
        <v>0</v>
      </c>
      <c r="J580" s="233"/>
    </row>
    <row r="581" spans="2:10">
      <c r="B581" s="224"/>
      <c r="C581" s="225">
        <f>Dat_02!B580</f>
        <v>45198</v>
      </c>
      <c r="D581" s="224"/>
      <c r="E581" s="226">
        <f>Dat_02!C580</f>
        <v>20.135935989558106</v>
      </c>
      <c r="F581" s="226">
        <f>Dat_02!D580</f>
        <v>20.220393285105605</v>
      </c>
      <c r="G581" s="226">
        <f>Dat_02!E580</f>
        <v>20.135935989558106</v>
      </c>
      <c r="I581" s="227">
        <f>Dat_02!G580</f>
        <v>0</v>
      </c>
      <c r="J581" s="233"/>
    </row>
    <row r="582" spans="2:10">
      <c r="B582" s="224"/>
      <c r="C582" s="225">
        <f>Dat_02!B581</f>
        <v>45199</v>
      </c>
      <c r="D582" s="224"/>
      <c r="E582" s="226">
        <f>Dat_02!C581</f>
        <v>4.0797406895590393</v>
      </c>
      <c r="F582" s="226">
        <f>Dat_02!D581</f>
        <v>20.220393285105605</v>
      </c>
      <c r="G582" s="226">
        <f>Dat_02!E581</f>
        <v>4.0797406895590393</v>
      </c>
      <c r="I582" s="227">
        <f>Dat_02!G581</f>
        <v>0</v>
      </c>
      <c r="J582" s="233"/>
    </row>
    <row r="583" spans="2:10">
      <c r="B583" s="224"/>
      <c r="C583" s="225">
        <f>Dat_02!B582</f>
        <v>45200</v>
      </c>
      <c r="D583" s="224"/>
      <c r="E583" s="226">
        <f>Dat_02!C582</f>
        <v>0.84823744955904112</v>
      </c>
      <c r="F583" s="226">
        <f>Dat_02!D582</f>
        <v>40.400211353346023</v>
      </c>
      <c r="G583" s="226">
        <f>Dat_02!E582</f>
        <v>0.84823744955904112</v>
      </c>
      <c r="I583" s="227">
        <f>Dat_02!G582</f>
        <v>0</v>
      </c>
      <c r="J583" s="233"/>
    </row>
    <row r="584" spans="2:10">
      <c r="B584" s="224"/>
      <c r="C584" s="225">
        <f>Dat_02!B583</f>
        <v>45201</v>
      </c>
      <c r="D584" s="224"/>
      <c r="E584" s="226">
        <f>Dat_02!C583</f>
        <v>0.9602911375581098</v>
      </c>
      <c r="F584" s="226">
        <f>Dat_02!D583</f>
        <v>40.400211353346023</v>
      </c>
      <c r="G584" s="226">
        <f>Dat_02!E583</f>
        <v>0.9602911375581098</v>
      </c>
      <c r="I584" s="227">
        <f>Dat_02!G583</f>
        <v>0</v>
      </c>
      <c r="J584" s="233"/>
    </row>
    <row r="585" spans="2:10">
      <c r="B585" s="224"/>
      <c r="C585" s="225">
        <f>Dat_02!B584</f>
        <v>45202</v>
      </c>
      <c r="D585" s="224"/>
      <c r="E585" s="226">
        <f>Dat_02!C584</f>
        <v>3.2073961695590407</v>
      </c>
      <c r="F585" s="226">
        <f>Dat_02!D584</f>
        <v>40.400211353346023</v>
      </c>
      <c r="G585" s="226">
        <f>Dat_02!E584</f>
        <v>3.2073961695590407</v>
      </c>
      <c r="I585" s="227">
        <f>Dat_02!G584</f>
        <v>0</v>
      </c>
      <c r="J585" s="233"/>
    </row>
    <row r="586" spans="2:10">
      <c r="B586" s="224"/>
      <c r="C586" s="225">
        <f>Dat_02!B585</f>
        <v>45203</v>
      </c>
      <c r="D586" s="224"/>
      <c r="E586" s="226">
        <f>Dat_02!C585</f>
        <v>7.7128933218427083</v>
      </c>
      <c r="F586" s="226">
        <f>Dat_02!D585</f>
        <v>40.400211353346023</v>
      </c>
      <c r="G586" s="226">
        <f>Dat_02!E585</f>
        <v>7.7128933218427083</v>
      </c>
      <c r="I586" s="227">
        <f>Dat_02!G585</f>
        <v>0</v>
      </c>
      <c r="J586" s="233"/>
    </row>
    <row r="587" spans="2:10">
      <c r="B587" s="224"/>
      <c r="C587" s="225">
        <f>Dat_02!B586</f>
        <v>45204</v>
      </c>
      <c r="D587" s="224"/>
      <c r="E587" s="226">
        <f>Dat_02!C586</f>
        <v>18.757089646844573</v>
      </c>
      <c r="F587" s="226">
        <f>Dat_02!D586</f>
        <v>40.400211353346023</v>
      </c>
      <c r="G587" s="226">
        <f>Dat_02!E586</f>
        <v>18.757089646844573</v>
      </c>
      <c r="I587" s="227">
        <f>Dat_02!G586</f>
        <v>0</v>
      </c>
      <c r="J587" s="233"/>
    </row>
    <row r="588" spans="2:10">
      <c r="B588" s="224"/>
      <c r="C588" s="225">
        <f>Dat_02!B587</f>
        <v>45205</v>
      </c>
      <c r="D588" s="224"/>
      <c r="E588" s="226">
        <f>Dat_02!C587</f>
        <v>21.618682225843646</v>
      </c>
      <c r="F588" s="226">
        <f>Dat_02!D587</f>
        <v>40.400211353346023</v>
      </c>
      <c r="G588" s="226">
        <f>Dat_02!E587</f>
        <v>21.618682225843646</v>
      </c>
      <c r="I588" s="227">
        <f>Dat_02!G587</f>
        <v>0</v>
      </c>
      <c r="J588" s="233"/>
    </row>
    <row r="589" spans="2:10">
      <c r="B589" s="224"/>
      <c r="C589" s="225">
        <f>Dat_02!B588</f>
        <v>45206</v>
      </c>
      <c r="D589" s="224"/>
      <c r="E589" s="226">
        <f>Dat_02!C588</f>
        <v>4.6228063218445712</v>
      </c>
      <c r="F589" s="226">
        <f>Dat_02!D588</f>
        <v>40.400211353346023</v>
      </c>
      <c r="G589" s="226">
        <f>Dat_02!E588</f>
        <v>4.6228063218445712</v>
      </c>
      <c r="I589" s="227">
        <f>Dat_02!G588</f>
        <v>0</v>
      </c>
      <c r="J589" s="233"/>
    </row>
    <row r="590" spans="2:10">
      <c r="B590" s="224"/>
      <c r="C590" s="225">
        <f>Dat_02!B589</f>
        <v>45207</v>
      </c>
      <c r="D590" s="224"/>
      <c r="E590" s="226">
        <f>Dat_02!C589</f>
        <v>2.9587972828436397</v>
      </c>
      <c r="F590" s="226">
        <f>Dat_02!D589</f>
        <v>40.400211353346023</v>
      </c>
      <c r="G590" s="226">
        <f>Dat_02!E589</f>
        <v>2.9587972828436397</v>
      </c>
      <c r="I590" s="227">
        <f>Dat_02!G589</f>
        <v>0</v>
      </c>
      <c r="J590" s="233"/>
    </row>
    <row r="591" spans="2:10">
      <c r="B591" s="224"/>
      <c r="C591" s="225">
        <f>Dat_02!B590</f>
        <v>45208</v>
      </c>
      <c r="D591" s="224"/>
      <c r="E591" s="226">
        <f>Dat_02!C590</f>
        <v>22.02844628484457</v>
      </c>
      <c r="F591" s="226">
        <f>Dat_02!D590</f>
        <v>40.400211353346023</v>
      </c>
      <c r="G591" s="226">
        <f>Dat_02!E590</f>
        <v>22.02844628484457</v>
      </c>
      <c r="I591" s="227">
        <f>Dat_02!G590</f>
        <v>0</v>
      </c>
      <c r="J591" s="233"/>
    </row>
    <row r="592" spans="2:10">
      <c r="B592" s="224"/>
      <c r="C592" s="225">
        <f>Dat_02!B591</f>
        <v>45209</v>
      </c>
      <c r="D592" s="224"/>
      <c r="E592" s="226">
        <f>Dat_02!C591</f>
        <v>23.77941356184364</v>
      </c>
      <c r="F592" s="226">
        <f>Dat_02!D591</f>
        <v>40.400211353346023</v>
      </c>
      <c r="G592" s="226">
        <f>Dat_02!E591</f>
        <v>23.77941356184364</v>
      </c>
      <c r="I592" s="227">
        <f>Dat_02!G591</f>
        <v>0</v>
      </c>
      <c r="J592" s="233"/>
    </row>
    <row r="593" spans="2:10">
      <c r="B593" s="224"/>
      <c r="C593" s="225">
        <f>Dat_02!B592</f>
        <v>45210</v>
      </c>
      <c r="D593" s="224"/>
      <c r="E593" s="226">
        <f>Dat_02!C592</f>
        <v>16.200307536526953</v>
      </c>
      <c r="F593" s="226">
        <f>Dat_02!D592</f>
        <v>40.400211353346023</v>
      </c>
      <c r="G593" s="226">
        <f>Dat_02!E592</f>
        <v>16.200307536526953</v>
      </c>
      <c r="I593" s="227">
        <f>Dat_02!G592</f>
        <v>0</v>
      </c>
      <c r="J593" s="233"/>
    </row>
    <row r="594" spans="2:10">
      <c r="B594" s="224"/>
      <c r="C594" s="225">
        <f>Dat_02!B593</f>
        <v>45211</v>
      </c>
      <c r="D594" s="224"/>
      <c r="E594" s="226">
        <f>Dat_02!C593</f>
        <v>8.2141049895250902</v>
      </c>
      <c r="F594" s="226">
        <f>Dat_02!D593</f>
        <v>40.400211353346023</v>
      </c>
      <c r="G594" s="226">
        <f>Dat_02!E593</f>
        <v>8.2141049895250902</v>
      </c>
      <c r="I594" s="227">
        <f>Dat_02!G593</f>
        <v>0</v>
      </c>
      <c r="J594" s="233"/>
    </row>
    <row r="595" spans="2:10">
      <c r="B595" s="224"/>
      <c r="C595" s="225">
        <f>Dat_02!B594</f>
        <v>45212</v>
      </c>
      <c r="D595" s="224"/>
      <c r="E595" s="226">
        <f>Dat_02!C594</f>
        <v>3.2859982715278822</v>
      </c>
      <c r="F595" s="226">
        <f>Dat_02!D594</f>
        <v>40.400211353346023</v>
      </c>
      <c r="G595" s="226">
        <f>Dat_02!E594</f>
        <v>3.2859982715278822</v>
      </c>
      <c r="I595" s="227">
        <f>Dat_02!G594</f>
        <v>0</v>
      </c>
      <c r="J595" s="233"/>
    </row>
    <row r="596" spans="2:10">
      <c r="B596" s="224"/>
      <c r="C596" s="225">
        <f>Dat_02!B595</f>
        <v>45213</v>
      </c>
      <c r="D596" s="224"/>
      <c r="E596" s="226">
        <f>Dat_02!C595</f>
        <v>11.08688186452695</v>
      </c>
      <c r="F596" s="226">
        <f>Dat_02!D595</f>
        <v>40.400211353346023</v>
      </c>
      <c r="G596" s="226">
        <f>Dat_02!E595</f>
        <v>11.08688186452695</v>
      </c>
      <c r="I596" s="227">
        <f>Dat_02!G595</f>
        <v>0</v>
      </c>
      <c r="J596" s="233"/>
    </row>
    <row r="597" spans="2:10">
      <c r="B597" s="224"/>
      <c r="C597" s="225">
        <f>Dat_02!B596</f>
        <v>45214</v>
      </c>
      <c r="D597" s="224"/>
      <c r="E597" s="226">
        <f>Dat_02!C596</f>
        <v>4.878889060526955</v>
      </c>
      <c r="F597" s="226">
        <f>Dat_02!D596</f>
        <v>40.400211353346023</v>
      </c>
      <c r="G597" s="226">
        <f>Dat_02!E596</f>
        <v>4.878889060526955</v>
      </c>
      <c r="I597" s="227">
        <f>Dat_02!G596</f>
        <v>40.400211353346023</v>
      </c>
      <c r="J597" s="233"/>
    </row>
    <row r="598" spans="2:10">
      <c r="B598" s="224"/>
      <c r="C598" s="225">
        <f>Dat_02!B597</f>
        <v>45215</v>
      </c>
      <c r="D598" s="224"/>
      <c r="E598" s="226">
        <f>Dat_02!C597</f>
        <v>26.990288200526951</v>
      </c>
      <c r="F598" s="226">
        <f>Dat_02!D597</f>
        <v>40.400211353346023</v>
      </c>
      <c r="G598" s="226">
        <f>Dat_02!E597</f>
        <v>26.990288200526951</v>
      </c>
      <c r="I598" s="227">
        <f>Dat_02!G597</f>
        <v>0</v>
      </c>
      <c r="J598" s="233"/>
    </row>
    <row r="599" spans="2:10">
      <c r="B599" s="224"/>
      <c r="C599" s="225">
        <f>Dat_02!B598</f>
        <v>45216</v>
      </c>
      <c r="D599" s="224"/>
      <c r="E599" s="226">
        <f>Dat_02!C598</f>
        <v>4.7591329325269545</v>
      </c>
      <c r="F599" s="226">
        <f>Dat_02!D598</f>
        <v>40.400211353346023</v>
      </c>
      <c r="G599" s="226">
        <f>Dat_02!E598</f>
        <v>4.7591329325269545</v>
      </c>
      <c r="I599" s="227">
        <f>Dat_02!G598</f>
        <v>0</v>
      </c>
      <c r="J599" s="233"/>
    </row>
    <row r="600" spans="2:10">
      <c r="B600" s="224"/>
      <c r="C600" s="225">
        <f>Dat_02!B599</f>
        <v>45217</v>
      </c>
      <c r="D600" s="224"/>
      <c r="E600" s="226">
        <f>Dat_02!C599</f>
        <v>69.301702732977404</v>
      </c>
      <c r="F600" s="226">
        <f>Dat_02!D599</f>
        <v>40.400211353346023</v>
      </c>
      <c r="G600" s="226">
        <f>Dat_02!E599</f>
        <v>40.400211353346023</v>
      </c>
      <c r="I600" s="227">
        <f>Dat_02!G599</f>
        <v>0</v>
      </c>
      <c r="J600" s="233"/>
    </row>
    <row r="601" spans="2:10">
      <c r="B601" s="224"/>
      <c r="C601" s="225">
        <f>Dat_02!B600</f>
        <v>45218</v>
      </c>
      <c r="D601" s="224"/>
      <c r="E601" s="226">
        <f>Dat_02!C600</f>
        <v>76.788497715978323</v>
      </c>
      <c r="F601" s="226">
        <f>Dat_02!D600</f>
        <v>40.400211353346023</v>
      </c>
      <c r="G601" s="226">
        <f>Dat_02!E600</f>
        <v>40.400211353346023</v>
      </c>
      <c r="I601" s="227">
        <f>Dat_02!G600</f>
        <v>0</v>
      </c>
      <c r="J601" s="233"/>
    </row>
    <row r="602" spans="2:10">
      <c r="B602" s="224"/>
      <c r="C602" s="225">
        <f>Dat_02!B601</f>
        <v>45219</v>
      </c>
      <c r="D602" s="224"/>
      <c r="E602" s="226">
        <f>Dat_02!C601</f>
        <v>88.607744400979271</v>
      </c>
      <c r="F602" s="226">
        <f>Dat_02!D601</f>
        <v>40.400211353346023</v>
      </c>
      <c r="G602" s="226">
        <f>Dat_02!E601</f>
        <v>40.400211353346023</v>
      </c>
      <c r="I602" s="227">
        <f>Dat_02!G601</f>
        <v>0</v>
      </c>
      <c r="J602" s="233"/>
    </row>
    <row r="603" spans="2:10">
      <c r="B603" s="224"/>
      <c r="C603" s="225">
        <f>Dat_02!B602</f>
        <v>45220</v>
      </c>
      <c r="D603" s="224"/>
      <c r="E603" s="226">
        <f>Dat_02!C602</f>
        <v>94.690464856979261</v>
      </c>
      <c r="F603" s="226">
        <f>Dat_02!D602</f>
        <v>40.400211353346023</v>
      </c>
      <c r="G603" s="226">
        <f>Dat_02!E602</f>
        <v>40.400211353346023</v>
      </c>
      <c r="I603" s="227">
        <f>Dat_02!G602</f>
        <v>0</v>
      </c>
      <c r="J603" s="233"/>
    </row>
    <row r="604" spans="2:10">
      <c r="B604" s="224"/>
      <c r="C604" s="225">
        <f>Dat_02!B603</f>
        <v>45221</v>
      </c>
      <c r="D604" s="224"/>
      <c r="E604" s="226">
        <f>Dat_02!C603</f>
        <v>103.0744109489774</v>
      </c>
      <c r="F604" s="226">
        <f>Dat_02!D603</f>
        <v>40.400211353346023</v>
      </c>
      <c r="G604" s="226">
        <f>Dat_02!E603</f>
        <v>40.400211353346023</v>
      </c>
      <c r="I604" s="227">
        <f>Dat_02!G603</f>
        <v>0</v>
      </c>
      <c r="J604" s="233"/>
    </row>
    <row r="605" spans="2:10">
      <c r="B605" s="224"/>
      <c r="C605" s="225">
        <f>Dat_02!B604</f>
        <v>45222</v>
      </c>
      <c r="D605" s="224"/>
      <c r="E605" s="226">
        <f>Dat_02!C604</f>
        <v>121.68581367297928</v>
      </c>
      <c r="F605" s="226">
        <f>Dat_02!D604</f>
        <v>40.400211353346023</v>
      </c>
      <c r="G605" s="226">
        <f>Dat_02!E604</f>
        <v>40.400211353346023</v>
      </c>
      <c r="I605" s="227">
        <f>Dat_02!G604</f>
        <v>0</v>
      </c>
      <c r="J605" s="233"/>
    </row>
    <row r="606" spans="2:10">
      <c r="B606" s="224"/>
      <c r="C606" s="225">
        <f>Dat_02!B605</f>
        <v>45223</v>
      </c>
      <c r="D606" s="224"/>
      <c r="E606" s="226">
        <f>Dat_02!C605</f>
        <v>99.479185400978338</v>
      </c>
      <c r="F606" s="226">
        <f>Dat_02!D605</f>
        <v>40.400211353346023</v>
      </c>
      <c r="G606" s="226">
        <f>Dat_02!E605</f>
        <v>40.400211353346023</v>
      </c>
      <c r="I606" s="227">
        <f>Dat_02!G605</f>
        <v>0</v>
      </c>
      <c r="J606" s="233"/>
    </row>
    <row r="607" spans="2:10">
      <c r="B607" s="224"/>
      <c r="C607" s="225">
        <f>Dat_02!B606</f>
        <v>45224</v>
      </c>
      <c r="D607" s="224"/>
      <c r="E607" s="226">
        <f>Dat_02!C606</f>
        <v>153.27217943682234</v>
      </c>
      <c r="F607" s="226">
        <f>Dat_02!D606</f>
        <v>40.400211353346023</v>
      </c>
      <c r="G607" s="226">
        <f>Dat_02!E606</f>
        <v>40.400211353346023</v>
      </c>
      <c r="I607" s="227">
        <f>Dat_02!G606</f>
        <v>0</v>
      </c>
      <c r="J607" s="233"/>
    </row>
    <row r="608" spans="2:10">
      <c r="B608" s="224"/>
      <c r="C608" s="225">
        <f>Dat_02!B607</f>
        <v>45225</v>
      </c>
      <c r="D608" s="224"/>
      <c r="E608" s="226">
        <f>Dat_02!C607</f>
        <v>159.0758643998214</v>
      </c>
      <c r="F608" s="226">
        <f>Dat_02!D607</f>
        <v>40.400211353346023</v>
      </c>
      <c r="G608" s="226">
        <f>Dat_02!E607</f>
        <v>40.400211353346023</v>
      </c>
      <c r="I608" s="227">
        <f>Dat_02!G607</f>
        <v>0</v>
      </c>
      <c r="J608" s="233"/>
    </row>
    <row r="609" spans="2:10">
      <c r="B609" s="224"/>
      <c r="C609" s="225">
        <f>Dat_02!B608</f>
        <v>45226</v>
      </c>
      <c r="D609" s="224"/>
      <c r="E609" s="226">
        <f>Dat_02!C608</f>
        <v>171.12282010182233</v>
      </c>
      <c r="F609" s="226">
        <f>Dat_02!D608</f>
        <v>40.400211353346023</v>
      </c>
      <c r="G609" s="226">
        <f>Dat_02!E608</f>
        <v>40.400211353346023</v>
      </c>
      <c r="I609" s="227">
        <f>Dat_02!G608</f>
        <v>0</v>
      </c>
      <c r="J609" s="233"/>
    </row>
    <row r="610" spans="2:10">
      <c r="B610" s="224"/>
      <c r="C610" s="225">
        <f>Dat_02!B609</f>
        <v>45227</v>
      </c>
      <c r="D610" s="224"/>
      <c r="E610" s="226">
        <f>Dat_02!C609</f>
        <v>165.19954648382142</v>
      </c>
      <c r="F610" s="226">
        <f>Dat_02!D609</f>
        <v>40.400211353346023</v>
      </c>
      <c r="G610" s="226">
        <f>Dat_02!E609</f>
        <v>40.400211353346023</v>
      </c>
      <c r="I610" s="227">
        <f>Dat_02!G609</f>
        <v>0</v>
      </c>
      <c r="J610" s="233"/>
    </row>
    <row r="611" spans="2:10">
      <c r="B611" s="224"/>
      <c r="C611" s="225">
        <f>Dat_02!B610</f>
        <v>45228</v>
      </c>
      <c r="D611" s="224"/>
      <c r="E611" s="226">
        <f>Dat_02!C610</f>
        <v>176.09406028882233</v>
      </c>
      <c r="F611" s="226">
        <f>Dat_02!D610</f>
        <v>40.400211353346023</v>
      </c>
      <c r="G611" s="226">
        <f>Dat_02!E610</f>
        <v>40.400211353346023</v>
      </c>
      <c r="I611" s="227">
        <f>Dat_02!G610</f>
        <v>0</v>
      </c>
      <c r="J611" s="233"/>
    </row>
    <row r="612" spans="2:10">
      <c r="B612" s="224"/>
      <c r="C612" s="225">
        <f>Dat_02!B611</f>
        <v>45229</v>
      </c>
      <c r="D612" s="224"/>
      <c r="E612" s="226">
        <f>Dat_02!C611</f>
        <v>183.32879985482234</v>
      </c>
      <c r="F612" s="226">
        <f>Dat_02!D611</f>
        <v>40.400211353346023</v>
      </c>
      <c r="G612" s="226">
        <f>Dat_02!E611</f>
        <v>40.400211353346023</v>
      </c>
      <c r="I612" s="227">
        <f>Dat_02!G611</f>
        <v>0</v>
      </c>
      <c r="J612" s="233"/>
    </row>
    <row r="613" spans="2:10">
      <c r="B613" s="224"/>
      <c r="C613" s="225">
        <f>Dat_02!B612</f>
        <v>45230</v>
      </c>
      <c r="D613" s="224"/>
      <c r="E613" s="226">
        <f>Dat_02!C612</f>
        <v>207.29087419382046</v>
      </c>
      <c r="F613" s="226">
        <f>Dat_02!D612</f>
        <v>40.400211353346023</v>
      </c>
      <c r="G613" s="226">
        <f>Dat_02!E612</f>
        <v>40.400211353346023</v>
      </c>
      <c r="I613" s="227">
        <f>Dat_02!G612</f>
        <v>0</v>
      </c>
      <c r="J613" s="233"/>
    </row>
    <row r="614" spans="2:10">
      <c r="B614" s="224"/>
      <c r="C614" s="225">
        <f>Dat_02!B613</f>
        <v>45231</v>
      </c>
      <c r="D614" s="224"/>
      <c r="E614" s="226">
        <f>Dat_02!C613</f>
        <v>252.34479253189818</v>
      </c>
      <c r="F614" s="226">
        <f>Dat_02!D613</f>
        <v>80.938788836501317</v>
      </c>
      <c r="G614" s="226">
        <f>Dat_02!E613</f>
        <v>80.938788836501317</v>
      </c>
      <c r="I614" s="227">
        <f>Dat_02!G613</f>
        <v>0</v>
      </c>
      <c r="J614" s="233"/>
    </row>
    <row r="615" spans="2:10">
      <c r="B615" s="224"/>
      <c r="C615" s="225">
        <f>Dat_02!B614</f>
        <v>45232</v>
      </c>
      <c r="D615" s="224"/>
      <c r="E615" s="226">
        <f>Dat_02!C614</f>
        <v>252.82773148389819</v>
      </c>
      <c r="F615" s="226">
        <f>Dat_02!D614</f>
        <v>80.938788836501317</v>
      </c>
      <c r="G615" s="226">
        <f>Dat_02!E614</f>
        <v>80.938788836501317</v>
      </c>
      <c r="I615" s="227">
        <f>Dat_02!G614</f>
        <v>0</v>
      </c>
      <c r="J615" s="233"/>
    </row>
    <row r="616" spans="2:10">
      <c r="B616" s="224"/>
      <c r="C616" s="225">
        <f>Dat_02!B615</f>
        <v>45233</v>
      </c>
      <c r="D616" s="224"/>
      <c r="E616" s="226">
        <f>Dat_02!C615</f>
        <v>262.46804328789818</v>
      </c>
      <c r="F616" s="226">
        <f>Dat_02!D615</f>
        <v>80.938788836501317</v>
      </c>
      <c r="G616" s="226">
        <f>Dat_02!E615</f>
        <v>80.938788836501317</v>
      </c>
      <c r="I616" s="227">
        <f>Dat_02!G615</f>
        <v>0</v>
      </c>
      <c r="J616" s="233"/>
    </row>
    <row r="617" spans="2:10">
      <c r="B617" s="224"/>
      <c r="C617" s="225">
        <f>Dat_02!B616</f>
        <v>45234</v>
      </c>
      <c r="D617" s="224"/>
      <c r="E617" s="226">
        <f>Dat_02!C616</f>
        <v>260.0598686118982</v>
      </c>
      <c r="F617" s="226">
        <f>Dat_02!D616</f>
        <v>80.938788836501317</v>
      </c>
      <c r="G617" s="226">
        <f>Dat_02!E616</f>
        <v>80.938788836501317</v>
      </c>
      <c r="I617" s="227">
        <f>Dat_02!G616</f>
        <v>0</v>
      </c>
      <c r="J617" s="233"/>
    </row>
    <row r="618" spans="2:10">
      <c r="B618" s="224"/>
      <c r="C618" s="225">
        <f>Dat_02!B617</f>
        <v>45235</v>
      </c>
      <c r="D618" s="224"/>
      <c r="E618" s="226">
        <f>Dat_02!C617</f>
        <v>259.1792416438991</v>
      </c>
      <c r="F618" s="226">
        <f>Dat_02!D617</f>
        <v>80.938788836501317</v>
      </c>
      <c r="G618" s="226">
        <f>Dat_02!E617</f>
        <v>80.938788836501317</v>
      </c>
      <c r="I618" s="227">
        <f>Dat_02!G617</f>
        <v>0</v>
      </c>
      <c r="J618" s="233"/>
    </row>
    <row r="619" spans="2:10">
      <c r="B619" s="224"/>
      <c r="C619" s="225">
        <f>Dat_02!B618</f>
        <v>45236</v>
      </c>
      <c r="D619" s="224"/>
      <c r="E619" s="226">
        <f>Dat_02!C618</f>
        <v>270.53833565289727</v>
      </c>
      <c r="F619" s="226">
        <f>Dat_02!D618</f>
        <v>80.938788836501317</v>
      </c>
      <c r="G619" s="226">
        <f>Dat_02!E618</f>
        <v>80.938788836501317</v>
      </c>
      <c r="I619" s="227">
        <f>Dat_02!G618</f>
        <v>0</v>
      </c>
      <c r="J619" s="233"/>
    </row>
    <row r="620" spans="2:10">
      <c r="B620" s="224"/>
      <c r="C620" s="225">
        <f>Dat_02!B619</f>
        <v>45237</v>
      </c>
      <c r="D620" s="224"/>
      <c r="E620" s="226">
        <f>Dat_02!C619</f>
        <v>287.01657496989912</v>
      </c>
      <c r="F620" s="226">
        <f>Dat_02!D619</f>
        <v>80.938788836501317</v>
      </c>
      <c r="G620" s="226">
        <f>Dat_02!E619</f>
        <v>80.938788836501317</v>
      </c>
      <c r="I620" s="227">
        <f>Dat_02!G619</f>
        <v>0</v>
      </c>
      <c r="J620" s="233"/>
    </row>
    <row r="621" spans="2:10">
      <c r="B621" s="224"/>
      <c r="C621" s="225">
        <f>Dat_02!B620</f>
        <v>45238</v>
      </c>
      <c r="D621" s="224"/>
      <c r="E621" s="226">
        <f>Dat_02!C620</f>
        <v>200.27169127970353</v>
      </c>
      <c r="F621" s="226">
        <f>Dat_02!D620</f>
        <v>80.938788836501317</v>
      </c>
      <c r="G621" s="226">
        <f>Dat_02!E620</f>
        <v>80.938788836501317</v>
      </c>
      <c r="I621" s="227">
        <f>Dat_02!G620</f>
        <v>0</v>
      </c>
      <c r="J621" s="233"/>
    </row>
    <row r="622" spans="2:10">
      <c r="B622" s="224"/>
      <c r="C622" s="225">
        <f>Dat_02!B621</f>
        <v>45239</v>
      </c>
      <c r="D622" s="224"/>
      <c r="E622" s="226">
        <f>Dat_02!C621</f>
        <v>191.20337301370165</v>
      </c>
      <c r="F622" s="226">
        <f>Dat_02!D621</f>
        <v>80.938788836501317</v>
      </c>
      <c r="G622" s="226">
        <f>Dat_02!E621</f>
        <v>80.938788836501317</v>
      </c>
      <c r="I622" s="227">
        <f>Dat_02!G621</f>
        <v>0</v>
      </c>
      <c r="J622" s="233"/>
    </row>
    <row r="623" spans="2:10">
      <c r="B623" s="224"/>
      <c r="C623" s="225">
        <f>Dat_02!B622</f>
        <v>45240</v>
      </c>
      <c r="D623" s="224"/>
      <c r="E623" s="226">
        <f>Dat_02!C622</f>
        <v>188.93015086770166</v>
      </c>
      <c r="F623" s="226">
        <f>Dat_02!D622</f>
        <v>80.938788836501317</v>
      </c>
      <c r="G623" s="226">
        <f>Dat_02!E622</f>
        <v>80.938788836501317</v>
      </c>
      <c r="I623" s="227">
        <f>Dat_02!G622</f>
        <v>0</v>
      </c>
      <c r="J623" s="233"/>
    </row>
    <row r="624" spans="2:10">
      <c r="B624" s="224"/>
      <c r="C624" s="225">
        <f>Dat_02!B623</f>
        <v>45241</v>
      </c>
      <c r="D624" s="224"/>
      <c r="E624" s="226">
        <f>Dat_02!C623</f>
        <v>163.91813598970353</v>
      </c>
      <c r="F624" s="226">
        <f>Dat_02!D623</f>
        <v>80.938788836501317</v>
      </c>
      <c r="G624" s="226">
        <f>Dat_02!E623</f>
        <v>80.938788836501317</v>
      </c>
      <c r="I624" s="227">
        <f>Dat_02!G623</f>
        <v>0</v>
      </c>
      <c r="J624" s="233"/>
    </row>
    <row r="625" spans="2:10">
      <c r="B625" s="224"/>
      <c r="C625" s="225">
        <f>Dat_02!B624</f>
        <v>45242</v>
      </c>
      <c r="D625" s="224"/>
      <c r="E625" s="226">
        <f>Dat_02!C624</f>
        <v>169.85295779870353</v>
      </c>
      <c r="F625" s="226">
        <f>Dat_02!D624</f>
        <v>80.938788836501317</v>
      </c>
      <c r="G625" s="226">
        <f>Dat_02!E624</f>
        <v>80.938788836501317</v>
      </c>
      <c r="I625" s="227">
        <f>Dat_02!G624</f>
        <v>0</v>
      </c>
      <c r="J625" s="233"/>
    </row>
    <row r="626" spans="2:10">
      <c r="B626" s="224"/>
      <c r="C626" s="225">
        <f>Dat_02!B625</f>
        <v>45243</v>
      </c>
      <c r="D626" s="224"/>
      <c r="E626" s="226">
        <f>Dat_02!C625</f>
        <v>185.62598372670351</v>
      </c>
      <c r="F626" s="226">
        <f>Dat_02!D625</f>
        <v>80.938788836501317</v>
      </c>
      <c r="G626" s="226">
        <f>Dat_02!E625</f>
        <v>80.938788836501317</v>
      </c>
      <c r="I626" s="227">
        <f>Dat_02!G625</f>
        <v>0</v>
      </c>
      <c r="J626" s="233"/>
    </row>
    <row r="627" spans="2:10">
      <c r="B627" s="224"/>
      <c r="C627" s="225">
        <f>Dat_02!B626</f>
        <v>45244</v>
      </c>
      <c r="D627" s="224"/>
      <c r="E627" s="226">
        <f>Dat_02!C626</f>
        <v>194.15288173870167</v>
      </c>
      <c r="F627" s="226">
        <f>Dat_02!D626</f>
        <v>80.938788836501317</v>
      </c>
      <c r="G627" s="226">
        <f>Dat_02!E626</f>
        <v>80.938788836501317</v>
      </c>
      <c r="I627" s="227">
        <f>Dat_02!G626</f>
        <v>0</v>
      </c>
      <c r="J627" s="233"/>
    </row>
    <row r="628" spans="2:10">
      <c r="B628" s="224"/>
      <c r="C628" s="225">
        <f>Dat_02!B627</f>
        <v>45245</v>
      </c>
      <c r="D628" s="224"/>
      <c r="E628" s="226">
        <f>Dat_02!C627</f>
        <v>136.04036127041906</v>
      </c>
      <c r="F628" s="226">
        <f>Dat_02!D627</f>
        <v>80.938788836501317</v>
      </c>
      <c r="G628" s="226">
        <f>Dat_02!E627</f>
        <v>80.938788836501317</v>
      </c>
      <c r="I628" s="227">
        <f>Dat_02!G627</f>
        <v>80.938788836501317</v>
      </c>
      <c r="J628" s="233"/>
    </row>
    <row r="629" spans="2:10">
      <c r="B629" s="224"/>
      <c r="C629" s="225">
        <f>Dat_02!B628</f>
        <v>45246</v>
      </c>
      <c r="D629" s="224"/>
      <c r="E629" s="226">
        <f>Dat_02!C628</f>
        <v>136.99093102641908</v>
      </c>
      <c r="F629" s="226">
        <f>Dat_02!D628</f>
        <v>80.938788836501317</v>
      </c>
      <c r="G629" s="226">
        <f>Dat_02!E628</f>
        <v>80.938788836501317</v>
      </c>
      <c r="I629" s="227">
        <f>Dat_02!G628</f>
        <v>0</v>
      </c>
      <c r="J629" s="233"/>
    </row>
    <row r="630" spans="2:10">
      <c r="B630" s="224"/>
      <c r="C630" s="225">
        <f>Dat_02!B629</f>
        <v>45247</v>
      </c>
      <c r="D630" s="224"/>
      <c r="E630" s="226">
        <f>Dat_02!C629</f>
        <v>152.77397935041907</v>
      </c>
      <c r="F630" s="226">
        <f>Dat_02!D629</f>
        <v>80.938788836501317</v>
      </c>
      <c r="G630" s="226">
        <f>Dat_02!E629</f>
        <v>80.938788836501317</v>
      </c>
      <c r="I630" s="227">
        <f>Dat_02!G629</f>
        <v>0</v>
      </c>
      <c r="J630" s="233"/>
    </row>
    <row r="631" spans="2:10">
      <c r="B631" s="224"/>
      <c r="C631" s="225">
        <f>Dat_02!B630</f>
        <v>45248</v>
      </c>
      <c r="D631" s="224"/>
      <c r="E631" s="226">
        <f>Dat_02!C630</f>
        <v>146.69987278242093</v>
      </c>
      <c r="F631" s="226">
        <f>Dat_02!D630</f>
        <v>80.938788836501317</v>
      </c>
      <c r="G631" s="226">
        <f>Dat_02!E630</f>
        <v>80.938788836501317</v>
      </c>
      <c r="I631" s="227">
        <f>Dat_02!G630</f>
        <v>0</v>
      </c>
      <c r="J631" s="233"/>
    </row>
    <row r="632" spans="2:10">
      <c r="B632" s="224"/>
      <c r="C632" s="225">
        <f>Dat_02!B631</f>
        <v>45249</v>
      </c>
      <c r="D632" s="224"/>
      <c r="E632" s="226">
        <f>Dat_02!C631</f>
        <v>112.86533377041907</v>
      </c>
      <c r="F632" s="226">
        <f>Dat_02!D631</f>
        <v>80.938788836501317</v>
      </c>
      <c r="G632" s="226">
        <f>Dat_02!E631</f>
        <v>80.938788836501317</v>
      </c>
      <c r="I632" s="227">
        <f>Dat_02!G631</f>
        <v>0</v>
      </c>
      <c r="J632" s="233"/>
    </row>
    <row r="633" spans="2:10">
      <c r="B633" s="224"/>
      <c r="C633" s="225">
        <f>Dat_02!B632</f>
        <v>45250</v>
      </c>
      <c r="D633" s="224"/>
      <c r="E633" s="226">
        <f>Dat_02!C632</f>
        <v>132.75218811441906</v>
      </c>
      <c r="F633" s="226">
        <f>Dat_02!D632</f>
        <v>80.938788836501317</v>
      </c>
      <c r="G633" s="226">
        <f>Dat_02!E632</f>
        <v>80.938788836501317</v>
      </c>
      <c r="I633" s="227">
        <f>Dat_02!G632</f>
        <v>0</v>
      </c>
      <c r="J633" s="233"/>
    </row>
    <row r="634" spans="2:10">
      <c r="B634" s="224"/>
      <c r="C634" s="225">
        <f>Dat_02!B633</f>
        <v>45251</v>
      </c>
      <c r="D634" s="224"/>
      <c r="E634" s="226">
        <f>Dat_02!C633</f>
        <v>95.756374298420923</v>
      </c>
      <c r="F634" s="226">
        <f>Dat_02!D633</f>
        <v>80.938788836501317</v>
      </c>
      <c r="G634" s="226">
        <f>Dat_02!E633</f>
        <v>80.938788836501317</v>
      </c>
      <c r="I634" s="227">
        <f>Dat_02!G633</f>
        <v>0</v>
      </c>
      <c r="J634" s="233"/>
    </row>
    <row r="635" spans="2:10">
      <c r="B635" s="224"/>
      <c r="C635" s="225">
        <f>Dat_02!B634</f>
        <v>45252</v>
      </c>
      <c r="D635" s="224"/>
      <c r="E635" s="226">
        <f>Dat_02!C634</f>
        <v>53.644299812797733</v>
      </c>
      <c r="F635" s="226">
        <f>Dat_02!D634</f>
        <v>80.938788836501317</v>
      </c>
      <c r="G635" s="226">
        <f>Dat_02!E634</f>
        <v>53.644299812797733</v>
      </c>
      <c r="I635" s="227">
        <f>Dat_02!G634</f>
        <v>0</v>
      </c>
      <c r="J635" s="233"/>
    </row>
    <row r="636" spans="2:10">
      <c r="B636" s="224"/>
      <c r="C636" s="225">
        <f>Dat_02!B635</f>
        <v>45253</v>
      </c>
      <c r="D636" s="224"/>
      <c r="E636" s="226">
        <f>Dat_02!C635</f>
        <v>68.63053512879587</v>
      </c>
      <c r="F636" s="226">
        <f>Dat_02!D635</f>
        <v>80.938788836501317</v>
      </c>
      <c r="G636" s="226">
        <f>Dat_02!E635</f>
        <v>68.63053512879587</v>
      </c>
      <c r="I636" s="227">
        <f>Dat_02!G635</f>
        <v>0</v>
      </c>
      <c r="J636" s="233"/>
    </row>
    <row r="637" spans="2:10">
      <c r="B637" s="224"/>
      <c r="C637" s="225">
        <f>Dat_02!B636</f>
        <v>45254</v>
      </c>
      <c r="D637" s="224"/>
      <c r="E637" s="226">
        <f>Dat_02!C636</f>
        <v>81.573578988797735</v>
      </c>
      <c r="F637" s="226">
        <f>Dat_02!D636</f>
        <v>80.938788836501317</v>
      </c>
      <c r="G637" s="226">
        <f>Dat_02!E636</f>
        <v>80.938788836501317</v>
      </c>
      <c r="I637" s="227">
        <f>Dat_02!G636</f>
        <v>0</v>
      </c>
      <c r="J637" s="233"/>
    </row>
    <row r="638" spans="2:10">
      <c r="B638" s="224"/>
      <c r="C638" s="225">
        <f>Dat_02!B637</f>
        <v>45255</v>
      </c>
      <c r="D638" s="224"/>
      <c r="E638" s="226">
        <f>Dat_02!C637</f>
        <v>77.610073240797732</v>
      </c>
      <c r="F638" s="226">
        <f>Dat_02!D637</f>
        <v>80.938788836501317</v>
      </c>
      <c r="G638" s="226">
        <f>Dat_02!E637</f>
        <v>77.610073240797732</v>
      </c>
      <c r="I638" s="227">
        <f>Dat_02!G637</f>
        <v>0</v>
      </c>
      <c r="J638" s="233"/>
    </row>
    <row r="639" spans="2:10">
      <c r="B639" s="224"/>
      <c r="C639" s="225">
        <f>Dat_02!B638</f>
        <v>45256</v>
      </c>
      <c r="D639" s="224"/>
      <c r="E639" s="226">
        <f>Dat_02!C638</f>
        <v>119.08774744079774</v>
      </c>
      <c r="F639" s="226">
        <f>Dat_02!D638</f>
        <v>80.938788836501317</v>
      </c>
      <c r="G639" s="226">
        <f>Dat_02!E638</f>
        <v>80.938788836501317</v>
      </c>
      <c r="I639" s="227">
        <f>Dat_02!G638</f>
        <v>0</v>
      </c>
      <c r="J639" s="233"/>
    </row>
    <row r="640" spans="2:10">
      <c r="B640" s="224"/>
      <c r="C640" s="225">
        <f>Dat_02!B639</f>
        <v>45257</v>
      </c>
      <c r="D640" s="224"/>
      <c r="E640" s="226">
        <f>Dat_02!C639</f>
        <v>115.80241880879586</v>
      </c>
      <c r="F640" s="226">
        <f>Dat_02!D639</f>
        <v>80.938788836501317</v>
      </c>
      <c r="G640" s="226">
        <f>Dat_02!E639</f>
        <v>80.938788836501317</v>
      </c>
      <c r="I640" s="227">
        <f>Dat_02!G639</f>
        <v>0</v>
      </c>
      <c r="J640" s="233"/>
    </row>
    <row r="641" spans="2:10">
      <c r="B641" s="224"/>
      <c r="C641" s="225">
        <f>Dat_02!B640</f>
        <v>45258</v>
      </c>
      <c r="D641" s="224"/>
      <c r="E641" s="226">
        <f>Dat_02!C640</f>
        <v>111.20884823679772</v>
      </c>
      <c r="F641" s="226">
        <f>Dat_02!D640</f>
        <v>80.938788836501317</v>
      </c>
      <c r="G641" s="226">
        <f>Dat_02!E640</f>
        <v>80.938788836501317</v>
      </c>
      <c r="I641" s="227">
        <f>Dat_02!G640</f>
        <v>0</v>
      </c>
      <c r="J641" s="233"/>
    </row>
    <row r="642" spans="2:10">
      <c r="B642" s="224"/>
      <c r="C642" s="225">
        <f>Dat_02!B641</f>
        <v>45259</v>
      </c>
      <c r="D642" s="224"/>
      <c r="E642" s="226">
        <f>Dat_02!C641</f>
        <v>137.62113917065372</v>
      </c>
      <c r="F642" s="226">
        <f>Dat_02!D641</f>
        <v>80.938788836501317</v>
      </c>
      <c r="G642" s="226">
        <f>Dat_02!E641</f>
        <v>80.938788836501317</v>
      </c>
      <c r="I642" s="227">
        <f>Dat_02!G641</f>
        <v>0</v>
      </c>
      <c r="J642" s="233"/>
    </row>
    <row r="643" spans="2:10">
      <c r="B643" s="224"/>
      <c r="C643" s="225">
        <f>Dat_02!B642</f>
        <v>45260</v>
      </c>
      <c r="D643" s="224"/>
      <c r="E643" s="226">
        <f>Dat_02!C642</f>
        <v>160.63037339865744</v>
      </c>
      <c r="F643" s="226">
        <f>Dat_02!D642</f>
        <v>80.938788836501317</v>
      </c>
      <c r="G643" s="226">
        <f>Dat_02!E642</f>
        <v>80.938788836501317</v>
      </c>
      <c r="I643" s="227">
        <f>Dat_02!G642</f>
        <v>0</v>
      </c>
      <c r="J643" s="233"/>
    </row>
    <row r="644" spans="2:10">
      <c r="B644" s="224"/>
      <c r="C644" s="225">
        <f>Dat_02!B643</f>
        <v>45261</v>
      </c>
      <c r="D644" s="224"/>
      <c r="E644" s="226">
        <f>Dat_02!C643</f>
        <v>159.82295128265372</v>
      </c>
      <c r="F644" s="226">
        <f>Dat_02!D643</f>
        <v>105.77564059458246</v>
      </c>
      <c r="G644" s="226">
        <f>Dat_02!E643</f>
        <v>105.77564059458246</v>
      </c>
      <c r="I644" s="227">
        <f>Dat_02!G643</f>
        <v>0</v>
      </c>
      <c r="J644" s="233"/>
    </row>
    <row r="645" spans="2:10">
      <c r="B645" s="224"/>
      <c r="C645" s="225">
        <f>Dat_02!B644</f>
        <v>45262</v>
      </c>
      <c r="D645" s="224"/>
      <c r="E645" s="226">
        <f>Dat_02!C644</f>
        <v>156.65278832665558</v>
      </c>
      <c r="F645" s="226">
        <f>Dat_02!D644</f>
        <v>105.77564059458246</v>
      </c>
      <c r="G645" s="226">
        <f>Dat_02!E644</f>
        <v>105.77564059458246</v>
      </c>
      <c r="I645" s="227">
        <f>Dat_02!G644</f>
        <v>0</v>
      </c>
      <c r="J645" s="233"/>
    </row>
    <row r="646" spans="2:10">
      <c r="B646" s="224"/>
      <c r="C646" s="225">
        <f>Dat_02!B645</f>
        <v>45263</v>
      </c>
      <c r="D646" s="224"/>
      <c r="E646" s="226">
        <f>Dat_02!C645</f>
        <v>163.37818961465373</v>
      </c>
      <c r="F646" s="226">
        <f>Dat_02!D645</f>
        <v>105.77564059458246</v>
      </c>
      <c r="G646" s="226">
        <f>Dat_02!E645</f>
        <v>105.77564059458246</v>
      </c>
      <c r="I646" s="227">
        <f>Dat_02!G645</f>
        <v>0</v>
      </c>
      <c r="J646" s="233"/>
    </row>
    <row r="647" spans="2:10">
      <c r="B647" s="224"/>
      <c r="C647" s="225">
        <f>Dat_02!B646</f>
        <v>45264</v>
      </c>
      <c r="D647" s="224"/>
      <c r="E647" s="226">
        <f>Dat_02!C646</f>
        <v>170.60531195065747</v>
      </c>
      <c r="F647" s="226">
        <f>Dat_02!D646</f>
        <v>105.77564059458246</v>
      </c>
      <c r="G647" s="226">
        <f>Dat_02!E646</f>
        <v>105.77564059458246</v>
      </c>
      <c r="I647" s="227">
        <f>Dat_02!G646</f>
        <v>0</v>
      </c>
      <c r="J647" s="233"/>
    </row>
    <row r="648" spans="2:10">
      <c r="B648" s="224"/>
      <c r="C648" s="225">
        <f>Dat_02!B647</f>
        <v>45265</v>
      </c>
      <c r="D648" s="224"/>
      <c r="E648" s="226">
        <f>Dat_02!C647</f>
        <v>199.93415958265373</v>
      </c>
      <c r="F648" s="226">
        <f>Dat_02!D647</f>
        <v>105.77564059458246</v>
      </c>
      <c r="G648" s="226">
        <f>Dat_02!E647</f>
        <v>105.77564059458246</v>
      </c>
      <c r="I648" s="227">
        <f>Dat_02!G647</f>
        <v>0</v>
      </c>
      <c r="J648" s="233"/>
    </row>
    <row r="649" spans="2:10">
      <c r="B649" s="224"/>
      <c r="C649" s="225">
        <f>Dat_02!B648</f>
        <v>45266</v>
      </c>
      <c r="D649" s="224"/>
      <c r="E649" s="226">
        <f>Dat_02!C648</f>
        <v>203.09537113522717</v>
      </c>
      <c r="F649" s="226">
        <f>Dat_02!D648</f>
        <v>105.77564059458246</v>
      </c>
      <c r="G649" s="226">
        <f>Dat_02!E648</f>
        <v>105.77564059458246</v>
      </c>
      <c r="I649" s="227">
        <f>Dat_02!G648</f>
        <v>0</v>
      </c>
      <c r="J649" s="233"/>
    </row>
    <row r="650" spans="2:10">
      <c r="B650" s="224"/>
      <c r="C650" s="225">
        <f>Dat_02!B649</f>
        <v>45267</v>
      </c>
      <c r="D650" s="224"/>
      <c r="E650" s="226">
        <f>Dat_02!C649</f>
        <v>174.14064992322719</v>
      </c>
      <c r="F650" s="226">
        <f>Dat_02!D649</f>
        <v>105.77564059458246</v>
      </c>
      <c r="G650" s="226">
        <f>Dat_02!E649</f>
        <v>105.77564059458246</v>
      </c>
      <c r="I650" s="227">
        <f>Dat_02!G649</f>
        <v>0</v>
      </c>
      <c r="J650" s="233"/>
    </row>
    <row r="651" spans="2:10">
      <c r="B651" s="224"/>
      <c r="C651" s="225">
        <f>Dat_02!B650</f>
        <v>45268</v>
      </c>
      <c r="D651" s="224"/>
      <c r="E651" s="226">
        <f>Dat_02!C650</f>
        <v>128.77621372722533</v>
      </c>
      <c r="F651" s="226">
        <f>Dat_02!D650</f>
        <v>105.77564059458246</v>
      </c>
      <c r="G651" s="226">
        <f>Dat_02!E650</f>
        <v>105.77564059458246</v>
      </c>
      <c r="I651" s="227">
        <f>Dat_02!G650</f>
        <v>0</v>
      </c>
      <c r="J651" s="233"/>
    </row>
    <row r="652" spans="2:10">
      <c r="B652" s="224"/>
      <c r="C652" s="225">
        <f>Dat_02!B651</f>
        <v>45269</v>
      </c>
      <c r="D652" s="224"/>
      <c r="E652" s="226">
        <f>Dat_02!C651</f>
        <v>132.17955755122719</v>
      </c>
      <c r="F652" s="226">
        <f>Dat_02!D651</f>
        <v>105.77564059458246</v>
      </c>
      <c r="G652" s="226">
        <f>Dat_02!E651</f>
        <v>105.77564059458246</v>
      </c>
      <c r="I652" s="227">
        <f>Dat_02!G651</f>
        <v>0</v>
      </c>
      <c r="J652" s="233"/>
    </row>
    <row r="653" spans="2:10">
      <c r="B653" s="224"/>
      <c r="C653" s="225">
        <f>Dat_02!B652</f>
        <v>45270</v>
      </c>
      <c r="D653" s="224"/>
      <c r="E653" s="226">
        <f>Dat_02!C652</f>
        <v>138.86893037922533</v>
      </c>
      <c r="F653" s="226">
        <f>Dat_02!D652</f>
        <v>105.77564059458246</v>
      </c>
      <c r="G653" s="226">
        <f>Dat_02!E652</f>
        <v>105.77564059458246</v>
      </c>
      <c r="I653" s="227">
        <f>Dat_02!G652</f>
        <v>0</v>
      </c>
      <c r="J653" s="233"/>
    </row>
    <row r="654" spans="2:10">
      <c r="B654" s="224"/>
      <c r="C654" s="225">
        <f>Dat_02!B653</f>
        <v>45271</v>
      </c>
      <c r="D654" s="224"/>
      <c r="E654" s="226">
        <f>Dat_02!C653</f>
        <v>159.3260066972272</v>
      </c>
      <c r="F654" s="226">
        <f>Dat_02!D653</f>
        <v>105.77564059458246</v>
      </c>
      <c r="G654" s="226">
        <f>Dat_02!E653</f>
        <v>105.77564059458246</v>
      </c>
      <c r="I654" s="227">
        <f>Dat_02!G653</f>
        <v>0</v>
      </c>
      <c r="J654" s="233"/>
    </row>
    <row r="655" spans="2:10">
      <c r="B655" s="224"/>
      <c r="C655" s="225">
        <f>Dat_02!B654</f>
        <v>45272</v>
      </c>
      <c r="D655" s="224"/>
      <c r="E655" s="226">
        <f>Dat_02!C654</f>
        <v>171.4619880912272</v>
      </c>
      <c r="F655" s="226">
        <f>Dat_02!D654</f>
        <v>105.77564059458246</v>
      </c>
      <c r="G655" s="226">
        <f>Dat_02!E654</f>
        <v>105.77564059458246</v>
      </c>
      <c r="I655" s="227">
        <f>Dat_02!G654</f>
        <v>0</v>
      </c>
      <c r="J655" s="233"/>
    </row>
    <row r="656" spans="2:10">
      <c r="B656" s="224"/>
      <c r="C656" s="225">
        <f>Dat_02!B655</f>
        <v>45273</v>
      </c>
      <c r="D656" s="224"/>
      <c r="E656" s="226">
        <f>Dat_02!C655</f>
        <v>142.13530520657491</v>
      </c>
      <c r="F656" s="226">
        <f>Dat_02!D655</f>
        <v>105.77564059458246</v>
      </c>
      <c r="G656" s="226">
        <f>Dat_02!E655</f>
        <v>105.77564059458246</v>
      </c>
      <c r="I656" s="227">
        <f>Dat_02!G655</f>
        <v>0</v>
      </c>
      <c r="J656" s="233"/>
    </row>
    <row r="657" spans="2:10">
      <c r="B657" s="224"/>
      <c r="C657" s="225">
        <f>Dat_02!B656</f>
        <v>45274</v>
      </c>
      <c r="D657" s="224"/>
      <c r="E657" s="226">
        <f>Dat_02!C656</f>
        <v>141.16566657457307</v>
      </c>
      <c r="F657" s="226">
        <f>Dat_02!D656</f>
        <v>105.77564059458246</v>
      </c>
      <c r="G657" s="226">
        <f>Dat_02!E656</f>
        <v>105.77564059458246</v>
      </c>
      <c r="I657" s="227">
        <f>Dat_02!G656</f>
        <v>0</v>
      </c>
      <c r="J657" s="233"/>
    </row>
    <row r="658" spans="2:10">
      <c r="B658" s="224"/>
      <c r="C658" s="225">
        <f>Dat_02!B657</f>
        <v>45275</v>
      </c>
      <c r="D658" s="224"/>
      <c r="E658" s="226">
        <f>Dat_02!C657</f>
        <v>153.64465403057307</v>
      </c>
      <c r="F658" s="226">
        <f>Dat_02!D657</f>
        <v>105.77564059458246</v>
      </c>
      <c r="G658" s="226">
        <f>Dat_02!E657</f>
        <v>105.77564059458246</v>
      </c>
      <c r="I658" s="227">
        <f>Dat_02!G657</f>
        <v>105.77564059458246</v>
      </c>
      <c r="J658" s="233"/>
    </row>
    <row r="659" spans="2:10">
      <c r="B659" s="224"/>
      <c r="C659" s="225">
        <f>Dat_02!B658</f>
        <v>45276</v>
      </c>
      <c r="D659" s="224"/>
      <c r="E659" s="226">
        <f>Dat_02!C658</f>
        <v>154.99507404257304</v>
      </c>
      <c r="F659" s="226">
        <f>Dat_02!D658</f>
        <v>105.77564059458246</v>
      </c>
      <c r="G659" s="226">
        <f>Dat_02!E658</f>
        <v>105.77564059458246</v>
      </c>
      <c r="I659" s="227">
        <f>Dat_02!G658</f>
        <v>0</v>
      </c>
      <c r="J659" s="233"/>
    </row>
    <row r="660" spans="2:10">
      <c r="B660" s="224"/>
      <c r="C660" s="225">
        <f>Dat_02!B659</f>
        <v>45277</v>
      </c>
      <c r="D660" s="224"/>
      <c r="E660" s="226">
        <f>Dat_02!C659</f>
        <v>162.51315517457493</v>
      </c>
      <c r="F660" s="226">
        <f>Dat_02!D659</f>
        <v>105.77564059458246</v>
      </c>
      <c r="G660" s="226">
        <f>Dat_02!E659</f>
        <v>105.77564059458246</v>
      </c>
      <c r="I660" s="227">
        <f>Dat_02!G659</f>
        <v>0</v>
      </c>
      <c r="J660" s="233"/>
    </row>
    <row r="661" spans="2:10">
      <c r="B661" s="224"/>
      <c r="C661" s="225">
        <f>Dat_02!B660</f>
        <v>45278</v>
      </c>
      <c r="D661" s="224"/>
      <c r="E661" s="226">
        <f>Dat_02!C660</f>
        <v>187.77831825057308</v>
      </c>
      <c r="F661" s="226">
        <f>Dat_02!D660</f>
        <v>105.77564059458246</v>
      </c>
      <c r="G661" s="226">
        <f>Dat_02!E660</f>
        <v>105.77564059458246</v>
      </c>
      <c r="I661" s="227">
        <f>Dat_02!G660</f>
        <v>0</v>
      </c>
      <c r="J661" s="233"/>
    </row>
    <row r="662" spans="2:10">
      <c r="B662" s="224"/>
      <c r="C662" s="225">
        <f>Dat_02!B661</f>
        <v>45279</v>
      </c>
      <c r="D662" s="224"/>
      <c r="E662" s="226">
        <f>Dat_02!C661</f>
        <v>183.13893505057305</v>
      </c>
      <c r="F662" s="226">
        <f>Dat_02!D661</f>
        <v>105.77564059458246</v>
      </c>
      <c r="G662" s="226">
        <f>Dat_02!E661</f>
        <v>105.77564059458246</v>
      </c>
      <c r="I662" s="227">
        <f>Dat_02!G661</f>
        <v>0</v>
      </c>
      <c r="J662" s="233"/>
    </row>
    <row r="663" spans="2:10">
      <c r="B663" s="224"/>
      <c r="C663" s="225">
        <f>Dat_02!B662</f>
        <v>45280</v>
      </c>
      <c r="D663" s="224"/>
      <c r="E663" s="226">
        <f>Dat_02!C662</f>
        <v>90.183736069493563</v>
      </c>
      <c r="F663" s="226">
        <f>Dat_02!D662</f>
        <v>105.77564059458246</v>
      </c>
      <c r="G663" s="226">
        <f>Dat_02!E662</f>
        <v>90.183736069493563</v>
      </c>
      <c r="I663" s="227">
        <f>Dat_02!G662</f>
        <v>0</v>
      </c>
      <c r="J663" s="233"/>
    </row>
    <row r="664" spans="2:10">
      <c r="B664" s="224"/>
      <c r="C664" s="225">
        <f>Dat_02!B663</f>
        <v>45281</v>
      </c>
      <c r="D664" s="224"/>
      <c r="E664" s="226">
        <f>Dat_02!C663</f>
        <v>95.043589213493576</v>
      </c>
      <c r="F664" s="226">
        <f>Dat_02!D663</f>
        <v>105.77564059458246</v>
      </c>
      <c r="G664" s="226">
        <f>Dat_02!E663</f>
        <v>95.043589213493576</v>
      </c>
      <c r="I664" s="227">
        <f>Dat_02!G663</f>
        <v>0</v>
      </c>
      <c r="J664" s="233"/>
    </row>
    <row r="665" spans="2:10">
      <c r="B665" s="224"/>
      <c r="C665" s="225">
        <f>Dat_02!B664</f>
        <v>45282</v>
      </c>
      <c r="D665" s="224"/>
      <c r="E665" s="226">
        <f>Dat_02!C664</f>
        <v>83.781432525495433</v>
      </c>
      <c r="F665" s="226">
        <f>Dat_02!D664</f>
        <v>105.77564059458246</v>
      </c>
      <c r="G665" s="226">
        <f>Dat_02!E664</f>
        <v>83.781432525495433</v>
      </c>
      <c r="I665" s="227">
        <f>Dat_02!G664</f>
        <v>0</v>
      </c>
      <c r="J665" s="233"/>
    </row>
    <row r="666" spans="2:10">
      <c r="B666" s="224"/>
      <c r="C666" s="225">
        <f>Dat_02!B665</f>
        <v>45283</v>
      </c>
      <c r="D666" s="224"/>
      <c r="E666" s="226">
        <f>Dat_02!C665</f>
        <v>81.579333937491697</v>
      </c>
      <c r="F666" s="226">
        <f>Dat_02!D665</f>
        <v>105.77564059458246</v>
      </c>
      <c r="G666" s="226">
        <f>Dat_02!E665</f>
        <v>81.579333937491697</v>
      </c>
      <c r="I666" s="227">
        <f>Dat_02!G665</f>
        <v>0</v>
      </c>
      <c r="J666" s="233"/>
    </row>
    <row r="667" spans="2:10">
      <c r="B667" s="224"/>
      <c r="C667" s="225">
        <f>Dat_02!B666</f>
        <v>45284</v>
      </c>
      <c r="D667" s="224"/>
      <c r="E667" s="226">
        <f>Dat_02!C666</f>
        <v>105.31441543349543</v>
      </c>
      <c r="F667" s="226">
        <f>Dat_02!D666</f>
        <v>105.77564059458246</v>
      </c>
      <c r="G667" s="226">
        <f>Dat_02!E666</f>
        <v>105.31441543349543</v>
      </c>
      <c r="I667" s="227">
        <f>Dat_02!G666</f>
        <v>0</v>
      </c>
      <c r="J667" s="233"/>
    </row>
    <row r="668" spans="2:10">
      <c r="B668" s="224"/>
      <c r="C668" s="225">
        <f>Dat_02!B667</f>
        <v>45285</v>
      </c>
      <c r="D668" s="224"/>
      <c r="E668" s="226">
        <f>Dat_02!C667</f>
        <v>86.276048425495418</v>
      </c>
      <c r="F668" s="226">
        <f>Dat_02!D667</f>
        <v>105.77564059458246</v>
      </c>
      <c r="G668" s="226">
        <f>Dat_02!E667</f>
        <v>86.276048425495418</v>
      </c>
      <c r="I668" s="227">
        <f>Dat_02!G667</f>
        <v>0</v>
      </c>
      <c r="J668" s="233"/>
    </row>
    <row r="669" spans="2:10">
      <c r="B669" s="224"/>
      <c r="C669" s="225">
        <f>Dat_02!B668</f>
        <v>45286</v>
      </c>
      <c r="D669" s="224"/>
      <c r="E669" s="226">
        <f>Dat_02!C668</f>
        <v>120.60045578949357</v>
      </c>
      <c r="F669" s="226">
        <f>Dat_02!D668</f>
        <v>105.77564059458246</v>
      </c>
      <c r="G669" s="226">
        <f>Dat_02!E668</f>
        <v>105.77564059458246</v>
      </c>
      <c r="I669" s="227">
        <f>Dat_02!G668</f>
        <v>0</v>
      </c>
      <c r="J669" s="233"/>
    </row>
    <row r="670" spans="2:10">
      <c r="B670" s="224"/>
      <c r="C670" s="225">
        <f>Dat_02!B669</f>
        <v>45287</v>
      </c>
      <c r="D670" s="224"/>
      <c r="E670" s="226">
        <f>Dat_02!C669</f>
        <v>129.98663255014625</v>
      </c>
      <c r="F670" s="226">
        <f>Dat_02!D669</f>
        <v>105.77564059458246</v>
      </c>
      <c r="G670" s="226">
        <f>Dat_02!E669</f>
        <v>105.77564059458246</v>
      </c>
      <c r="I670" s="227">
        <f>Dat_02!G669</f>
        <v>0</v>
      </c>
      <c r="J670" s="233"/>
    </row>
    <row r="671" spans="2:10">
      <c r="B671" s="224"/>
      <c r="C671" s="225">
        <f>Dat_02!B670</f>
        <v>45288</v>
      </c>
      <c r="D671" s="224"/>
      <c r="E671" s="226">
        <f>Dat_02!C670</f>
        <v>125.53044622614814</v>
      </c>
      <c r="F671" s="226">
        <f>Dat_02!D670</f>
        <v>105.77564059458246</v>
      </c>
      <c r="G671" s="226">
        <f>Dat_02!E670</f>
        <v>105.77564059458246</v>
      </c>
      <c r="I671" s="227">
        <f>Dat_02!G670</f>
        <v>0</v>
      </c>
      <c r="J671" s="233"/>
    </row>
    <row r="672" spans="2:10">
      <c r="B672" s="224"/>
      <c r="C672" s="225">
        <f>Dat_02!B671</f>
        <v>45289</v>
      </c>
      <c r="D672" s="224"/>
      <c r="E672" s="226">
        <f>Dat_02!C671</f>
        <v>136.81955190614624</v>
      </c>
      <c r="F672" s="226">
        <f>Dat_02!D671</f>
        <v>105.77564059458246</v>
      </c>
      <c r="G672" s="226">
        <f>Dat_02!E671</f>
        <v>105.77564059458246</v>
      </c>
      <c r="I672" s="227">
        <f>Dat_02!G671</f>
        <v>0</v>
      </c>
      <c r="J672" s="233"/>
    </row>
    <row r="673" spans="2:10">
      <c r="B673" s="224"/>
      <c r="C673" s="225">
        <f>Dat_02!B672</f>
        <v>45290</v>
      </c>
      <c r="D673" s="224"/>
      <c r="E673" s="226">
        <f>Dat_02!C672</f>
        <v>80.37812548214626</v>
      </c>
      <c r="F673" s="226">
        <f>Dat_02!D672</f>
        <v>105.77564059458246</v>
      </c>
      <c r="G673" s="226">
        <f>Dat_02!E672</f>
        <v>80.37812548214626</v>
      </c>
      <c r="I673" s="227">
        <f>Dat_02!G672</f>
        <v>0</v>
      </c>
      <c r="J673" s="233"/>
    </row>
    <row r="674" spans="2:10">
      <c r="B674" s="224"/>
      <c r="C674" s="225">
        <f>Dat_02!B673</f>
        <v>45291</v>
      </c>
      <c r="D674" s="224"/>
      <c r="E674" s="226">
        <f>Dat_02!C673</f>
        <v>57.869754374148123</v>
      </c>
      <c r="F674" s="226">
        <f>Dat_02!D673</f>
        <v>105.77564059458246</v>
      </c>
      <c r="G674" s="226">
        <f>Dat_02!E673</f>
        <v>57.869754374148123</v>
      </c>
      <c r="I674" s="227">
        <f>Dat_02!G673</f>
        <v>0</v>
      </c>
      <c r="J674" s="233"/>
    </row>
    <row r="675" spans="2:10">
      <c r="B675" s="224"/>
      <c r="C675" s="225">
        <f>Dat_02!B674</f>
        <v>45292</v>
      </c>
      <c r="D675" s="224"/>
      <c r="E675" s="226">
        <f>Dat_02!C674</f>
        <v>43.901266766148126</v>
      </c>
      <c r="F675" s="226">
        <f>Dat_02!D674</f>
        <v>117.73333309338341</v>
      </c>
      <c r="G675" s="226">
        <f>Dat_02!E674</f>
        <v>43.901266766148126</v>
      </c>
      <c r="I675" s="227">
        <f>Dat_02!G674</f>
        <v>0</v>
      </c>
      <c r="J675" s="233"/>
    </row>
    <row r="676" spans="2:10">
      <c r="B676" s="224"/>
      <c r="C676" s="225">
        <f>Dat_02!B675</f>
        <v>45293</v>
      </c>
      <c r="D676" s="224"/>
      <c r="E676" s="226">
        <f>Dat_02!C675</f>
        <v>53.306943536146257</v>
      </c>
      <c r="F676" s="226">
        <f>Dat_02!D675</f>
        <v>117.73333309338341</v>
      </c>
      <c r="G676" s="226">
        <f>Dat_02!E675</f>
        <v>53.306943536146257</v>
      </c>
      <c r="I676" s="227">
        <f>Dat_02!G675</f>
        <v>0</v>
      </c>
      <c r="J676" s="233"/>
    </row>
    <row r="677" spans="2:10">
      <c r="B677" s="224"/>
      <c r="C677" s="225">
        <f>Dat_02!B676</f>
        <v>45294</v>
      </c>
      <c r="D677" s="224"/>
      <c r="E677" s="226">
        <f>Dat_02!C676</f>
        <v>93.469764938338031</v>
      </c>
      <c r="F677" s="226">
        <f>Dat_02!D676</f>
        <v>117.73333309338341</v>
      </c>
      <c r="G677" s="226">
        <f>Dat_02!E676</f>
        <v>93.469764938338031</v>
      </c>
      <c r="I677" s="227">
        <f>Dat_02!G676</f>
        <v>0</v>
      </c>
      <c r="J677" s="233"/>
    </row>
    <row r="678" spans="2:10">
      <c r="B678" s="224"/>
      <c r="C678" s="225">
        <f>Dat_02!B677</f>
        <v>45295</v>
      </c>
      <c r="D678" s="224"/>
      <c r="E678" s="226">
        <f>Dat_02!C677</f>
        <v>139.41222447033803</v>
      </c>
      <c r="F678" s="226">
        <f>Dat_02!D677</f>
        <v>117.73333309338341</v>
      </c>
      <c r="G678" s="226">
        <f>Dat_02!E677</f>
        <v>117.73333309338341</v>
      </c>
      <c r="I678" s="227">
        <f>Dat_02!G677</f>
        <v>0</v>
      </c>
      <c r="J678" s="233"/>
    </row>
    <row r="679" spans="2:10">
      <c r="B679" s="224"/>
      <c r="C679" s="225">
        <f>Dat_02!B678</f>
        <v>45296</v>
      </c>
      <c r="D679" s="224"/>
      <c r="E679" s="226">
        <f>Dat_02!C678</f>
        <v>83.401819142339903</v>
      </c>
      <c r="F679" s="226">
        <f>Dat_02!D678</f>
        <v>117.73333309338341</v>
      </c>
      <c r="G679" s="226">
        <f>Dat_02!E678</f>
        <v>83.401819142339903</v>
      </c>
      <c r="I679" s="227">
        <f>Dat_02!G678</f>
        <v>0</v>
      </c>
      <c r="J679" s="233"/>
    </row>
    <row r="680" spans="2:10">
      <c r="B680" s="224"/>
      <c r="C680" s="225">
        <f>Dat_02!B679</f>
        <v>45297</v>
      </c>
      <c r="D680" s="224"/>
      <c r="E680" s="226">
        <f>Dat_02!C679</f>
        <v>78.439711654339888</v>
      </c>
      <c r="F680" s="226">
        <f>Dat_02!D679</f>
        <v>117.73333309338341</v>
      </c>
      <c r="G680" s="226">
        <f>Dat_02!E679</f>
        <v>78.439711654339888</v>
      </c>
      <c r="I680" s="227">
        <f>Dat_02!G679</f>
        <v>0</v>
      </c>
      <c r="J680" s="233"/>
    </row>
    <row r="681" spans="2:10">
      <c r="B681" s="224"/>
      <c r="C681" s="225">
        <f>Dat_02!B680</f>
        <v>45298</v>
      </c>
      <c r="D681" s="224"/>
      <c r="E681" s="226">
        <f>Dat_02!C680</f>
        <v>89.721362702336165</v>
      </c>
      <c r="F681" s="226">
        <f>Dat_02!D680</f>
        <v>117.73333309338341</v>
      </c>
      <c r="G681" s="226">
        <f>Dat_02!E680</f>
        <v>89.721362702336165</v>
      </c>
      <c r="I681" s="227">
        <f>Dat_02!G680</f>
        <v>0</v>
      </c>
      <c r="J681" s="233"/>
    </row>
    <row r="682" spans="2:10">
      <c r="B682" s="224"/>
      <c r="C682" s="225">
        <f>Dat_02!B681</f>
        <v>45299</v>
      </c>
      <c r="D682" s="224"/>
      <c r="E682" s="226">
        <f>Dat_02!C681</f>
        <v>145.76173832633989</v>
      </c>
      <c r="F682" s="226">
        <f>Dat_02!D681</f>
        <v>117.73333309338341</v>
      </c>
      <c r="G682" s="226">
        <f>Dat_02!E681</f>
        <v>117.73333309338341</v>
      </c>
      <c r="I682" s="227">
        <f>Dat_02!G681</f>
        <v>0</v>
      </c>
      <c r="J682" s="233"/>
    </row>
    <row r="683" spans="2:10">
      <c r="B683" s="224"/>
      <c r="C683" s="225">
        <f>Dat_02!B682</f>
        <v>45300</v>
      </c>
      <c r="D683" s="224"/>
      <c r="E683" s="226">
        <f>Dat_02!C682</f>
        <v>172.76645764133988</v>
      </c>
      <c r="F683" s="226">
        <f>Dat_02!D682</f>
        <v>117.73333309338341</v>
      </c>
      <c r="G683" s="226">
        <f>Dat_02!E682</f>
        <v>117.73333309338341</v>
      </c>
      <c r="I683" s="227">
        <f>Dat_02!G682</f>
        <v>0</v>
      </c>
      <c r="J683" s="233"/>
    </row>
    <row r="684" spans="2:10">
      <c r="B684" s="224"/>
      <c r="C684" s="225">
        <f>Dat_02!B683</f>
        <v>45301</v>
      </c>
      <c r="D684" s="224"/>
      <c r="E684" s="226">
        <f>Dat_02!C683</f>
        <v>126.44372541382533</v>
      </c>
      <c r="F684" s="226">
        <f>Dat_02!D683</f>
        <v>117.73333309338341</v>
      </c>
      <c r="G684" s="226">
        <f>Dat_02!E683</f>
        <v>117.73333309338341</v>
      </c>
      <c r="I684" s="227">
        <f>Dat_02!G683</f>
        <v>0</v>
      </c>
      <c r="J684" s="233"/>
    </row>
    <row r="685" spans="2:10">
      <c r="B685" s="224"/>
      <c r="C685" s="225">
        <f>Dat_02!B684</f>
        <v>45302</v>
      </c>
      <c r="D685" s="224"/>
      <c r="E685" s="226">
        <f>Dat_02!C684</f>
        <v>120.45651734982719</v>
      </c>
      <c r="F685" s="226">
        <f>Dat_02!D684</f>
        <v>117.73333309338341</v>
      </c>
      <c r="G685" s="226">
        <f>Dat_02!E684</f>
        <v>117.73333309338341</v>
      </c>
      <c r="I685" s="227">
        <f>Dat_02!G684</f>
        <v>0</v>
      </c>
      <c r="J685" s="233"/>
    </row>
    <row r="686" spans="2:10">
      <c r="B686" s="224"/>
      <c r="C686" s="225">
        <f>Dat_02!B685</f>
        <v>45303</v>
      </c>
      <c r="D686" s="224"/>
      <c r="E686" s="226">
        <f>Dat_02!C685</f>
        <v>88.626292729827199</v>
      </c>
      <c r="F686" s="226">
        <f>Dat_02!D685</f>
        <v>117.73333309338341</v>
      </c>
      <c r="G686" s="226">
        <f>Dat_02!E685</f>
        <v>88.626292729827199</v>
      </c>
      <c r="I686" s="227">
        <f>Dat_02!G685</f>
        <v>0</v>
      </c>
      <c r="J686" s="233"/>
    </row>
    <row r="687" spans="2:10">
      <c r="B687" s="224"/>
      <c r="C687" s="225">
        <f>Dat_02!B686</f>
        <v>45304</v>
      </c>
      <c r="D687" s="224"/>
      <c r="E687" s="226">
        <f>Dat_02!C686</f>
        <v>99.166459573825321</v>
      </c>
      <c r="F687" s="226">
        <f>Dat_02!D686</f>
        <v>117.73333309338341</v>
      </c>
      <c r="G687" s="226">
        <f>Dat_02!E686</f>
        <v>99.166459573825321</v>
      </c>
      <c r="I687" s="227">
        <f>Dat_02!G686</f>
        <v>0</v>
      </c>
      <c r="J687" s="233"/>
    </row>
    <row r="688" spans="2:10">
      <c r="B688" s="224"/>
      <c r="C688" s="225">
        <f>Dat_02!B687</f>
        <v>45305</v>
      </c>
      <c r="D688" s="224"/>
      <c r="E688" s="226">
        <f>Dat_02!C687</f>
        <v>71.0015864418272</v>
      </c>
      <c r="F688" s="226">
        <f>Dat_02!D687</f>
        <v>117.73333309338341</v>
      </c>
      <c r="G688" s="226">
        <f>Dat_02!E687</f>
        <v>71.0015864418272</v>
      </c>
      <c r="I688" s="227">
        <f>Dat_02!G687</f>
        <v>0</v>
      </c>
      <c r="J688" s="233"/>
    </row>
    <row r="689" spans="2:10">
      <c r="B689" s="224"/>
      <c r="C689" s="225">
        <f>Dat_02!B688</f>
        <v>45306</v>
      </c>
      <c r="D689" s="224"/>
      <c r="E689" s="226">
        <f>Dat_02!C688</f>
        <v>99.190810133825352</v>
      </c>
      <c r="F689" s="226">
        <f>Dat_02!D688</f>
        <v>117.73333309338341</v>
      </c>
      <c r="G689" s="226">
        <f>Dat_02!E688</f>
        <v>99.190810133825352</v>
      </c>
      <c r="I689" s="227">
        <f>Dat_02!G688</f>
        <v>117.73333309338341</v>
      </c>
      <c r="J689" s="233"/>
    </row>
    <row r="690" spans="2:10">
      <c r="B690" s="224"/>
      <c r="C690" s="225">
        <f>Dat_02!B689</f>
        <v>45307</v>
      </c>
      <c r="D690" s="224"/>
      <c r="E690" s="226">
        <f>Dat_02!C689</f>
        <v>73.976678177829058</v>
      </c>
      <c r="F690" s="226">
        <f>Dat_02!D689</f>
        <v>117.73333309338341</v>
      </c>
      <c r="G690" s="226">
        <f>Dat_02!E689</f>
        <v>73.976678177829058</v>
      </c>
      <c r="I690" s="227">
        <f>Dat_02!G689</f>
        <v>0</v>
      </c>
      <c r="J690" s="233"/>
    </row>
    <row r="691" spans="2:10">
      <c r="B691" s="224"/>
      <c r="C691" s="225">
        <f>Dat_02!B690</f>
        <v>45308</v>
      </c>
      <c r="D691" s="224"/>
      <c r="E691" s="226">
        <f>Dat_02!C690</f>
        <v>289.03740449339853</v>
      </c>
      <c r="F691" s="226">
        <f>Dat_02!D690</f>
        <v>117.73333309338341</v>
      </c>
      <c r="G691" s="226">
        <f>Dat_02!E690</f>
        <v>117.73333309338341</v>
      </c>
      <c r="I691" s="227">
        <f>Dat_02!G690</f>
        <v>0</v>
      </c>
      <c r="J691" s="233"/>
    </row>
    <row r="692" spans="2:10">
      <c r="B692" s="224"/>
      <c r="C692" s="225">
        <f>Dat_02!B691</f>
        <v>45309</v>
      </c>
      <c r="D692" s="224"/>
      <c r="E692" s="226">
        <f>Dat_02!C691</f>
        <v>304.28462594139847</v>
      </c>
      <c r="F692" s="226">
        <f>Dat_02!D691</f>
        <v>117.73333309338341</v>
      </c>
      <c r="G692" s="226">
        <f>Dat_02!E691</f>
        <v>117.73333309338341</v>
      </c>
      <c r="I692" s="227">
        <f>Dat_02!G691</f>
        <v>0</v>
      </c>
      <c r="J692" s="233"/>
    </row>
    <row r="693" spans="2:10">
      <c r="B693" s="224"/>
      <c r="C693" s="225">
        <f>Dat_02!B692</f>
        <v>45310</v>
      </c>
      <c r="D693" s="224"/>
      <c r="E693" s="226">
        <f>Dat_02!C692</f>
        <v>321.82172562540029</v>
      </c>
      <c r="F693" s="226">
        <f>Dat_02!D692</f>
        <v>117.73333309338341</v>
      </c>
      <c r="G693" s="226">
        <f>Dat_02!E692</f>
        <v>117.73333309338341</v>
      </c>
      <c r="I693" s="227">
        <f>Dat_02!G692</f>
        <v>0</v>
      </c>
      <c r="J693" s="233"/>
    </row>
    <row r="694" spans="2:10">
      <c r="B694" s="224"/>
      <c r="C694" s="225">
        <f>Dat_02!B693</f>
        <v>45311</v>
      </c>
      <c r="D694" s="224"/>
      <c r="E694" s="226">
        <f>Dat_02!C693</f>
        <v>322.73527708940031</v>
      </c>
      <c r="F694" s="226">
        <f>Dat_02!D693</f>
        <v>117.73333309338341</v>
      </c>
      <c r="G694" s="226">
        <f>Dat_02!E693</f>
        <v>117.73333309338341</v>
      </c>
      <c r="I694" s="227">
        <f>Dat_02!G693</f>
        <v>0</v>
      </c>
      <c r="J694" s="233"/>
    </row>
    <row r="695" spans="2:10">
      <c r="B695" s="224"/>
      <c r="C695" s="225">
        <f>Dat_02!B694</f>
        <v>45312</v>
      </c>
      <c r="D695" s="224"/>
      <c r="E695" s="226">
        <f>Dat_02!C694</f>
        <v>323.57986505340034</v>
      </c>
      <c r="F695" s="226">
        <f>Dat_02!D694</f>
        <v>117.73333309338341</v>
      </c>
      <c r="G695" s="226">
        <f>Dat_02!E694</f>
        <v>117.73333309338341</v>
      </c>
      <c r="I695" s="227">
        <f>Dat_02!G694</f>
        <v>0</v>
      </c>
      <c r="J695" s="233"/>
    </row>
    <row r="696" spans="2:10">
      <c r="B696" s="224"/>
      <c r="C696" s="225">
        <f>Dat_02!B695</f>
        <v>45313</v>
      </c>
      <c r="D696" s="224"/>
      <c r="E696" s="226">
        <f>Dat_02!C695</f>
        <v>327.74455240239848</v>
      </c>
      <c r="F696" s="226">
        <f>Dat_02!D695</f>
        <v>117.73333309338341</v>
      </c>
      <c r="G696" s="226">
        <f>Dat_02!E695</f>
        <v>117.73333309338341</v>
      </c>
      <c r="I696" s="227">
        <f>Dat_02!G695</f>
        <v>0</v>
      </c>
      <c r="J696" s="233"/>
    </row>
    <row r="697" spans="2:10">
      <c r="B697" s="224"/>
      <c r="C697" s="225">
        <f>Dat_02!B696</f>
        <v>45314</v>
      </c>
      <c r="D697" s="224"/>
      <c r="E697" s="226">
        <f>Dat_02!C696</f>
        <v>333.98492745240031</v>
      </c>
      <c r="F697" s="226">
        <f>Dat_02!D696</f>
        <v>117.73333309338341</v>
      </c>
      <c r="G697" s="226">
        <f>Dat_02!E696</f>
        <v>117.73333309338341</v>
      </c>
      <c r="I697" s="227">
        <f>Dat_02!G696</f>
        <v>0</v>
      </c>
      <c r="J697" s="233"/>
    </row>
    <row r="698" spans="2:10">
      <c r="B698" s="224"/>
      <c r="C698" s="225">
        <f>Dat_02!B697</f>
        <v>45315</v>
      </c>
      <c r="D698" s="224"/>
      <c r="E698" s="226">
        <f>Dat_02!C697</f>
        <v>172.19888286489703</v>
      </c>
      <c r="F698" s="226">
        <f>Dat_02!D697</f>
        <v>117.73333309338341</v>
      </c>
      <c r="G698" s="226">
        <f>Dat_02!E697</f>
        <v>117.73333309338341</v>
      </c>
      <c r="I698" s="227">
        <f>Dat_02!G697</f>
        <v>0</v>
      </c>
      <c r="J698" s="233"/>
    </row>
    <row r="699" spans="2:10">
      <c r="B699" s="224"/>
      <c r="C699" s="225">
        <f>Dat_02!B698</f>
        <v>45316</v>
      </c>
      <c r="D699" s="224"/>
      <c r="E699" s="226">
        <f>Dat_02!C698</f>
        <v>187.54536531289892</v>
      </c>
      <c r="F699" s="226">
        <f>Dat_02!D698</f>
        <v>117.73333309338341</v>
      </c>
      <c r="G699" s="226">
        <f>Dat_02!E698</f>
        <v>117.73333309338341</v>
      </c>
      <c r="I699" s="227">
        <f>Dat_02!G698</f>
        <v>0</v>
      </c>
      <c r="J699" s="233"/>
    </row>
    <row r="700" spans="2:10">
      <c r="B700" s="224"/>
      <c r="C700" s="225">
        <f>Dat_02!B699</f>
        <v>45317</v>
      </c>
      <c r="D700" s="224"/>
      <c r="E700" s="226">
        <f>Dat_02!C699</f>
        <v>197.0770346288933</v>
      </c>
      <c r="F700" s="226">
        <f>Dat_02!D699</f>
        <v>117.73333309338341</v>
      </c>
      <c r="G700" s="226">
        <f>Dat_02!E699</f>
        <v>117.73333309338341</v>
      </c>
      <c r="I700" s="227">
        <f>Dat_02!G699</f>
        <v>0</v>
      </c>
      <c r="J700" s="233"/>
    </row>
    <row r="701" spans="2:10">
      <c r="B701" s="224"/>
      <c r="C701" s="225">
        <f>Dat_02!B700</f>
        <v>45318</v>
      </c>
      <c r="D701" s="224"/>
      <c r="E701" s="226">
        <f>Dat_02!C700</f>
        <v>154.8458385608989</v>
      </c>
      <c r="F701" s="226">
        <f>Dat_02!D700</f>
        <v>117.73333309338341</v>
      </c>
      <c r="G701" s="226">
        <f>Dat_02!E700</f>
        <v>117.73333309338341</v>
      </c>
      <c r="I701" s="227">
        <f>Dat_02!G700</f>
        <v>0</v>
      </c>
      <c r="J701" s="233"/>
    </row>
    <row r="702" spans="2:10">
      <c r="B702" s="224"/>
      <c r="C702" s="225">
        <f>Dat_02!B701</f>
        <v>45319</v>
      </c>
      <c r="D702" s="224"/>
      <c r="E702" s="226">
        <f>Dat_02!C701</f>
        <v>141.9576037128989</v>
      </c>
      <c r="F702" s="226">
        <f>Dat_02!D701</f>
        <v>117.73333309338341</v>
      </c>
      <c r="G702" s="226">
        <f>Dat_02!E701</f>
        <v>117.73333309338341</v>
      </c>
      <c r="I702" s="227">
        <f>Dat_02!G701</f>
        <v>0</v>
      </c>
      <c r="J702" s="233"/>
    </row>
    <row r="703" spans="2:10">
      <c r="B703" s="224"/>
      <c r="C703" s="225">
        <f>Dat_02!B702</f>
        <v>45320</v>
      </c>
      <c r="D703" s="224"/>
      <c r="E703" s="226">
        <f>Dat_02!C702</f>
        <v>166.36853350889703</v>
      </c>
      <c r="F703" s="226">
        <f>Dat_02!D702</f>
        <v>117.73333309338341</v>
      </c>
      <c r="G703" s="226">
        <f>Dat_02!E702</f>
        <v>117.73333309338341</v>
      </c>
      <c r="I703" s="227">
        <f>Dat_02!G702</f>
        <v>0</v>
      </c>
      <c r="J703" s="233"/>
    </row>
    <row r="704" spans="2:10">
      <c r="B704" s="224"/>
      <c r="C704" s="225">
        <f>Dat_02!B703</f>
        <v>45321</v>
      </c>
      <c r="D704" s="224"/>
      <c r="E704" s="226">
        <f>Dat_02!C703</f>
        <v>191.63985096889516</v>
      </c>
      <c r="F704" s="226">
        <f>Dat_02!D703</f>
        <v>117.73333309338341</v>
      </c>
      <c r="G704" s="226">
        <f>Dat_02!E703</f>
        <v>117.73333309338341</v>
      </c>
      <c r="I704" s="227">
        <f>Dat_02!G703</f>
        <v>0</v>
      </c>
      <c r="J704" s="233"/>
    </row>
    <row r="705" spans="2:10">
      <c r="B705" s="224"/>
      <c r="C705" s="225">
        <f>Dat_02!B704</f>
        <v>45322</v>
      </c>
      <c r="D705" s="224"/>
      <c r="E705" s="226">
        <f>Dat_02!C704</f>
        <v>124.33498129313774</v>
      </c>
      <c r="F705" s="226">
        <f>Dat_02!D704</f>
        <v>117.73333309338341</v>
      </c>
      <c r="G705" s="226">
        <f>Dat_02!E704</f>
        <v>117.73333309338341</v>
      </c>
      <c r="I705" s="227">
        <f>Dat_02!G704</f>
        <v>0</v>
      </c>
      <c r="J705" s="233"/>
    </row>
    <row r="706" spans="2:10">
      <c r="B706" s="224"/>
      <c r="C706" s="225">
        <f>Dat_02!B705</f>
        <v>45323</v>
      </c>
      <c r="D706" s="224"/>
      <c r="E706" s="226">
        <f>Dat_02!C705</f>
        <v>113.63725392513585</v>
      </c>
      <c r="F706" s="226">
        <f>Dat_02!D705</f>
        <v>123.24675909882176</v>
      </c>
      <c r="G706" s="226">
        <f>Dat_02!E705</f>
        <v>113.63725392513585</v>
      </c>
      <c r="I706" s="227">
        <f>Dat_02!G705</f>
        <v>0</v>
      </c>
      <c r="J706" s="233"/>
    </row>
    <row r="707" spans="2:10">
      <c r="B707" s="224"/>
      <c r="C707" s="225">
        <f>Dat_02!B706</f>
        <v>45324</v>
      </c>
      <c r="D707" s="224"/>
      <c r="E707" s="226">
        <f>Dat_02!C706</f>
        <v>86.201154877137725</v>
      </c>
      <c r="F707" s="226">
        <f>Dat_02!D706</f>
        <v>123.24675909882176</v>
      </c>
      <c r="G707" s="226">
        <f>Dat_02!E706</f>
        <v>86.201154877137725</v>
      </c>
      <c r="I707" s="227">
        <f>Dat_02!G706</f>
        <v>0</v>
      </c>
      <c r="J707" s="233"/>
    </row>
    <row r="708" spans="2:10">
      <c r="B708" s="224"/>
      <c r="C708" s="225">
        <f>Dat_02!B707</f>
        <v>45325</v>
      </c>
      <c r="D708" s="224"/>
      <c r="E708" s="226">
        <f>Dat_02!C707</f>
        <v>68.517948005135864</v>
      </c>
      <c r="F708" s="226">
        <f>Dat_02!D707</f>
        <v>123.24675909882176</v>
      </c>
      <c r="G708" s="226">
        <f>Dat_02!E707</f>
        <v>68.517948005135864</v>
      </c>
      <c r="I708" s="227">
        <f>Dat_02!G707</f>
        <v>0</v>
      </c>
      <c r="J708" s="233"/>
    </row>
    <row r="709" spans="2:10">
      <c r="B709" s="224"/>
      <c r="C709" s="225">
        <f>Dat_02!B708</f>
        <v>45326</v>
      </c>
      <c r="D709" s="224"/>
      <c r="E709" s="226">
        <f>Dat_02!C708</f>
        <v>54.32054651313959</v>
      </c>
      <c r="F709" s="226">
        <f>Dat_02!D708</f>
        <v>123.24675909882176</v>
      </c>
      <c r="G709" s="226">
        <f>Dat_02!E708</f>
        <v>54.32054651313959</v>
      </c>
      <c r="I709" s="227">
        <f>Dat_02!G708</f>
        <v>0</v>
      </c>
      <c r="J709" s="233"/>
    </row>
    <row r="710" spans="2:10">
      <c r="B710" s="224"/>
      <c r="C710" s="225">
        <f>Dat_02!B709</f>
        <v>45327</v>
      </c>
      <c r="D710" s="224"/>
      <c r="E710" s="226">
        <f>Dat_02!C709</f>
        <v>105.79176961713773</v>
      </c>
      <c r="F710" s="226">
        <f>Dat_02!D709</f>
        <v>123.24675909882176</v>
      </c>
      <c r="G710" s="226">
        <f>Dat_02!E709</f>
        <v>105.79176961713773</v>
      </c>
      <c r="I710" s="227">
        <f>Dat_02!G709</f>
        <v>0</v>
      </c>
      <c r="J710" s="233"/>
    </row>
    <row r="711" spans="2:10">
      <c r="B711" s="224"/>
      <c r="C711" s="225">
        <f>Dat_02!B710</f>
        <v>45328</v>
      </c>
      <c r="D711" s="224"/>
      <c r="E711" s="226">
        <f>Dat_02!C710</f>
        <v>101.08770687713587</v>
      </c>
      <c r="F711" s="226">
        <f>Dat_02!D710</f>
        <v>123.24675909882176</v>
      </c>
      <c r="G711" s="226">
        <f>Dat_02!E710</f>
        <v>101.08770687713587</v>
      </c>
      <c r="I711" s="227">
        <f>Dat_02!G710</f>
        <v>0</v>
      </c>
      <c r="J711" s="233"/>
    </row>
    <row r="712" spans="2:10">
      <c r="B712" s="224"/>
      <c r="C712" s="225">
        <f>Dat_02!B711</f>
        <v>45329</v>
      </c>
      <c r="D712" s="224"/>
      <c r="E712" s="226">
        <f>Dat_02!C711</f>
        <v>122.22068068134585</v>
      </c>
      <c r="F712" s="226">
        <f>Dat_02!D711</f>
        <v>123.24675909882176</v>
      </c>
      <c r="G712" s="226">
        <f>Dat_02!E711</f>
        <v>122.22068068134585</v>
      </c>
      <c r="I712" s="227">
        <f>Dat_02!G711</f>
        <v>0</v>
      </c>
      <c r="J712" s="233"/>
    </row>
    <row r="713" spans="2:10">
      <c r="B713" s="224"/>
      <c r="C713" s="225">
        <f>Dat_02!B712</f>
        <v>45330</v>
      </c>
      <c r="D713" s="224"/>
      <c r="E713" s="226">
        <f>Dat_02!C712</f>
        <v>119.06189043334957</v>
      </c>
      <c r="F713" s="226">
        <f>Dat_02!D712</f>
        <v>123.24675909882176</v>
      </c>
      <c r="G713" s="226">
        <f>Dat_02!E712</f>
        <v>119.06189043334957</v>
      </c>
      <c r="I713" s="227">
        <f>Dat_02!G712</f>
        <v>0</v>
      </c>
      <c r="J713" s="233"/>
    </row>
    <row r="714" spans="2:10">
      <c r="B714" s="224"/>
      <c r="C714" s="225">
        <f>Dat_02!B713</f>
        <v>45331</v>
      </c>
      <c r="D714" s="224"/>
      <c r="E714" s="226">
        <f>Dat_02!C713</f>
        <v>120.35209517734398</v>
      </c>
      <c r="F714" s="226">
        <f>Dat_02!D713</f>
        <v>123.24675909882176</v>
      </c>
      <c r="G714" s="226">
        <f>Dat_02!E713</f>
        <v>120.35209517734398</v>
      </c>
      <c r="I714" s="227">
        <f>Dat_02!G713</f>
        <v>0</v>
      </c>
      <c r="J714" s="233"/>
    </row>
    <row r="715" spans="2:10">
      <c r="B715" s="224"/>
      <c r="C715" s="225">
        <f>Dat_02!B714</f>
        <v>45332</v>
      </c>
      <c r="D715" s="224"/>
      <c r="E715" s="226">
        <f>Dat_02!C714</f>
        <v>79.280241521347719</v>
      </c>
      <c r="F715" s="226">
        <f>Dat_02!D714</f>
        <v>123.24675909882176</v>
      </c>
      <c r="G715" s="226">
        <f>Dat_02!E714</f>
        <v>79.280241521347719</v>
      </c>
      <c r="I715" s="227">
        <f>Dat_02!G714</f>
        <v>0</v>
      </c>
      <c r="J715" s="233"/>
    </row>
    <row r="716" spans="2:10">
      <c r="B716" s="224"/>
      <c r="C716" s="225">
        <f>Dat_02!B715</f>
        <v>45333</v>
      </c>
      <c r="D716" s="224"/>
      <c r="E716" s="226">
        <f>Dat_02!C715</f>
        <v>89.377392257349584</v>
      </c>
      <c r="F716" s="226">
        <f>Dat_02!D715</f>
        <v>123.24675909882176</v>
      </c>
      <c r="G716" s="226">
        <f>Dat_02!E715</f>
        <v>89.377392257349584</v>
      </c>
      <c r="I716" s="227">
        <f>Dat_02!G715</f>
        <v>0</v>
      </c>
      <c r="J716" s="233"/>
    </row>
    <row r="717" spans="2:10">
      <c r="B717" s="224"/>
      <c r="C717" s="225">
        <f>Dat_02!B716</f>
        <v>45334</v>
      </c>
      <c r="D717" s="224"/>
      <c r="E717" s="226">
        <f>Dat_02!C716</f>
        <v>101.40798592534586</v>
      </c>
      <c r="F717" s="226">
        <f>Dat_02!D716</f>
        <v>123.24675909882176</v>
      </c>
      <c r="G717" s="226">
        <f>Dat_02!E716</f>
        <v>101.40798592534586</v>
      </c>
      <c r="I717" s="227">
        <f>Dat_02!G716</f>
        <v>0</v>
      </c>
      <c r="J717" s="233"/>
    </row>
    <row r="718" spans="2:10">
      <c r="B718" s="224"/>
      <c r="C718" s="225">
        <f>Dat_02!B717</f>
        <v>45335</v>
      </c>
      <c r="D718" s="224"/>
      <c r="E718" s="226">
        <f>Dat_02!C717</f>
        <v>153.53880028534772</v>
      </c>
      <c r="F718" s="226">
        <f>Dat_02!D717</f>
        <v>123.24675909882176</v>
      </c>
      <c r="G718" s="226">
        <f>Dat_02!E717</f>
        <v>123.24675909882176</v>
      </c>
      <c r="I718" s="227">
        <f>Dat_02!G717</f>
        <v>0</v>
      </c>
      <c r="J718" s="233"/>
    </row>
    <row r="719" spans="2:10">
      <c r="B719" s="224"/>
      <c r="C719" s="225">
        <f>Dat_02!B718</f>
        <v>45336</v>
      </c>
      <c r="D719" s="224"/>
      <c r="E719" s="226">
        <f>Dat_02!C718</f>
        <v>154.06305492467584</v>
      </c>
      <c r="F719" s="226">
        <f>Dat_02!D718</f>
        <v>123.24675909882176</v>
      </c>
      <c r="G719" s="226">
        <f>Dat_02!E718</f>
        <v>123.24675909882176</v>
      </c>
      <c r="I719" s="227">
        <f>Dat_02!G718</f>
        <v>0</v>
      </c>
      <c r="J719" s="233"/>
    </row>
    <row r="720" spans="2:10">
      <c r="B720" s="224"/>
      <c r="C720" s="225">
        <f>Dat_02!B719</f>
        <v>45337</v>
      </c>
      <c r="D720" s="224"/>
      <c r="E720" s="226">
        <f>Dat_02!C719</f>
        <v>143.8772107326777</v>
      </c>
      <c r="F720" s="226">
        <f>Dat_02!D719</f>
        <v>123.24675909882176</v>
      </c>
      <c r="G720" s="226">
        <f>Dat_02!E719</f>
        <v>123.24675909882176</v>
      </c>
      <c r="I720" s="227">
        <f>Dat_02!G719</f>
        <v>123.24675909882176</v>
      </c>
      <c r="J720" s="233"/>
    </row>
    <row r="721" spans="2:10">
      <c r="B721" s="224"/>
      <c r="C721" s="225">
        <f>Dat_02!B720</f>
        <v>45338</v>
      </c>
      <c r="D721" s="224"/>
      <c r="E721" s="226">
        <f>Dat_02!C720</f>
        <v>131.99856114867583</v>
      </c>
      <c r="F721" s="226">
        <f>Dat_02!D720</f>
        <v>123.24675909882176</v>
      </c>
      <c r="G721" s="226">
        <f>Dat_02!E720</f>
        <v>123.24675909882176</v>
      </c>
      <c r="I721" s="227">
        <f>Dat_02!G720</f>
        <v>0</v>
      </c>
      <c r="J721" s="233"/>
    </row>
    <row r="722" spans="2:10">
      <c r="B722" s="224"/>
      <c r="C722" s="225">
        <f>Dat_02!B721</f>
        <v>45339</v>
      </c>
      <c r="D722" s="224"/>
      <c r="E722" s="226">
        <f>Dat_02!C721</f>
        <v>117.48944197267397</v>
      </c>
      <c r="F722" s="226">
        <f>Dat_02!D721</f>
        <v>123.24675909882176</v>
      </c>
      <c r="G722" s="226">
        <f>Dat_02!E721</f>
        <v>117.48944197267397</v>
      </c>
      <c r="I722" s="227">
        <f>Dat_02!G721</f>
        <v>0</v>
      </c>
      <c r="J722" s="233"/>
    </row>
    <row r="723" spans="2:10">
      <c r="B723" s="224"/>
      <c r="C723" s="225">
        <f>Dat_02!B722</f>
        <v>45340</v>
      </c>
      <c r="D723" s="224"/>
      <c r="E723" s="226">
        <f>Dat_02!C722</f>
        <v>109.62150693667769</v>
      </c>
      <c r="F723" s="226">
        <f>Dat_02!D722</f>
        <v>123.24675909882176</v>
      </c>
      <c r="G723" s="226">
        <f>Dat_02!E722</f>
        <v>109.62150693667769</v>
      </c>
      <c r="I723" s="227">
        <f>Dat_02!G722</f>
        <v>0</v>
      </c>
      <c r="J723" s="233"/>
    </row>
    <row r="724" spans="2:10">
      <c r="B724" s="224"/>
      <c r="C724" s="225">
        <f>Dat_02!B723</f>
        <v>45341</v>
      </c>
      <c r="D724" s="224"/>
      <c r="E724" s="226">
        <f>Dat_02!C723</f>
        <v>102.85124453667584</v>
      </c>
      <c r="F724" s="226">
        <f>Dat_02!D723</f>
        <v>123.24675909882176</v>
      </c>
      <c r="G724" s="226">
        <f>Dat_02!E723</f>
        <v>102.85124453667584</v>
      </c>
      <c r="I724" s="227">
        <f>Dat_02!G723</f>
        <v>0</v>
      </c>
      <c r="J724" s="233"/>
    </row>
    <row r="725" spans="2:10">
      <c r="B725" s="224"/>
      <c r="C725" s="225">
        <f>Dat_02!B724</f>
        <v>45342</v>
      </c>
      <c r="D725" s="224"/>
      <c r="E725" s="226">
        <f>Dat_02!C724</f>
        <v>140.4131380446758</v>
      </c>
      <c r="F725" s="226">
        <f>Dat_02!D724</f>
        <v>123.24675909882176</v>
      </c>
      <c r="G725" s="226">
        <f>Dat_02!E724</f>
        <v>123.24675909882176</v>
      </c>
      <c r="I725" s="227">
        <f>Dat_02!G724</f>
        <v>0</v>
      </c>
      <c r="J725" s="233"/>
    </row>
    <row r="726" spans="2:10">
      <c r="B726" s="224"/>
      <c r="C726" s="225">
        <f>Dat_02!B725</f>
        <v>45343</v>
      </c>
      <c r="D726" s="224"/>
      <c r="E726" s="226">
        <f>Dat_02!C725</f>
        <v>178.84460396162029</v>
      </c>
      <c r="F726" s="226">
        <f>Dat_02!D725</f>
        <v>123.24675909882176</v>
      </c>
      <c r="G726" s="226">
        <f>Dat_02!E725</f>
        <v>123.24675909882176</v>
      </c>
      <c r="I726" s="227">
        <f>Dat_02!G725</f>
        <v>0</v>
      </c>
      <c r="J726" s="233"/>
    </row>
    <row r="727" spans="2:10">
      <c r="B727" s="224"/>
      <c r="C727" s="225">
        <f>Dat_02!B726</f>
        <v>45344</v>
      </c>
      <c r="D727" s="224"/>
      <c r="E727" s="226">
        <f>Dat_02!C726</f>
        <v>123.09941888562219</v>
      </c>
      <c r="F727" s="226">
        <f>Dat_02!D726</f>
        <v>123.24675909882176</v>
      </c>
      <c r="G727" s="226">
        <f>Dat_02!E726</f>
        <v>123.09941888562219</v>
      </c>
      <c r="I727" s="227">
        <f>Dat_02!G726</f>
        <v>0</v>
      </c>
      <c r="J727" s="233"/>
    </row>
    <row r="728" spans="2:10">
      <c r="B728" s="224"/>
      <c r="C728" s="225">
        <f>Dat_02!B727</f>
        <v>45345</v>
      </c>
      <c r="D728" s="224"/>
      <c r="E728" s="226">
        <f>Dat_02!C727</f>
        <v>108.94874475362033</v>
      </c>
      <c r="F728" s="226">
        <f>Dat_02!D727</f>
        <v>123.24675909882176</v>
      </c>
      <c r="G728" s="226">
        <f>Dat_02!E727</f>
        <v>108.94874475362033</v>
      </c>
      <c r="I728" s="227">
        <f>Dat_02!G727</f>
        <v>0</v>
      </c>
      <c r="J728" s="233"/>
    </row>
    <row r="729" spans="2:10">
      <c r="B729" s="224"/>
      <c r="C729" s="225">
        <f>Dat_02!B728</f>
        <v>45346</v>
      </c>
      <c r="D729" s="224"/>
      <c r="E729" s="226">
        <f>Dat_02!C728</f>
        <v>102.35199537762031</v>
      </c>
      <c r="F729" s="226">
        <f>Dat_02!D728</f>
        <v>123.24675909882176</v>
      </c>
      <c r="G729" s="226">
        <f>Dat_02!E728</f>
        <v>102.35199537762031</v>
      </c>
      <c r="I729" s="227">
        <f>Dat_02!G728</f>
        <v>0</v>
      </c>
      <c r="J729" s="233"/>
    </row>
    <row r="730" spans="2:10">
      <c r="B730" s="224"/>
      <c r="C730" s="225">
        <f>Dat_02!B729</f>
        <v>45347</v>
      </c>
      <c r="D730" s="224"/>
      <c r="E730" s="226">
        <f>Dat_02!C729</f>
        <v>101.27404481762032</v>
      </c>
      <c r="F730" s="226">
        <f>Dat_02!D729</f>
        <v>123.24675909882176</v>
      </c>
      <c r="G730" s="226">
        <f>Dat_02!E729</f>
        <v>101.27404481762032</v>
      </c>
      <c r="I730" s="227">
        <f>Dat_02!G729</f>
        <v>0</v>
      </c>
      <c r="J730" s="233"/>
    </row>
    <row r="731" spans="2:10">
      <c r="B731" s="224"/>
      <c r="C731" s="225">
        <f>Dat_02!B730</f>
        <v>45348</v>
      </c>
      <c r="D731" s="224"/>
      <c r="E731" s="226">
        <f>Dat_02!C730</f>
        <v>132.19599849762403</v>
      </c>
      <c r="F731" s="226">
        <f>Dat_02!D730</f>
        <v>123.24675909882176</v>
      </c>
      <c r="G731" s="226">
        <f>Dat_02!E730</f>
        <v>123.24675909882176</v>
      </c>
      <c r="I731" s="227">
        <f>Dat_02!G730</f>
        <v>0</v>
      </c>
      <c r="J731" s="233"/>
    </row>
    <row r="732" spans="2:10">
      <c r="B732" s="224"/>
      <c r="C732" s="225">
        <f>Dat_02!B731</f>
        <v>45349</v>
      </c>
      <c r="D732" s="224"/>
      <c r="E732" s="226">
        <f>Dat_02!C731</f>
        <v>143.35656574162033</v>
      </c>
      <c r="F732" s="226">
        <f>Dat_02!D731</f>
        <v>123.24675909882176</v>
      </c>
      <c r="G732" s="226">
        <f>Dat_02!E731</f>
        <v>123.24675909882176</v>
      </c>
      <c r="I732" s="227">
        <f>Dat_02!G731</f>
        <v>0</v>
      </c>
      <c r="J732" s="233"/>
    </row>
    <row r="733" spans="2:10">
      <c r="B733" s="224"/>
      <c r="C733" s="225">
        <f>Dat_02!B732</f>
        <v>45350</v>
      </c>
      <c r="D733" s="224"/>
      <c r="E733" s="226">
        <f>Dat_02!C732</f>
        <v>202.50733048474109</v>
      </c>
      <c r="F733" s="226">
        <f>Dat_02!D732</f>
        <v>123.24675909882176</v>
      </c>
      <c r="G733" s="226">
        <f>Dat_02!E732</f>
        <v>123.24675909882176</v>
      </c>
      <c r="I733" s="227">
        <f>Dat_02!G732</f>
        <v>0</v>
      </c>
      <c r="J733" s="233"/>
    </row>
    <row r="734" spans="2:10">
      <c r="B734" s="224"/>
      <c r="C734" s="225">
        <f>Dat_02!B733</f>
        <v>45351</v>
      </c>
      <c r="D734" s="224"/>
      <c r="E734" s="226">
        <f>Dat_02!C733</f>
        <v>206.91297946474481</v>
      </c>
      <c r="F734" s="226">
        <f>Dat_02!D733</f>
        <v>123.24675909882176</v>
      </c>
      <c r="G734" s="226">
        <f>Dat_02!E733</f>
        <v>123.24675909882176</v>
      </c>
      <c r="I734" s="227">
        <f>Dat_02!G733</f>
        <v>0</v>
      </c>
      <c r="J734" s="233"/>
    </row>
    <row r="735" spans="2:10">
      <c r="B735" s="224"/>
      <c r="C735" s="225">
        <f>Dat_02!B734</f>
        <v>45352</v>
      </c>
      <c r="D735" s="224"/>
      <c r="E735" s="226">
        <f>Dat_02!C734</f>
        <v>208.5153227607392</v>
      </c>
      <c r="F735" s="226">
        <f>Dat_02!D734</f>
        <v>124.20934941128793</v>
      </c>
      <c r="G735" s="226">
        <f>Dat_02!E734</f>
        <v>124.20934941128793</v>
      </c>
      <c r="I735" s="227">
        <f>Dat_02!G734</f>
        <v>0</v>
      </c>
      <c r="J735" s="233"/>
    </row>
    <row r="736" spans="2:10">
      <c r="B736" s="224"/>
      <c r="C736" s="225">
        <f>Dat_02!B735</f>
        <v>45353</v>
      </c>
      <c r="D736" s="224"/>
      <c r="E736" s="226">
        <f>Dat_02!C735</f>
        <v>208.50941681274296</v>
      </c>
      <c r="F736" s="226">
        <f>Dat_02!D735</f>
        <v>124.20934941128793</v>
      </c>
      <c r="G736" s="226">
        <f>Dat_02!E735</f>
        <v>124.20934941128793</v>
      </c>
      <c r="I736" s="227">
        <f>Dat_02!G735</f>
        <v>0</v>
      </c>
      <c r="J736" s="233"/>
    </row>
    <row r="737" spans="2:10">
      <c r="B737" s="224"/>
      <c r="C737" s="225">
        <f>Dat_02!B736</f>
        <v>45354</v>
      </c>
      <c r="D737" s="224"/>
      <c r="E737" s="226">
        <f>Dat_02!C736</f>
        <v>194.89624524074105</v>
      </c>
      <c r="F737" s="226">
        <f>Dat_02!D736</f>
        <v>124.20934941128793</v>
      </c>
      <c r="G737" s="226">
        <f>Dat_02!E736</f>
        <v>124.20934941128793</v>
      </c>
      <c r="I737" s="227">
        <f>Dat_02!G736</f>
        <v>0</v>
      </c>
      <c r="J737" s="233"/>
    </row>
    <row r="738" spans="2:10">
      <c r="B738" s="224"/>
      <c r="C738" s="225">
        <f>Dat_02!B737</f>
        <v>45355</v>
      </c>
      <c r="D738" s="224"/>
      <c r="E738" s="226">
        <f>Dat_02!C737</f>
        <v>210.18869139274292</v>
      </c>
      <c r="F738" s="226">
        <f>Dat_02!D737</f>
        <v>124.20934941128793</v>
      </c>
      <c r="G738" s="226">
        <f>Dat_02!E737</f>
        <v>124.20934941128793</v>
      </c>
      <c r="I738" s="227">
        <f>Dat_02!G737</f>
        <v>0</v>
      </c>
      <c r="J738" s="233"/>
    </row>
    <row r="739" spans="2:10">
      <c r="B739" s="224"/>
      <c r="C739" s="225">
        <f>Dat_02!B738</f>
        <v>45356</v>
      </c>
      <c r="D739" s="224"/>
      <c r="E739" s="226">
        <f>Dat_02!C738</f>
        <v>234.72106074874105</v>
      </c>
      <c r="F739" s="226">
        <f>Dat_02!D738</f>
        <v>124.20934941128793</v>
      </c>
      <c r="G739" s="226">
        <f>Dat_02!E738</f>
        <v>124.20934941128793</v>
      </c>
      <c r="I739" s="227">
        <f>Dat_02!G738</f>
        <v>0</v>
      </c>
      <c r="J739" s="233"/>
    </row>
    <row r="740" spans="2:10">
      <c r="B740" s="224"/>
      <c r="C740" s="225">
        <f>Dat_02!B739</f>
        <v>45357</v>
      </c>
      <c r="D740" s="224"/>
      <c r="E740" s="226">
        <f>Dat_02!C739</f>
        <v>231.1980186648228</v>
      </c>
      <c r="F740" s="226">
        <f>Dat_02!D739</f>
        <v>124.20934941128793</v>
      </c>
      <c r="G740" s="226">
        <f>Dat_02!E739</f>
        <v>124.20934941128793</v>
      </c>
      <c r="I740" s="227">
        <f>Dat_02!G739</f>
        <v>0</v>
      </c>
      <c r="J740" s="233"/>
    </row>
    <row r="741" spans="2:10">
      <c r="B741" s="224"/>
      <c r="C741" s="225">
        <f>Dat_02!B740</f>
        <v>45358</v>
      </c>
      <c r="D741" s="224"/>
      <c r="E741" s="226">
        <f>Dat_02!C740</f>
        <v>212.32132484482278</v>
      </c>
      <c r="F741" s="226">
        <f>Dat_02!D740</f>
        <v>124.20934941128793</v>
      </c>
      <c r="G741" s="226">
        <f>Dat_02!E740</f>
        <v>124.20934941128793</v>
      </c>
      <c r="I741" s="227">
        <f>Dat_02!G740</f>
        <v>0</v>
      </c>
      <c r="J741" s="233"/>
    </row>
    <row r="742" spans="2:10">
      <c r="B742" s="224"/>
      <c r="C742" s="225">
        <f>Dat_02!B741</f>
        <v>45359</v>
      </c>
      <c r="D742" s="224"/>
      <c r="E742" s="226">
        <f>Dat_02!C741</f>
        <v>218.19600545282464</v>
      </c>
      <c r="F742" s="226">
        <f>Dat_02!D741</f>
        <v>124.20934941128793</v>
      </c>
      <c r="G742" s="226">
        <f>Dat_02!E741</f>
        <v>124.20934941128793</v>
      </c>
      <c r="I742" s="227">
        <f>Dat_02!G741</f>
        <v>0</v>
      </c>
      <c r="J742" s="233"/>
    </row>
    <row r="743" spans="2:10">
      <c r="B743" s="224"/>
      <c r="C743" s="225">
        <f>Dat_02!B742</f>
        <v>45360</v>
      </c>
      <c r="D743" s="224"/>
      <c r="E743" s="226">
        <f>Dat_02!C742</f>
        <v>215.00641125682279</v>
      </c>
      <c r="F743" s="226">
        <f>Dat_02!D742</f>
        <v>124.20934941128793</v>
      </c>
      <c r="G743" s="226">
        <f>Dat_02!E742</f>
        <v>124.20934941128793</v>
      </c>
      <c r="I743" s="227">
        <f>Dat_02!G742</f>
        <v>0</v>
      </c>
      <c r="J743" s="233"/>
    </row>
    <row r="744" spans="2:10">
      <c r="B744" s="224"/>
      <c r="C744" s="225">
        <f>Dat_02!B743</f>
        <v>45361</v>
      </c>
      <c r="D744" s="224"/>
      <c r="E744" s="226">
        <f>Dat_02!C743</f>
        <v>198.48193970882093</v>
      </c>
      <c r="F744" s="226">
        <f>Dat_02!D743</f>
        <v>124.20934941128793</v>
      </c>
      <c r="G744" s="226">
        <f>Dat_02!E743</f>
        <v>124.20934941128793</v>
      </c>
      <c r="I744" s="227">
        <f>Dat_02!G743</f>
        <v>0</v>
      </c>
      <c r="J744" s="233"/>
    </row>
    <row r="745" spans="2:10">
      <c r="B745" s="224"/>
      <c r="C745" s="225">
        <f>Dat_02!B744</f>
        <v>45362</v>
      </c>
      <c r="D745" s="224"/>
      <c r="E745" s="226">
        <f>Dat_02!C744</f>
        <v>217.64867564882465</v>
      </c>
      <c r="F745" s="226">
        <f>Dat_02!D744</f>
        <v>124.20934941128793</v>
      </c>
      <c r="G745" s="226">
        <f>Dat_02!E744</f>
        <v>124.20934941128793</v>
      </c>
      <c r="I745" s="227">
        <f>Dat_02!G744</f>
        <v>0</v>
      </c>
      <c r="J745" s="233"/>
    </row>
    <row r="746" spans="2:10">
      <c r="B746" s="224"/>
      <c r="C746" s="225">
        <f>Dat_02!B745</f>
        <v>45363</v>
      </c>
      <c r="D746" s="224"/>
      <c r="E746" s="226">
        <f>Dat_02!C745</f>
        <v>231.11323628482464</v>
      </c>
      <c r="F746" s="226">
        <f>Dat_02!D745</f>
        <v>124.20934941128793</v>
      </c>
      <c r="G746" s="226">
        <f>Dat_02!E745</f>
        <v>124.20934941128793</v>
      </c>
      <c r="I746" s="227">
        <f>Dat_02!G745</f>
        <v>0</v>
      </c>
      <c r="J746" s="233"/>
    </row>
    <row r="747" spans="2:10">
      <c r="B747" s="224"/>
      <c r="C747" s="225">
        <f>Dat_02!B746</f>
        <v>45364</v>
      </c>
      <c r="D747" s="224"/>
      <c r="E747" s="226">
        <f>Dat_02!C746</f>
        <v>208.45652243101571</v>
      </c>
      <c r="F747" s="226">
        <f>Dat_02!D746</f>
        <v>124.20934941128793</v>
      </c>
      <c r="G747" s="226">
        <f>Dat_02!E746</f>
        <v>124.20934941128793</v>
      </c>
      <c r="I747" s="227">
        <f>Dat_02!G746</f>
        <v>0</v>
      </c>
      <c r="J747" s="233"/>
    </row>
    <row r="748" spans="2:10">
      <c r="B748" s="224"/>
      <c r="C748" s="225">
        <f>Dat_02!B747</f>
        <v>45365</v>
      </c>
      <c r="D748" s="224"/>
      <c r="E748" s="226">
        <f>Dat_02!C747</f>
        <v>212.5277563390157</v>
      </c>
      <c r="F748" s="226">
        <f>Dat_02!D747</f>
        <v>124.20934941128793</v>
      </c>
      <c r="G748" s="226">
        <f>Dat_02!E747</f>
        <v>124.20934941128793</v>
      </c>
      <c r="I748" s="227">
        <f>Dat_02!G747</f>
        <v>0</v>
      </c>
      <c r="J748" s="233"/>
    </row>
    <row r="749" spans="2:10">
      <c r="B749" s="224"/>
      <c r="C749" s="225">
        <f>Dat_02!B748</f>
        <v>45366</v>
      </c>
      <c r="D749" s="224"/>
      <c r="E749" s="226">
        <f>Dat_02!C748</f>
        <v>219.39037056701946</v>
      </c>
      <c r="F749" s="226">
        <f>Dat_02!D748</f>
        <v>124.20934941128793</v>
      </c>
      <c r="G749" s="226">
        <f>Dat_02!E748</f>
        <v>124.20934941128793</v>
      </c>
      <c r="I749" s="227">
        <f>Dat_02!G748</f>
        <v>124.20934941128793</v>
      </c>
      <c r="J749" s="233"/>
    </row>
    <row r="750" spans="2:10">
      <c r="B750" s="224"/>
      <c r="C750" s="225">
        <f>Dat_02!B749</f>
        <v>45367</v>
      </c>
      <c r="D750" s="224"/>
      <c r="E750" s="226">
        <f>Dat_02!C749</f>
        <v>203.04853758701572</v>
      </c>
      <c r="F750" s="226">
        <f>Dat_02!D749</f>
        <v>124.20934941128793</v>
      </c>
      <c r="G750" s="226">
        <f>Dat_02!E749</f>
        <v>124.20934941128793</v>
      </c>
      <c r="I750" s="227">
        <f>Dat_02!G749</f>
        <v>0</v>
      </c>
      <c r="J750" s="233"/>
    </row>
    <row r="751" spans="2:10">
      <c r="B751" s="224"/>
      <c r="C751" s="225">
        <f>Dat_02!B750</f>
        <v>45368</v>
      </c>
      <c r="D751" s="224"/>
      <c r="E751" s="226">
        <f>Dat_02!C750</f>
        <v>204.17193140701571</v>
      </c>
      <c r="F751" s="226">
        <f>Dat_02!D750</f>
        <v>124.20934941128793</v>
      </c>
      <c r="G751" s="226">
        <f>Dat_02!E750</f>
        <v>124.20934941128793</v>
      </c>
      <c r="I751" s="227">
        <f>Dat_02!G750</f>
        <v>0</v>
      </c>
      <c r="J751" s="233"/>
    </row>
    <row r="752" spans="2:10">
      <c r="B752" s="224"/>
      <c r="C752" s="225">
        <f>Dat_02!B751</f>
        <v>45369</v>
      </c>
      <c r="D752" s="224"/>
      <c r="E752" s="226">
        <f>Dat_02!C751</f>
        <v>223.70635718701757</v>
      </c>
      <c r="F752" s="226">
        <f>Dat_02!D751</f>
        <v>124.20934941128793</v>
      </c>
      <c r="G752" s="226">
        <f>Dat_02!E751</f>
        <v>124.20934941128793</v>
      </c>
      <c r="I752" s="227">
        <f>Dat_02!G751</f>
        <v>0</v>
      </c>
      <c r="J752" s="233"/>
    </row>
    <row r="753" spans="2:10">
      <c r="B753" s="224"/>
      <c r="C753" s="225">
        <f>Dat_02!B752</f>
        <v>45370</v>
      </c>
      <c r="D753" s="224"/>
      <c r="E753" s="226">
        <f>Dat_02!C752</f>
        <v>230.34451166701942</v>
      </c>
      <c r="F753" s="226">
        <f>Dat_02!D752</f>
        <v>124.20934941128793</v>
      </c>
      <c r="G753" s="226">
        <f>Dat_02!E752</f>
        <v>124.20934941128793</v>
      </c>
      <c r="I753" s="227">
        <f>Dat_02!G752</f>
        <v>0</v>
      </c>
      <c r="J753" s="233"/>
    </row>
    <row r="754" spans="2:10">
      <c r="B754" s="224"/>
      <c r="C754" s="225">
        <f>Dat_02!B753</f>
        <v>45371</v>
      </c>
      <c r="D754" s="224"/>
      <c r="E754" s="226">
        <f>Dat_02!C753</f>
        <v>194.48203342418341</v>
      </c>
      <c r="F754" s="226">
        <f>Dat_02!D753</f>
        <v>124.20934941128793</v>
      </c>
      <c r="G754" s="226">
        <f>Dat_02!E753</f>
        <v>124.20934941128793</v>
      </c>
      <c r="I754" s="227">
        <f>Dat_02!G753</f>
        <v>0</v>
      </c>
      <c r="J754" s="233"/>
    </row>
    <row r="755" spans="2:10">
      <c r="B755" s="224"/>
      <c r="C755" s="225">
        <f>Dat_02!B754</f>
        <v>45372</v>
      </c>
      <c r="D755" s="224"/>
      <c r="E755" s="226">
        <f>Dat_02!C754</f>
        <v>172.47899721218712</v>
      </c>
      <c r="F755" s="226">
        <f>Dat_02!D754</f>
        <v>124.20934941128793</v>
      </c>
      <c r="G755" s="226">
        <f>Dat_02!E754</f>
        <v>124.20934941128793</v>
      </c>
      <c r="I755" s="227">
        <f>Dat_02!G754</f>
        <v>0</v>
      </c>
      <c r="J755" s="233"/>
    </row>
    <row r="756" spans="2:10">
      <c r="B756" s="224"/>
      <c r="C756" s="225">
        <f>Dat_02!B755</f>
        <v>45373</v>
      </c>
      <c r="D756" s="224"/>
      <c r="E756" s="226">
        <f>Dat_02!C755</f>
        <v>180.72038138818525</v>
      </c>
      <c r="F756" s="226">
        <f>Dat_02!D755</f>
        <v>124.20934941128793</v>
      </c>
      <c r="G756" s="226">
        <f>Dat_02!E755</f>
        <v>124.20934941128793</v>
      </c>
      <c r="I756" s="227">
        <f>Dat_02!G755</f>
        <v>0</v>
      </c>
      <c r="J756" s="233"/>
    </row>
    <row r="757" spans="2:10">
      <c r="B757" s="224"/>
      <c r="C757" s="225">
        <f>Dat_02!B756</f>
        <v>45374</v>
      </c>
      <c r="D757" s="224"/>
      <c r="E757" s="226">
        <f>Dat_02!C756</f>
        <v>141.49051618018339</v>
      </c>
      <c r="F757" s="226">
        <f>Dat_02!D756</f>
        <v>124.20934941128793</v>
      </c>
      <c r="G757" s="226">
        <f>Dat_02!E756</f>
        <v>124.20934941128793</v>
      </c>
      <c r="I757" s="227">
        <f>Dat_02!G756</f>
        <v>0</v>
      </c>
      <c r="J757" s="233"/>
    </row>
    <row r="758" spans="2:10">
      <c r="B758" s="224"/>
      <c r="C758" s="225">
        <f>Dat_02!B757</f>
        <v>45375</v>
      </c>
      <c r="D758" s="224"/>
      <c r="E758" s="226">
        <f>Dat_02!C757</f>
        <v>132.50837361218896</v>
      </c>
      <c r="F758" s="226">
        <f>Dat_02!D757</f>
        <v>124.20934941128793</v>
      </c>
      <c r="G758" s="226">
        <f>Dat_02!E757</f>
        <v>124.20934941128793</v>
      </c>
      <c r="I758" s="227">
        <f>Dat_02!G757</f>
        <v>0</v>
      </c>
      <c r="J758" s="233"/>
    </row>
    <row r="759" spans="2:10">
      <c r="B759" s="224"/>
      <c r="C759" s="225">
        <f>Dat_02!B758</f>
        <v>45376</v>
      </c>
      <c r="D759" s="224"/>
      <c r="E759" s="226">
        <f>Dat_02!C758</f>
        <v>185.24161184818712</v>
      </c>
      <c r="F759" s="226">
        <f>Dat_02!D758</f>
        <v>124.20934941128793</v>
      </c>
      <c r="G759" s="226">
        <f>Dat_02!E758</f>
        <v>124.20934941128793</v>
      </c>
      <c r="I759" s="227">
        <f>Dat_02!G758</f>
        <v>0</v>
      </c>
      <c r="J759" s="233"/>
    </row>
    <row r="760" spans="2:10">
      <c r="B760" s="224"/>
      <c r="C760" s="225">
        <f>Dat_02!B759</f>
        <v>45377</v>
      </c>
      <c r="D760" s="224"/>
      <c r="E760" s="226">
        <f>Dat_02!C759</f>
        <v>174.46497657218526</v>
      </c>
      <c r="F760" s="226">
        <f>Dat_02!D759</f>
        <v>124.20934941128793</v>
      </c>
      <c r="G760" s="226">
        <f>Dat_02!E759</f>
        <v>124.20934941128793</v>
      </c>
      <c r="I760" s="227">
        <f>Dat_02!G759</f>
        <v>0</v>
      </c>
      <c r="J760" s="233"/>
    </row>
    <row r="761" spans="2:10">
      <c r="B761" s="224"/>
      <c r="C761" s="225">
        <f>Dat_02!B760</f>
        <v>45378</v>
      </c>
      <c r="D761" s="224"/>
      <c r="E761" s="226">
        <f>Dat_02!C760</f>
        <v>220.13236308788723</v>
      </c>
      <c r="F761" s="226">
        <f>Dat_02!D760</f>
        <v>124.20934941128793</v>
      </c>
      <c r="G761" s="226">
        <f>Dat_02!E760</f>
        <v>124.20934941128793</v>
      </c>
      <c r="I761" s="227">
        <f>Dat_02!G760</f>
        <v>0</v>
      </c>
      <c r="J761" s="233"/>
    </row>
    <row r="762" spans="2:10">
      <c r="B762" s="224"/>
      <c r="C762" s="225">
        <f>Dat_02!B761</f>
        <v>45379</v>
      </c>
      <c r="D762" s="224"/>
      <c r="E762" s="226">
        <f>Dat_02!C761</f>
        <v>225.81516933589097</v>
      </c>
      <c r="F762" s="226">
        <f>Dat_02!D761</f>
        <v>124.20934941128793</v>
      </c>
      <c r="G762" s="226">
        <f>Dat_02!E761</f>
        <v>124.20934941128793</v>
      </c>
      <c r="I762" s="227">
        <f>Dat_02!G761</f>
        <v>0</v>
      </c>
      <c r="J762" s="233"/>
    </row>
    <row r="763" spans="2:10">
      <c r="B763" s="224"/>
      <c r="C763" s="225">
        <f>Dat_02!B762</f>
        <v>45380</v>
      </c>
      <c r="D763" s="224"/>
      <c r="E763" s="226">
        <f>Dat_02!C762</f>
        <v>240.04929627988727</v>
      </c>
      <c r="F763" s="226">
        <f>Dat_02!D762</f>
        <v>124.20934941128793</v>
      </c>
      <c r="G763" s="226">
        <f>Dat_02!E762</f>
        <v>124.20934941128793</v>
      </c>
      <c r="I763" s="227">
        <f>Dat_02!G762</f>
        <v>0</v>
      </c>
      <c r="J763" s="233" t="str">
        <f>IF(Dat_02!H398=0,"",Dat_02!H398)</f>
        <v/>
      </c>
    </row>
    <row r="764" spans="2:10">
      <c r="B764" s="229"/>
      <c r="C764" s="230"/>
      <c r="D764" s="231"/>
      <c r="E764" s="231"/>
      <c r="F764" s="231"/>
      <c r="G764" s="231"/>
      <c r="I764" s="295"/>
      <c r="J764" s="148"/>
    </row>
    <row r="765" spans="2:10">
      <c r="B765" s="148"/>
      <c r="C765" s="148"/>
      <c r="D765" s="148"/>
      <c r="E765" s="232"/>
      <c r="F765" s="232"/>
      <c r="G765" s="153"/>
      <c r="H765" s="148"/>
      <c r="I765" s="228"/>
      <c r="J765" s="148"/>
    </row>
    <row r="766" spans="2:10">
      <c r="B766" s="148"/>
      <c r="C766" s="148"/>
      <c r="D766" s="148"/>
      <c r="E766" s="232"/>
      <c r="F766" s="232"/>
      <c r="G766" s="153"/>
      <c r="H766" s="148"/>
      <c r="I766" s="228"/>
      <c r="J766" s="148"/>
    </row>
    <row r="767" spans="2:10">
      <c r="B767" s="148"/>
      <c r="C767" s="148"/>
      <c r="D767" s="148"/>
      <c r="E767" s="232"/>
      <c r="F767" s="232"/>
      <c r="G767" s="153"/>
      <c r="H767" s="148"/>
      <c r="I767" s="228"/>
      <c r="J767" s="148"/>
    </row>
    <row r="768" spans="2:10">
      <c r="B768" s="148"/>
      <c r="C768" s="148"/>
      <c r="D768" s="148"/>
      <c r="E768" s="232"/>
      <c r="F768" s="232"/>
      <c r="G768" s="153"/>
      <c r="H768" s="148"/>
      <c r="I768" s="228"/>
      <c r="J768" s="148"/>
    </row>
    <row r="769" spans="2:10">
      <c r="B769" s="148"/>
      <c r="C769" s="148"/>
      <c r="D769" s="148"/>
      <c r="E769" s="232"/>
      <c r="F769" s="232"/>
      <c r="G769" s="153"/>
      <c r="H769" s="148"/>
      <c r="I769" s="228"/>
      <c r="J769" s="148"/>
    </row>
    <row r="770" spans="2:10">
      <c r="B770" s="148"/>
      <c r="C770" s="148"/>
      <c r="D770" s="148"/>
      <c r="E770" s="232"/>
      <c r="F770" s="232"/>
      <c r="G770" s="153"/>
      <c r="H770" s="148"/>
      <c r="I770" s="228"/>
      <c r="J770" s="148"/>
    </row>
    <row r="771" spans="2:10">
      <c r="B771" s="148"/>
      <c r="C771" s="148"/>
      <c r="D771" s="148"/>
      <c r="E771" s="232"/>
      <c r="F771" s="232"/>
      <c r="G771" s="153"/>
      <c r="H771" s="148"/>
      <c r="I771" s="228"/>
      <c r="J771" s="148"/>
    </row>
    <row r="772" spans="2:10">
      <c r="B772" s="148"/>
      <c r="C772" s="148"/>
      <c r="D772" s="148"/>
      <c r="E772" s="232"/>
      <c r="F772" s="232"/>
      <c r="G772" s="153"/>
      <c r="H772" s="148"/>
      <c r="I772" s="228"/>
      <c r="J772" s="148"/>
    </row>
    <row r="773" spans="2:10">
      <c r="B773" s="148"/>
      <c r="C773" s="148"/>
      <c r="D773" s="148"/>
      <c r="E773" s="232"/>
      <c r="F773" s="232"/>
      <c r="G773" s="153"/>
      <c r="H773" s="148"/>
      <c r="I773" s="228"/>
      <c r="J773" s="148"/>
    </row>
    <row r="774" spans="2:10">
      <c r="B774" s="148"/>
      <c r="C774" s="148"/>
      <c r="D774" s="148"/>
      <c r="E774" s="232"/>
      <c r="F774" s="232"/>
      <c r="G774" s="153"/>
      <c r="H774" s="148"/>
      <c r="I774" s="228"/>
      <c r="J774" s="148"/>
    </row>
    <row r="775" spans="2:10">
      <c r="B775" s="148"/>
      <c r="C775" s="148"/>
      <c r="D775" s="148"/>
      <c r="E775" s="232"/>
      <c r="F775" s="232"/>
      <c r="G775" s="153"/>
      <c r="H775" s="148"/>
      <c r="I775" s="228"/>
      <c r="J775" s="148"/>
    </row>
    <row r="776" spans="2:10">
      <c r="B776" s="148"/>
      <c r="C776" s="148"/>
      <c r="D776" s="148"/>
      <c r="E776" s="232"/>
      <c r="F776" s="232"/>
      <c r="G776" s="153"/>
      <c r="H776" s="148"/>
      <c r="I776" s="228"/>
      <c r="J776" s="148"/>
    </row>
    <row r="777" spans="2:10">
      <c r="B777" s="148"/>
      <c r="C777" s="148"/>
      <c r="D777" s="148"/>
      <c r="E777" s="232"/>
      <c r="F777" s="232"/>
      <c r="G777" s="153"/>
      <c r="H777" s="148"/>
      <c r="I777" s="228"/>
      <c r="J777" s="148"/>
    </row>
    <row r="778" spans="2:10">
      <c r="B778" s="148"/>
      <c r="C778" s="148"/>
      <c r="D778" s="148"/>
      <c r="E778" s="232"/>
      <c r="F778" s="232"/>
      <c r="G778" s="153"/>
      <c r="H778" s="148"/>
      <c r="I778" s="228"/>
      <c r="J778" s="148"/>
    </row>
    <row r="779" spans="2:10">
      <c r="B779" s="148"/>
      <c r="C779" s="148"/>
      <c r="D779" s="148"/>
      <c r="E779" s="232"/>
      <c r="F779" s="232"/>
      <c r="G779" s="153"/>
      <c r="H779" s="148"/>
      <c r="I779" s="228"/>
      <c r="J779" s="148"/>
    </row>
    <row r="780" spans="2:10">
      <c r="B780" s="148"/>
      <c r="C780" s="148"/>
      <c r="D780" s="148"/>
      <c r="E780" s="232"/>
      <c r="F780" s="232"/>
      <c r="G780" s="153"/>
      <c r="H780" s="148"/>
      <c r="I780" s="228"/>
      <c r="J780" s="148"/>
    </row>
    <row r="781" spans="2:10">
      <c r="B781" s="148"/>
      <c r="C781" s="148"/>
      <c r="D781" s="148"/>
      <c r="E781" s="232"/>
      <c r="F781" s="232"/>
      <c r="G781" s="153"/>
      <c r="H781" s="148"/>
      <c r="I781" s="228"/>
      <c r="J781" s="148"/>
    </row>
    <row r="782" spans="2:10">
      <c r="B782" s="148"/>
      <c r="C782" s="148"/>
      <c r="D782" s="148"/>
      <c r="E782" s="232"/>
      <c r="F782" s="232"/>
      <c r="G782" s="153"/>
      <c r="H782" s="148"/>
      <c r="I782" s="228"/>
      <c r="J782" s="148"/>
    </row>
    <row r="783" spans="2:10">
      <c r="B783" s="148"/>
      <c r="C783" s="148"/>
      <c r="D783" s="148"/>
      <c r="E783" s="232"/>
      <c r="F783" s="232"/>
      <c r="G783" s="153"/>
      <c r="H783" s="148"/>
      <c r="I783" s="228"/>
      <c r="J783" s="148"/>
    </row>
    <row r="784" spans="2:10">
      <c r="B784" s="148"/>
      <c r="C784" s="148"/>
      <c r="D784" s="148"/>
      <c r="E784" s="232"/>
      <c r="F784" s="232"/>
      <c r="G784" s="153"/>
      <c r="H784" s="148"/>
      <c r="I784" s="228"/>
      <c r="J784" s="148"/>
    </row>
    <row r="785" spans="2:10">
      <c r="B785" s="148"/>
      <c r="C785" s="148"/>
      <c r="D785" s="148"/>
      <c r="E785" s="232"/>
      <c r="F785" s="232"/>
      <c r="G785" s="153"/>
      <c r="H785" s="148"/>
      <c r="I785" s="228"/>
      <c r="J785" s="148"/>
    </row>
    <row r="786" spans="2:10">
      <c r="B786" s="148"/>
      <c r="C786" s="148"/>
      <c r="D786" s="148"/>
      <c r="E786" s="232"/>
      <c r="F786" s="232"/>
      <c r="G786" s="153"/>
      <c r="H786" s="148"/>
      <c r="I786" s="228"/>
      <c r="J786" s="148"/>
    </row>
    <row r="787" spans="2:10">
      <c r="B787" s="148"/>
      <c r="C787" s="148"/>
      <c r="D787" s="148"/>
      <c r="E787" s="232"/>
      <c r="F787" s="232"/>
      <c r="G787" s="153"/>
      <c r="H787" s="148"/>
      <c r="I787" s="228"/>
      <c r="J787" s="148"/>
    </row>
    <row r="788" spans="2:10">
      <c r="B788" s="148"/>
      <c r="C788" s="148"/>
      <c r="D788" s="148"/>
      <c r="E788" s="232"/>
      <c r="F788" s="232"/>
      <c r="G788" s="153"/>
      <c r="H788" s="148"/>
      <c r="I788" s="228"/>
      <c r="J788" s="148"/>
    </row>
    <row r="789" spans="2:10">
      <c r="B789" s="148"/>
      <c r="C789" s="148"/>
      <c r="D789" s="148"/>
      <c r="E789" s="232"/>
      <c r="F789" s="232"/>
      <c r="G789" s="153"/>
      <c r="H789" s="148"/>
      <c r="I789" s="228"/>
      <c r="J789" s="148"/>
    </row>
    <row r="790" spans="2:10">
      <c r="B790" s="148"/>
      <c r="C790" s="148"/>
      <c r="D790" s="148"/>
      <c r="E790" s="232"/>
      <c r="F790" s="232"/>
      <c r="G790" s="153"/>
      <c r="H790" s="148"/>
      <c r="I790" s="228"/>
      <c r="J790" s="148"/>
    </row>
    <row r="791" spans="2:10">
      <c r="B791" s="148"/>
      <c r="C791" s="148"/>
      <c r="D791" s="148"/>
      <c r="E791" s="232"/>
      <c r="F791" s="232"/>
      <c r="G791" s="153"/>
      <c r="H791" s="148"/>
      <c r="I791" s="228"/>
      <c r="J791" s="148"/>
    </row>
    <row r="792" spans="2:10">
      <c r="B792" s="148"/>
      <c r="C792" s="148"/>
      <c r="D792" s="148"/>
      <c r="E792" s="232"/>
      <c r="F792" s="232"/>
      <c r="G792" s="153"/>
      <c r="H792" s="148"/>
      <c r="I792" s="228"/>
      <c r="J792" s="148"/>
    </row>
    <row r="793" spans="2:10">
      <c r="B793" s="148"/>
      <c r="C793" s="148"/>
      <c r="D793" s="148"/>
      <c r="E793" s="232"/>
      <c r="F793" s="232"/>
      <c r="G793" s="153"/>
      <c r="H793" s="148"/>
      <c r="I793" s="228"/>
      <c r="J793" s="148"/>
    </row>
    <row r="794" spans="2:10">
      <c r="B794" s="148"/>
      <c r="C794" s="148"/>
      <c r="D794" s="148"/>
      <c r="E794" s="232"/>
      <c r="F794" s="232"/>
      <c r="G794" s="153"/>
      <c r="H794" s="148"/>
      <c r="I794" s="228"/>
      <c r="J794" s="148"/>
    </row>
    <row r="795" spans="2:10">
      <c r="B795" s="148"/>
      <c r="C795" s="148"/>
      <c r="D795" s="148"/>
      <c r="E795" s="232"/>
      <c r="F795" s="232"/>
      <c r="G795" s="153"/>
      <c r="H795" s="148"/>
      <c r="I795" s="228"/>
      <c r="J795" s="148"/>
    </row>
    <row r="796" spans="2:10">
      <c r="C796" s="148"/>
      <c r="D796" s="148"/>
      <c r="E796" s="232"/>
      <c r="F796" s="232"/>
      <c r="G796" s="153"/>
    </row>
    <row r="797" spans="2:10">
      <c r="C797" s="148"/>
      <c r="D797" s="148"/>
      <c r="E797" s="232"/>
      <c r="F797" s="232"/>
      <c r="G797" s="153"/>
    </row>
    <row r="798" spans="2:10">
      <c r="C798" s="148"/>
      <c r="D798" s="148"/>
      <c r="E798" s="232"/>
      <c r="F798" s="232"/>
      <c r="G798" s="153"/>
    </row>
    <row r="799" spans="2:10">
      <c r="C799" s="148"/>
      <c r="D799" s="148"/>
      <c r="E799" s="232"/>
      <c r="F799" s="232"/>
      <c r="G799" s="153"/>
    </row>
    <row r="800" spans="2:10">
      <c r="C800" s="148"/>
      <c r="D800" s="148"/>
      <c r="E800" s="232"/>
      <c r="F800" s="232"/>
      <c r="G800" s="153"/>
    </row>
    <row r="801" spans="3:7">
      <c r="C801" s="148"/>
      <c r="D801" s="148"/>
      <c r="E801" s="232"/>
      <c r="F801" s="232"/>
      <c r="G801" s="153"/>
    </row>
    <row r="802" spans="3:7">
      <c r="C802" s="148"/>
      <c r="D802" s="148"/>
      <c r="E802" s="232"/>
      <c r="F802" s="232"/>
      <c r="G802" s="153"/>
    </row>
    <row r="803" spans="3:7">
      <c r="C803" s="148"/>
      <c r="D803" s="148"/>
      <c r="E803" s="232"/>
      <c r="F803" s="232"/>
      <c r="G803" s="153"/>
    </row>
    <row r="804" spans="3:7">
      <c r="C804" s="148"/>
      <c r="D804" s="148"/>
      <c r="E804" s="232"/>
      <c r="F804" s="232"/>
      <c r="G804" s="153"/>
    </row>
    <row r="805" spans="3:7">
      <c r="C805" s="148"/>
      <c r="D805" s="148"/>
      <c r="E805" s="232"/>
      <c r="F805" s="232"/>
      <c r="G805" s="153"/>
    </row>
    <row r="806" spans="3:7">
      <c r="C806" s="148"/>
      <c r="D806" s="148"/>
      <c r="E806" s="232"/>
      <c r="F806" s="232"/>
      <c r="G806" s="153"/>
    </row>
    <row r="807" spans="3:7">
      <c r="C807" s="148"/>
      <c r="D807" s="148"/>
      <c r="E807" s="232"/>
      <c r="F807" s="232"/>
      <c r="G807" s="153"/>
    </row>
    <row r="808" spans="3:7">
      <c r="C808" s="148"/>
      <c r="D808" s="148"/>
      <c r="E808" s="232"/>
      <c r="F808" s="232"/>
      <c r="G808" s="153"/>
    </row>
    <row r="809" spans="3:7">
      <c r="C809" s="148"/>
      <c r="D809" s="148"/>
      <c r="E809" s="232"/>
      <c r="F809" s="232"/>
      <c r="G809" s="153"/>
    </row>
    <row r="810" spans="3:7">
      <c r="C810" s="148"/>
      <c r="D810" s="148"/>
      <c r="E810" s="232"/>
      <c r="F810" s="232"/>
      <c r="G810" s="153"/>
    </row>
    <row r="811" spans="3:7">
      <c r="C811" s="148"/>
      <c r="D811" s="148"/>
      <c r="E811" s="232"/>
      <c r="F811" s="232"/>
      <c r="G811" s="153"/>
    </row>
    <row r="812" spans="3:7">
      <c r="C812" s="148"/>
      <c r="D812" s="148"/>
      <c r="E812" s="232"/>
      <c r="F812" s="232"/>
      <c r="G812" s="153"/>
    </row>
    <row r="813" spans="3:7">
      <c r="C813" s="148"/>
      <c r="D813" s="148"/>
      <c r="E813" s="232"/>
      <c r="F813" s="232"/>
      <c r="G813" s="153"/>
    </row>
  </sheetData>
  <phoneticPr fontId="71" type="noConversion"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Hoja28"/>
  <dimension ref="B2:V80"/>
  <sheetViews>
    <sheetView topLeftCell="B35" workbookViewId="0">
      <selection activeCell="J55" sqref="J55"/>
    </sheetView>
  </sheetViews>
  <sheetFormatPr baseColWidth="10" defaultColWidth="11.42578125" defaultRowHeight="11.25"/>
  <cols>
    <col min="1" max="1" width="11.42578125" style="104"/>
    <col min="2" max="2" width="20" style="104" bestFit="1" customWidth="1"/>
    <col min="3" max="16384" width="11.42578125" style="104"/>
  </cols>
  <sheetData>
    <row r="2" spans="2:22">
      <c r="B2" s="143" t="s">
        <v>41</v>
      </c>
    </row>
    <row r="3" spans="2:22">
      <c r="B3" s="146"/>
      <c r="C3" s="146"/>
      <c r="D3" s="147"/>
      <c r="E3" s="147" t="s">
        <v>35</v>
      </c>
      <c r="F3" s="331" t="s">
        <v>36</v>
      </c>
      <c r="G3" s="331"/>
      <c r="H3" s="331"/>
      <c r="I3" s="148"/>
    </row>
    <row r="4" spans="2:22">
      <c r="B4" s="149"/>
      <c r="C4" s="149"/>
      <c r="D4" s="150" t="s">
        <v>37</v>
      </c>
      <c r="E4" s="150" t="s">
        <v>38</v>
      </c>
      <c r="F4" s="150" t="s">
        <v>21</v>
      </c>
      <c r="G4" s="150" t="s">
        <v>39</v>
      </c>
      <c r="H4" s="150" t="s">
        <v>68</v>
      </c>
      <c r="I4" s="150" t="s">
        <v>40</v>
      </c>
    </row>
    <row r="5" spans="2:22">
      <c r="B5" s="154">
        <f>IF(C5="E",YEAR(Dat_01!B$2)-4,"")</f>
        <v>2020</v>
      </c>
      <c r="C5" s="155" t="s">
        <v>94</v>
      </c>
      <c r="D5" s="151">
        <v>10203.8438416341</v>
      </c>
      <c r="E5" s="152">
        <v>18538.071</v>
      </c>
      <c r="F5" s="152">
        <v>13025.278086900002</v>
      </c>
      <c r="G5" s="152">
        <v>5458.8831046999985</v>
      </c>
      <c r="H5" s="152">
        <v>9322.7080025003343</v>
      </c>
      <c r="I5" s="153">
        <f t="shared" ref="I5:I40" si="0">D5/E5*100</f>
        <v>55.042640853161586</v>
      </c>
      <c r="P5" s="261"/>
      <c r="Q5" s="261"/>
      <c r="R5" s="261"/>
      <c r="S5" s="261"/>
      <c r="T5" s="261"/>
      <c r="U5" s="261"/>
      <c r="V5" s="261"/>
    </row>
    <row r="6" spans="2:22">
      <c r="B6" s="154" t="str">
        <f>IF(C6="E",YEAR(Dat_01!B$2)-4,"")</f>
        <v/>
      </c>
      <c r="C6" s="155" t="s">
        <v>86</v>
      </c>
      <c r="D6" s="151">
        <v>10293.721620606701</v>
      </c>
      <c r="E6" s="152">
        <v>18538.071</v>
      </c>
      <c r="F6" s="152">
        <v>13282.205454749997</v>
      </c>
      <c r="G6" s="152">
        <v>5560.4723572999983</v>
      </c>
      <c r="H6" s="152">
        <v>9851.4627672801198</v>
      </c>
      <c r="I6" s="153">
        <f t="shared" si="0"/>
        <v>55.52746896161257</v>
      </c>
      <c r="P6" s="261"/>
      <c r="Q6" s="261"/>
      <c r="R6" s="261"/>
      <c r="S6" s="261"/>
      <c r="T6" s="261"/>
    </row>
    <row r="7" spans="2:22">
      <c r="B7" s="154" t="str">
        <f>IF(C7="E",YEAR(Dat_01!B$2)-4,"")</f>
        <v/>
      </c>
      <c r="C7" s="155" t="s">
        <v>87</v>
      </c>
      <c r="D7" s="151">
        <v>10922.4629058602</v>
      </c>
      <c r="E7" s="152">
        <v>18538.071</v>
      </c>
      <c r="F7" s="152">
        <v>13779.121679499998</v>
      </c>
      <c r="G7" s="152">
        <v>5822.9730064499981</v>
      </c>
      <c r="H7" s="152">
        <v>10516.451776491249</v>
      </c>
      <c r="I7" s="153">
        <f t="shared" si="0"/>
        <v>58.919090912210883</v>
      </c>
      <c r="P7" s="261"/>
      <c r="Q7" s="261"/>
      <c r="R7" s="261"/>
      <c r="S7" s="261"/>
      <c r="T7" s="261"/>
    </row>
    <row r="8" spans="2:22">
      <c r="B8" s="154" t="str">
        <f>IF(C8="E",YEAR(Dat_01!B$2)-4,"")</f>
        <v/>
      </c>
      <c r="C8" s="155" t="s">
        <v>88</v>
      </c>
      <c r="D8" s="151">
        <v>12482.965359777099</v>
      </c>
      <c r="E8" s="152">
        <v>18538.071</v>
      </c>
      <c r="F8" s="152">
        <v>13901.975652950001</v>
      </c>
      <c r="G8" s="152">
        <v>7108.0951499999992</v>
      </c>
      <c r="H8" s="152">
        <v>11159.497806794267</v>
      </c>
      <c r="I8" s="153">
        <f t="shared" si="0"/>
        <v>67.336916337072509</v>
      </c>
      <c r="P8" s="261"/>
      <c r="Q8" s="261"/>
      <c r="R8" s="261"/>
      <c r="S8" s="261"/>
      <c r="T8" s="261"/>
    </row>
    <row r="9" spans="2:22">
      <c r="B9" s="154" t="str">
        <f>IF(C9="E",YEAR(Dat_01!B$2)-4,"")</f>
        <v/>
      </c>
      <c r="C9" s="155" t="s">
        <v>87</v>
      </c>
      <c r="D9" s="151">
        <v>12968.344471210001</v>
      </c>
      <c r="E9" s="152">
        <v>18538.071</v>
      </c>
      <c r="F9" s="152">
        <v>14115.337503700002</v>
      </c>
      <c r="G9" s="152">
        <v>7120.6441199999972</v>
      </c>
      <c r="H9" s="152">
        <v>11373.399940146151</v>
      </c>
      <c r="I9" s="153">
        <f t="shared" si="0"/>
        <v>69.955199066882429</v>
      </c>
      <c r="P9" s="261"/>
      <c r="Q9" s="261"/>
      <c r="R9" s="261"/>
      <c r="S9" s="261"/>
      <c r="T9" s="261"/>
    </row>
    <row r="10" spans="2:22">
      <c r="B10" s="154" t="str">
        <f>IF(C10="E",YEAR(Dat_01!B$2)-4,"")</f>
        <v/>
      </c>
      <c r="C10" s="155" t="s">
        <v>89</v>
      </c>
      <c r="D10" s="151">
        <v>12284.2351167291</v>
      </c>
      <c r="E10" s="152">
        <v>18538.071</v>
      </c>
      <c r="F10" s="152">
        <v>13804.115890500001</v>
      </c>
      <c r="G10" s="152">
        <v>6599.0676786489421</v>
      </c>
      <c r="H10" s="152">
        <v>10842.247789768779</v>
      </c>
      <c r="I10" s="153">
        <f t="shared" si="0"/>
        <v>66.26490489074672</v>
      </c>
      <c r="P10" s="261"/>
      <c r="Q10" s="261"/>
      <c r="R10" s="261"/>
      <c r="S10" s="261"/>
      <c r="T10" s="261"/>
    </row>
    <row r="11" spans="2:22">
      <c r="B11" s="154" t="str">
        <f>IF(C11="E",YEAR(Dat_01!B$2)-4,"")</f>
        <v/>
      </c>
      <c r="C11" s="155" t="s">
        <v>89</v>
      </c>
      <c r="D11" s="151">
        <v>11078.2673362971</v>
      </c>
      <c r="E11" s="152">
        <v>18538.071</v>
      </c>
      <c r="F11" s="152">
        <v>12335.885264499995</v>
      </c>
      <c r="G11" s="152">
        <v>5738.8141714184449</v>
      </c>
      <c r="H11" s="152">
        <v>9747.2628189624047</v>
      </c>
      <c r="I11" s="153">
        <f t="shared" si="0"/>
        <v>59.75954745397781</v>
      </c>
      <c r="P11" s="261"/>
      <c r="Q11" s="261"/>
      <c r="R11" s="261"/>
      <c r="S11" s="261"/>
      <c r="T11" s="261"/>
    </row>
    <row r="12" spans="2:22">
      <c r="B12" s="154" t="str">
        <f>IF(C12="E",YEAR(Dat_01!B$2)-4,"")</f>
        <v/>
      </c>
      <c r="C12" s="155" t="s">
        <v>88</v>
      </c>
      <c r="D12" s="151">
        <v>9493.5710276489899</v>
      </c>
      <c r="E12" s="152">
        <v>18538.071</v>
      </c>
      <c r="F12" s="152">
        <v>11008.379514400005</v>
      </c>
      <c r="G12" s="152">
        <v>5016.2080297901548</v>
      </c>
      <c r="H12" s="152">
        <v>8682.152701913692</v>
      </c>
      <c r="I12" s="153">
        <f t="shared" si="0"/>
        <v>51.211213009427951</v>
      </c>
      <c r="P12" s="261"/>
      <c r="Q12" s="261"/>
      <c r="R12" s="261"/>
      <c r="S12" s="261"/>
      <c r="T12" s="261"/>
    </row>
    <row r="13" spans="2:22">
      <c r="B13" s="154" t="str">
        <f>IF(C13="E",YEAR(Dat_01!B$2)-4,"")</f>
        <v/>
      </c>
      <c r="C13" s="155" t="s">
        <v>90</v>
      </c>
      <c r="D13" s="151">
        <v>8414.2036093792703</v>
      </c>
      <c r="E13" s="152">
        <v>18538.071</v>
      </c>
      <c r="F13" s="152">
        <v>10216.987657999998</v>
      </c>
      <c r="G13" s="152">
        <v>4709.6077613773832</v>
      </c>
      <c r="H13" s="152">
        <v>7899.635656205076</v>
      </c>
      <c r="I13" s="153">
        <f t="shared" si="0"/>
        <v>45.388776477225008</v>
      </c>
      <c r="P13" s="261"/>
      <c r="Q13" s="261"/>
      <c r="R13" s="261"/>
      <c r="S13" s="261"/>
      <c r="T13" s="261"/>
    </row>
    <row r="14" spans="2:22">
      <c r="B14" s="154" t="str">
        <f>IF(C14="E",YEAR(Dat_01!B$2)-4,"")</f>
        <v/>
      </c>
      <c r="C14" s="155" t="s">
        <v>91</v>
      </c>
      <c r="D14" s="151">
        <v>8468.7189392685304</v>
      </c>
      <c r="E14" s="152">
        <v>18538.071</v>
      </c>
      <c r="F14" s="152">
        <v>9860.0850484999992</v>
      </c>
      <c r="G14" s="152">
        <v>4443.1848832624037</v>
      </c>
      <c r="H14" s="152">
        <v>7706.6327509883004</v>
      </c>
      <c r="I14" s="153">
        <f t="shared" si="0"/>
        <v>45.6828487671049</v>
      </c>
      <c r="P14" s="261"/>
      <c r="Q14" s="261"/>
      <c r="R14" s="261"/>
      <c r="S14" s="261"/>
      <c r="T14" s="261"/>
    </row>
    <row r="15" spans="2:22">
      <c r="B15" s="154" t="str">
        <f>IF(C15="E",YEAR(Dat_01!B$2)-4,"")</f>
        <v/>
      </c>
      <c r="C15" s="155" t="s">
        <v>92</v>
      </c>
      <c r="D15" s="151">
        <v>8407.9337983359892</v>
      </c>
      <c r="E15" s="152">
        <v>18538.071</v>
      </c>
      <c r="F15" s="152">
        <v>11197.565775799998</v>
      </c>
      <c r="G15" s="152">
        <v>4806.2059127499997</v>
      </c>
      <c r="H15" s="152">
        <v>8149.1649360341953</v>
      </c>
      <c r="I15" s="153">
        <f t="shared" si="0"/>
        <v>45.354955207238064</v>
      </c>
      <c r="P15" s="261"/>
      <c r="Q15" s="261"/>
      <c r="R15" s="261"/>
      <c r="S15" s="261"/>
      <c r="T15" s="261"/>
    </row>
    <row r="16" spans="2:22">
      <c r="B16" s="154" t="str">
        <f>IF(C16="E",YEAR(Dat_01!B$2)-4,"")</f>
        <v/>
      </c>
      <c r="C16" s="155" t="s">
        <v>93</v>
      </c>
      <c r="D16" s="151">
        <v>9418.9304168690905</v>
      </c>
      <c r="E16" s="152">
        <v>18538.071</v>
      </c>
      <c r="F16" s="152">
        <v>13334.108503349993</v>
      </c>
      <c r="G16" s="152">
        <v>5321.2928717999985</v>
      </c>
      <c r="H16" s="152">
        <v>8688.9230952214075</v>
      </c>
      <c r="I16" s="153">
        <f t="shared" si="0"/>
        <v>50.808578826076833</v>
      </c>
      <c r="P16" s="261"/>
      <c r="Q16" s="261"/>
      <c r="R16" s="261"/>
      <c r="S16" s="261"/>
      <c r="T16" s="261"/>
    </row>
    <row r="17" spans="2:20">
      <c r="B17" s="154">
        <f>IF(C17="E",YEAR(Dat_01!B$2)-3,"")</f>
        <v>2021</v>
      </c>
      <c r="C17" s="155" t="s">
        <v>94</v>
      </c>
      <c r="D17" s="151">
        <v>9758.5157368181899</v>
      </c>
      <c r="E17" s="152">
        <v>18538.071</v>
      </c>
      <c r="F17" s="152">
        <v>13030.265303050002</v>
      </c>
      <c r="G17" s="152">
        <v>5467.9549016999981</v>
      </c>
      <c r="H17" s="152">
        <v>9460.7335985820428</v>
      </c>
      <c r="I17" s="153">
        <f t="shared" si="0"/>
        <v>52.640405448971414</v>
      </c>
      <c r="P17" s="261"/>
      <c r="Q17" s="261"/>
      <c r="R17" s="261"/>
      <c r="S17" s="261"/>
      <c r="T17" s="261"/>
    </row>
    <row r="18" spans="2:20">
      <c r="B18" s="154" t="str">
        <f>IF(C18="E",YEAR(Dat_01!B$2)-3,"")</f>
        <v/>
      </c>
      <c r="C18" s="155" t="s">
        <v>86</v>
      </c>
      <c r="D18" s="151">
        <v>12661.5058106672</v>
      </c>
      <c r="E18" s="152">
        <v>18538.071</v>
      </c>
      <c r="F18" s="152">
        <v>13350.687899449997</v>
      </c>
      <c r="G18" s="152">
        <v>5578.6608586499988</v>
      </c>
      <c r="H18" s="152">
        <v>10003.035437810451</v>
      </c>
      <c r="I18" s="153">
        <f t="shared" si="0"/>
        <v>68.300017896507143</v>
      </c>
      <c r="P18" s="261"/>
      <c r="Q18" s="261"/>
      <c r="R18" s="261"/>
      <c r="S18" s="261"/>
      <c r="T18" s="261"/>
    </row>
    <row r="19" spans="2:20">
      <c r="B19" s="154" t="str">
        <f>IF(C19="E",YEAR(Dat_01!B$2)-3,"")</f>
        <v/>
      </c>
      <c r="C19" s="155" t="s">
        <v>87</v>
      </c>
      <c r="D19" s="151">
        <v>12144.926731958538</v>
      </c>
      <c r="E19" s="152">
        <v>18538.071</v>
      </c>
      <c r="F19" s="152">
        <v>13867.618216399997</v>
      </c>
      <c r="G19" s="152">
        <v>5886.7781087999983</v>
      </c>
      <c r="H19" s="152">
        <v>10720.346582784256</v>
      </c>
      <c r="I19" s="153">
        <f t="shared" si="0"/>
        <v>65.513433042513086</v>
      </c>
      <c r="P19" s="261"/>
      <c r="Q19" s="261"/>
      <c r="R19" s="261"/>
      <c r="S19" s="261"/>
      <c r="T19" s="261"/>
    </row>
    <row r="20" spans="2:20">
      <c r="B20" s="154" t="str">
        <f>IF(C20="E",YEAR(Dat_01!B$2)-3,"")</f>
        <v/>
      </c>
      <c r="C20" s="155" t="s">
        <v>88</v>
      </c>
      <c r="D20" s="151">
        <v>11299.1892331082</v>
      </c>
      <c r="E20" s="152">
        <v>18538.071</v>
      </c>
      <c r="F20" s="152">
        <v>13950.648185050002</v>
      </c>
      <c r="G20" s="152">
        <v>7160.980094999999</v>
      </c>
      <c r="H20" s="152">
        <v>11307.143756783118</v>
      </c>
      <c r="I20" s="153">
        <f t="shared" si="0"/>
        <v>60.951267438279856</v>
      </c>
      <c r="P20" s="261"/>
      <c r="Q20" s="261"/>
      <c r="R20" s="261"/>
      <c r="S20" s="261"/>
      <c r="T20" s="261"/>
    </row>
    <row r="21" spans="2:20">
      <c r="B21" s="154" t="str">
        <f>IF(C21="E",YEAR(Dat_01!B$2)-3,"")</f>
        <v/>
      </c>
      <c r="C21" s="155" t="s">
        <v>87</v>
      </c>
      <c r="D21" s="151">
        <v>11113.845787991901</v>
      </c>
      <c r="E21" s="152">
        <v>18538.071</v>
      </c>
      <c r="F21" s="152">
        <v>14154.758919950002</v>
      </c>
      <c r="G21" s="152">
        <v>7197.9099209999968</v>
      </c>
      <c r="H21" s="152">
        <v>11468.407586706651</v>
      </c>
      <c r="I21" s="153">
        <f t="shared" si="0"/>
        <v>59.951468456410062</v>
      </c>
      <c r="P21" s="261"/>
      <c r="Q21" s="261"/>
      <c r="R21" s="261"/>
      <c r="S21" s="261"/>
      <c r="T21" s="261"/>
    </row>
    <row r="22" spans="2:20">
      <c r="B22" s="154" t="str">
        <f>IF(C22="E",YEAR(Dat_01!B$2)-3,"")</f>
        <v/>
      </c>
      <c r="C22" s="155" t="s">
        <v>89</v>
      </c>
      <c r="D22" s="151">
        <v>10415.710777083699</v>
      </c>
      <c r="E22" s="152">
        <v>18538.071</v>
      </c>
      <c r="F22" s="152">
        <v>13861.50749955</v>
      </c>
      <c r="G22" s="152">
        <v>6659.6807604989417</v>
      </c>
      <c r="H22" s="152">
        <v>10927.520460105234</v>
      </c>
      <c r="I22" s="153">
        <f t="shared" si="0"/>
        <v>56.185515618554369</v>
      </c>
      <c r="P22" s="261"/>
      <c r="Q22" s="261"/>
      <c r="R22" s="261"/>
      <c r="S22" s="261"/>
      <c r="T22" s="261"/>
    </row>
    <row r="23" spans="2:20">
      <c r="B23" s="154" t="str">
        <f>IF(C23="E",YEAR(Dat_01!B$2)-3,"")</f>
        <v/>
      </c>
      <c r="C23" s="155" t="s">
        <v>89</v>
      </c>
      <c r="D23" s="151">
        <v>8744.6750995529528</v>
      </c>
      <c r="E23" s="152">
        <v>18538.071</v>
      </c>
      <c r="F23" s="152">
        <v>12411.383130949995</v>
      </c>
      <c r="G23" s="152">
        <v>5800.1947457021333</v>
      </c>
      <c r="H23" s="152">
        <v>9824.1360547772583</v>
      </c>
      <c r="I23" s="153">
        <f t="shared" si="0"/>
        <v>47.171440327059663</v>
      </c>
      <c r="P23" s="261"/>
      <c r="Q23" s="261"/>
      <c r="R23" s="261"/>
      <c r="S23" s="261"/>
      <c r="T23" s="261"/>
    </row>
    <row r="24" spans="2:20">
      <c r="B24" s="154" t="str">
        <f>IF(C24="E",YEAR(Dat_01!B$2)-3,"")</f>
        <v/>
      </c>
      <c r="C24" s="155" t="s">
        <v>88</v>
      </c>
      <c r="D24" s="151">
        <v>7124.7383119369397</v>
      </c>
      <c r="E24" s="152">
        <v>18538.071</v>
      </c>
      <c r="F24" s="152">
        <v>11082.055950350004</v>
      </c>
      <c r="G24" s="152">
        <v>5069.3133357481856</v>
      </c>
      <c r="H24" s="152">
        <v>8745.5835792961407</v>
      </c>
      <c r="I24" s="153">
        <f t="shared" si="0"/>
        <v>38.433008007882478</v>
      </c>
      <c r="P24" s="261"/>
      <c r="Q24" s="261"/>
      <c r="R24" s="261"/>
      <c r="S24" s="261"/>
      <c r="T24" s="261"/>
    </row>
    <row r="25" spans="2:20">
      <c r="B25" s="154" t="str">
        <f>IF(C25="E",YEAR(Dat_01!B$2)-3,"")</f>
        <v/>
      </c>
      <c r="C25" s="155" t="s">
        <v>90</v>
      </c>
      <c r="D25" s="151">
        <v>6314.3165171768396</v>
      </c>
      <c r="E25" s="152">
        <v>18538.071</v>
      </c>
      <c r="F25" s="152">
        <v>10288.729394799997</v>
      </c>
      <c r="G25" s="152">
        <v>4739.6054379773832</v>
      </c>
      <c r="H25" s="152">
        <v>7973.9046291740378</v>
      </c>
      <c r="I25" s="153">
        <f t="shared" si="0"/>
        <v>34.061346065493218</v>
      </c>
      <c r="P25" s="261"/>
      <c r="Q25" s="261"/>
      <c r="R25" s="261"/>
      <c r="S25" s="261"/>
      <c r="T25" s="261"/>
    </row>
    <row r="26" spans="2:20">
      <c r="B26" s="154" t="str">
        <f>IF(C26="E",YEAR(Dat_01!B$2)-3,"")</f>
        <v/>
      </c>
      <c r="C26" s="155" t="s">
        <v>91</v>
      </c>
      <c r="D26" s="151">
        <v>5952.5394311548098</v>
      </c>
      <c r="E26" s="152">
        <v>18538.071</v>
      </c>
      <c r="F26" s="152">
        <v>9948.8780525499988</v>
      </c>
      <c r="G26" s="152">
        <v>4467.0470089624023</v>
      </c>
      <c r="H26" s="152">
        <v>7820.7365874517254</v>
      </c>
      <c r="I26" s="153">
        <f t="shared" si="0"/>
        <v>32.109810298788958</v>
      </c>
      <c r="P26" s="261"/>
      <c r="Q26" s="261"/>
      <c r="R26" s="261"/>
      <c r="S26" s="261"/>
      <c r="T26" s="261"/>
    </row>
    <row r="27" spans="2:20">
      <c r="B27" s="154" t="str">
        <f>IF(C27="E",YEAR(Dat_01!B$2)-3,"")</f>
        <v/>
      </c>
      <c r="C27" s="155" t="s">
        <v>92</v>
      </c>
      <c r="D27" s="151">
        <v>5955.5060306251098</v>
      </c>
      <c r="E27" s="152">
        <v>18538.071</v>
      </c>
      <c r="F27" s="152">
        <v>11222.871138699997</v>
      </c>
      <c r="G27" s="152">
        <v>4812.1705738000001</v>
      </c>
      <c r="H27" s="152">
        <v>8187.5351249509931</v>
      </c>
      <c r="I27" s="153">
        <f t="shared" si="0"/>
        <v>32.125813039690641</v>
      </c>
      <c r="P27" s="261"/>
      <c r="Q27" s="261"/>
      <c r="R27" s="261"/>
      <c r="S27" s="261"/>
      <c r="T27" s="261"/>
    </row>
    <row r="28" spans="2:20">
      <c r="B28" s="154" t="str">
        <f>IF(C28="E",YEAR(Dat_01!B$2)-3,"")</f>
        <v/>
      </c>
      <c r="C28" s="155" t="s">
        <v>93</v>
      </c>
      <c r="D28" s="151">
        <v>6678.5636735501203</v>
      </c>
      <c r="E28" s="152">
        <v>18538.071</v>
      </c>
      <c r="F28" s="152">
        <v>13273.133537799993</v>
      </c>
      <c r="G28" s="152">
        <v>5316.2767810999994</v>
      </c>
      <c r="H28" s="152">
        <v>8633.7092310648623</v>
      </c>
      <c r="I28" s="153">
        <f t="shared" si="0"/>
        <v>36.026206143832987</v>
      </c>
      <c r="P28" s="261"/>
      <c r="Q28" s="261"/>
      <c r="R28" s="261"/>
      <c r="S28" s="261"/>
      <c r="T28" s="261"/>
    </row>
    <row r="29" spans="2:20">
      <c r="B29" s="154">
        <f>IF(C29="E",YEAR(Dat_01!B$2)-2,"")</f>
        <v>2022</v>
      </c>
      <c r="C29" s="155" t="s">
        <v>94</v>
      </c>
      <c r="D29" s="151">
        <v>7030.3147235812303</v>
      </c>
      <c r="E29" s="152">
        <v>18538.071</v>
      </c>
      <c r="F29" s="152">
        <v>13035.252519200001</v>
      </c>
      <c r="G29" s="152">
        <v>5477.0266986999977</v>
      </c>
      <c r="H29" s="152">
        <v>9325.0652119229526</v>
      </c>
      <c r="I29" s="153">
        <f t="shared" si="0"/>
        <v>37.923658419375087</v>
      </c>
      <c r="P29" s="261"/>
      <c r="Q29" s="261"/>
      <c r="R29" s="261"/>
      <c r="S29" s="261"/>
      <c r="T29" s="261"/>
    </row>
    <row r="30" spans="2:20">
      <c r="B30" s="154" t="str">
        <f>IF(C30="E",YEAR(Dat_01!B$2)-2,"")</f>
        <v/>
      </c>
      <c r="C30" s="155" t="s">
        <v>86</v>
      </c>
      <c r="D30" s="151">
        <v>6849.7365063100897</v>
      </c>
      <c r="E30" s="152">
        <v>18538.071</v>
      </c>
      <c r="F30" s="152">
        <v>13419.170344149999</v>
      </c>
      <c r="G30" s="152">
        <v>5596.8493599999993</v>
      </c>
      <c r="H30" s="152">
        <v>10034.297981343811</v>
      </c>
      <c r="I30" s="153">
        <f t="shared" si="0"/>
        <v>36.949564527561094</v>
      </c>
      <c r="P30" s="261"/>
      <c r="Q30" s="261"/>
      <c r="R30" s="261"/>
      <c r="S30" s="261"/>
      <c r="T30" s="261"/>
    </row>
    <row r="31" spans="2:20">
      <c r="B31" s="154" t="str">
        <f>IF(C31="E",YEAR(Dat_01!B$2)-2,"")</f>
        <v/>
      </c>
      <c r="C31" s="155" t="s">
        <v>87</v>
      </c>
      <c r="D31" s="151">
        <v>7242.5224796164302</v>
      </c>
      <c r="E31" s="152">
        <v>18538.071</v>
      </c>
      <c r="F31" s="152">
        <v>13898.837668799999</v>
      </c>
      <c r="G31" s="152">
        <v>5950.5832111499976</v>
      </c>
      <c r="H31" s="152">
        <v>10651.382707382183</v>
      </c>
      <c r="I31" s="153">
        <f t="shared" si="0"/>
        <v>39.068371674789844</v>
      </c>
      <c r="P31" s="261"/>
      <c r="Q31" s="261"/>
      <c r="R31" s="261"/>
      <c r="S31" s="261"/>
      <c r="T31" s="261"/>
    </row>
    <row r="32" spans="2:20">
      <c r="B32" s="154" t="str">
        <f>IF(C32="E",YEAR(Dat_01!B$2)-2,"")</f>
        <v/>
      </c>
      <c r="C32" s="155" t="s">
        <v>88</v>
      </c>
      <c r="D32" s="151">
        <v>7896.3920571419603</v>
      </c>
      <c r="E32" s="152">
        <v>18538.071</v>
      </c>
      <c r="F32" s="152">
        <v>13999.32071715</v>
      </c>
      <c r="G32" s="152">
        <v>7213.8650399999988</v>
      </c>
      <c r="H32" s="152">
        <v>11224.845272938524</v>
      </c>
      <c r="I32" s="153">
        <f t="shared" si="0"/>
        <v>42.595543285717049</v>
      </c>
      <c r="P32" s="261"/>
      <c r="Q32" s="261"/>
      <c r="R32" s="261"/>
      <c r="S32" s="261"/>
      <c r="T32" s="261"/>
    </row>
    <row r="33" spans="2:20">
      <c r="B33" s="154" t="str">
        <f>IF(C33="E",YEAR(Dat_01!B$2)-2,"")</f>
        <v/>
      </c>
      <c r="C33" s="155" t="s">
        <v>87</v>
      </c>
      <c r="D33" s="151">
        <v>7862.6649207238397</v>
      </c>
      <c r="E33" s="152">
        <v>18538.071</v>
      </c>
      <c r="F33" s="152">
        <v>14194.180336200001</v>
      </c>
      <c r="G33" s="152">
        <v>7275.1757219999972</v>
      </c>
      <c r="H33" s="152">
        <v>11376.573024106245</v>
      </c>
      <c r="I33" s="153">
        <f t="shared" si="0"/>
        <v>42.413608841631039</v>
      </c>
      <c r="P33" s="261"/>
      <c r="Q33" s="261"/>
      <c r="R33" s="261"/>
      <c r="S33" s="261"/>
      <c r="T33" s="261"/>
    </row>
    <row r="34" spans="2:20">
      <c r="B34" s="154" t="str">
        <f>IF(C34="E",YEAR(Dat_01!B$2)-2,"")</f>
        <v/>
      </c>
      <c r="C34" s="155" t="s">
        <v>89</v>
      </c>
      <c r="D34" s="151">
        <v>7336.6756913938698</v>
      </c>
      <c r="E34" s="152">
        <v>18538.071</v>
      </c>
      <c r="F34" s="152">
        <v>13918.899108600002</v>
      </c>
      <c r="G34" s="152">
        <v>6720.2938423489422</v>
      </c>
      <c r="H34" s="152">
        <v>10871.053378959414</v>
      </c>
      <c r="I34" s="153">
        <f t="shared" si="0"/>
        <v>39.576262769701714</v>
      </c>
      <c r="P34" s="261"/>
      <c r="Q34" s="261"/>
      <c r="R34" s="261"/>
      <c r="S34" s="261"/>
      <c r="T34" s="261"/>
    </row>
    <row r="35" spans="2:20">
      <c r="B35" s="154" t="str">
        <f>IF(C35="E",YEAR(Dat_01!B$2)-2,"")</f>
        <v/>
      </c>
      <c r="C35" s="155" t="s">
        <v>89</v>
      </c>
      <c r="D35" s="151">
        <v>6503.7333101836002</v>
      </c>
      <c r="E35" s="152">
        <v>18538.071</v>
      </c>
      <c r="F35" s="152">
        <v>12486.880997399992</v>
      </c>
      <c r="G35" s="152">
        <v>5861.5753199858218</v>
      </c>
      <c r="H35" s="152">
        <v>9714.3243532549059</v>
      </c>
      <c r="I35" s="153">
        <f t="shared" si="0"/>
        <v>35.083117926258886</v>
      </c>
      <c r="P35" s="261"/>
      <c r="Q35" s="261"/>
      <c r="R35" s="261"/>
      <c r="S35" s="261"/>
      <c r="T35" s="261"/>
    </row>
    <row r="36" spans="2:20">
      <c r="B36" s="154" t="str">
        <f>IF(C36="E",YEAR(Dat_01!B$2)-2,"")</f>
        <v/>
      </c>
      <c r="C36" s="155" t="s">
        <v>88</v>
      </c>
      <c r="D36" s="151">
        <v>5663.3995666707096</v>
      </c>
      <c r="E36" s="152">
        <v>18538.071</v>
      </c>
      <c r="F36" s="152">
        <v>11155.732386300004</v>
      </c>
      <c r="G36" s="152">
        <v>5122.4186417062165</v>
      </c>
      <c r="H36" s="152">
        <v>8618.9540563929877</v>
      </c>
      <c r="I36" s="153">
        <f t="shared" si="0"/>
        <v>30.550101823812785</v>
      </c>
      <c r="P36" s="261"/>
      <c r="Q36" s="261"/>
      <c r="R36" s="261"/>
      <c r="S36" s="261"/>
      <c r="T36" s="261"/>
    </row>
    <row r="37" spans="2:20">
      <c r="B37" s="154" t="str">
        <f>IF(C37="E",YEAR(Dat_01!B$2)-2,"")</f>
        <v/>
      </c>
      <c r="C37" s="155" t="s">
        <v>90</v>
      </c>
      <c r="D37" s="151">
        <v>4854.8048105114403</v>
      </c>
      <c r="E37" s="152">
        <v>18538.071</v>
      </c>
      <c r="F37" s="152">
        <v>10360.471131599998</v>
      </c>
      <c r="G37" s="152">
        <v>4769.6031145773832</v>
      </c>
      <c r="H37" s="152">
        <v>7853.1852055328782</v>
      </c>
      <c r="I37" s="153">
        <f t="shared" si="0"/>
        <v>26.188295483987741</v>
      </c>
      <c r="P37" s="261"/>
      <c r="Q37" s="261"/>
      <c r="R37" s="261"/>
      <c r="S37" s="261"/>
      <c r="T37" s="261"/>
    </row>
    <row r="38" spans="2:20">
      <c r="B38" s="154" t="str">
        <f>IF(C38="E",YEAR(Dat_01!B$2)-2,"")</f>
        <v/>
      </c>
      <c r="C38" s="155" t="s">
        <v>91</v>
      </c>
      <c r="D38" s="151">
        <v>4989.2516276194901</v>
      </c>
      <c r="E38" s="152">
        <v>18538.071</v>
      </c>
      <c r="F38" s="152">
        <v>10037.671056599998</v>
      </c>
      <c r="G38" s="152">
        <v>4490.9091346624027</v>
      </c>
      <c r="H38" s="152">
        <v>7700.931035509464</v>
      </c>
      <c r="I38" s="153">
        <f t="shared" si="0"/>
        <v>26.913542555854331</v>
      </c>
      <c r="P38" s="261"/>
      <c r="Q38" s="261"/>
      <c r="R38" s="261"/>
      <c r="S38" s="261"/>
      <c r="T38" s="261"/>
    </row>
    <row r="39" spans="2:20">
      <c r="B39" s="154" t="str">
        <f>IF(C39="E",YEAR(Dat_01!B$2)-2,"")</f>
        <v/>
      </c>
      <c r="C39" s="155" t="s">
        <v>92</v>
      </c>
      <c r="D39" s="151">
        <v>5789.2389871449896</v>
      </c>
      <c r="E39" s="152">
        <v>18538.071</v>
      </c>
      <c r="F39" s="152">
        <v>11248.176501599997</v>
      </c>
      <c r="G39" s="152">
        <v>4818.1352348499995</v>
      </c>
      <c r="H39" s="152">
        <v>8119.3286799822454</v>
      </c>
      <c r="I39" s="153">
        <f t="shared" si="0"/>
        <v>31.228917977199405</v>
      </c>
      <c r="P39" s="261"/>
      <c r="Q39" s="261"/>
      <c r="R39" s="261"/>
      <c r="S39" s="261"/>
      <c r="T39" s="261"/>
    </row>
    <row r="40" spans="2:20">
      <c r="B40" s="154" t="str">
        <f>IF(C40="E",YEAR(Dat_01!B$2)-2,"")</f>
        <v/>
      </c>
      <c r="C40" s="155" t="s">
        <v>93</v>
      </c>
      <c r="D40" s="151">
        <v>8226.3793556488708</v>
      </c>
      <c r="E40" s="152">
        <v>18538.071</v>
      </c>
      <c r="F40" s="152">
        <v>13212.158572249993</v>
      </c>
      <c r="G40" s="152">
        <v>5311.2606904000004</v>
      </c>
      <c r="H40" s="152">
        <v>8643.2465402423641</v>
      </c>
      <c r="I40" s="153">
        <f t="shared" si="0"/>
        <v>44.375595258259992</v>
      </c>
      <c r="P40" s="261"/>
      <c r="Q40" s="261"/>
      <c r="R40" s="261"/>
      <c r="S40" s="261"/>
      <c r="T40" s="261"/>
    </row>
    <row r="41" spans="2:20">
      <c r="B41" s="154">
        <f>IF(C41="E",YEAR(Dat_01!B$2)-1,"")</f>
        <v>2023</v>
      </c>
      <c r="C41" s="155" t="s">
        <v>94</v>
      </c>
      <c r="D41" s="151">
        <v>10223.608293560101</v>
      </c>
      <c r="E41" s="152">
        <v>18538.071</v>
      </c>
      <c r="F41" s="152">
        <v>13040.239735350002</v>
      </c>
      <c r="G41" s="152">
        <v>5486.0984956999982</v>
      </c>
      <c r="H41" s="152">
        <v>9345.1985046020109</v>
      </c>
      <c r="I41" s="153">
        <f>D41/E41*100</f>
        <v>55.149256325321552</v>
      </c>
      <c r="P41" s="261"/>
      <c r="Q41" s="261"/>
      <c r="R41" s="261"/>
      <c r="S41" s="261"/>
      <c r="T41" s="261"/>
    </row>
    <row r="42" spans="2:20">
      <c r="B42" s="154" t="str">
        <f>IF(C42="E",YEAR(Dat_01!B$2)-1,"")</f>
        <v/>
      </c>
      <c r="C42" s="155" t="s">
        <v>86</v>
      </c>
      <c r="D42" s="151">
        <v>9799.5666123993706</v>
      </c>
      <c r="E42" s="152">
        <v>18538.071</v>
      </c>
      <c r="F42" s="152">
        <v>13487.652788849999</v>
      </c>
      <c r="G42" s="152">
        <v>5615.0378613499997</v>
      </c>
      <c r="H42" s="152">
        <v>10020.752600659313</v>
      </c>
      <c r="I42" s="153">
        <f t="shared" ref="I42:I52" si="1">D42/E42*100</f>
        <v>52.861846372253993</v>
      </c>
      <c r="P42" s="261"/>
      <c r="Q42" s="261"/>
      <c r="R42" s="261"/>
      <c r="S42" s="261"/>
      <c r="T42" s="261"/>
    </row>
    <row r="43" spans="2:20">
      <c r="B43" s="154" t="str">
        <f>IF(C43="E",YEAR(Dat_01!B$2)-1,"")</f>
        <v/>
      </c>
      <c r="C43" s="155" t="s">
        <v>87</v>
      </c>
      <c r="D43" s="151">
        <v>10212.192476558999</v>
      </c>
      <c r="E43" s="152">
        <v>18538.071</v>
      </c>
      <c r="F43" s="152">
        <v>13930.057121199998</v>
      </c>
      <c r="G43" s="152">
        <v>6014.3883134999978</v>
      </c>
      <c r="H43" s="152">
        <v>10628.434723363</v>
      </c>
      <c r="I43" s="153">
        <f t="shared" si="1"/>
        <v>55.087675932188404</v>
      </c>
      <c r="P43" s="261"/>
      <c r="Q43" s="261"/>
      <c r="R43" s="261"/>
      <c r="S43" s="261"/>
      <c r="T43" s="261"/>
    </row>
    <row r="44" spans="2:20">
      <c r="B44" s="154" t="str">
        <f>IF(C44="E",YEAR(Dat_01!B$2)-1,"")</f>
        <v/>
      </c>
      <c r="C44" s="155" t="s">
        <v>88</v>
      </c>
      <c r="D44" s="151">
        <v>9885.1331418185291</v>
      </c>
      <c r="E44" s="152">
        <v>18538.071</v>
      </c>
      <c r="F44" s="152">
        <v>14047.993249249999</v>
      </c>
      <c r="G44" s="152">
        <v>7267.1733878570958</v>
      </c>
      <c r="H44" s="152">
        <v>11226.165030795621</v>
      </c>
      <c r="I44" s="153">
        <f t="shared" si="1"/>
        <v>53.323418287795576</v>
      </c>
      <c r="P44" s="261"/>
      <c r="Q44" s="261"/>
      <c r="R44" s="261"/>
      <c r="S44" s="261"/>
      <c r="T44" s="261"/>
    </row>
    <row r="45" spans="2:20">
      <c r="B45" s="154" t="str">
        <f>IF(C45="E",YEAR(Dat_01!B$2)-1,"")</f>
        <v/>
      </c>
      <c r="C45" s="155" t="s">
        <v>87</v>
      </c>
      <c r="D45" s="151">
        <v>9365.4005860970192</v>
      </c>
      <c r="E45" s="152">
        <v>18538.071</v>
      </c>
      <c r="F45" s="152">
        <v>14233.601752450002</v>
      </c>
      <c r="G45" s="152">
        <v>7325.0050030361872</v>
      </c>
      <c r="H45" s="152">
        <v>11367.959959142432</v>
      </c>
      <c r="I45" s="153">
        <f t="shared" si="1"/>
        <v>50.51982261852929</v>
      </c>
      <c r="P45" s="261"/>
      <c r="Q45" s="261"/>
      <c r="R45" s="261"/>
      <c r="S45" s="261"/>
      <c r="T45" s="261"/>
    </row>
    <row r="46" spans="2:20">
      <c r="B46" s="154" t="str">
        <f>IF(C46="E",YEAR(Dat_01!B$2)-1,"")</f>
        <v/>
      </c>
      <c r="C46" s="155" t="s">
        <v>89</v>
      </c>
      <c r="D46" s="151">
        <v>9135.7508606141801</v>
      </c>
      <c r="E46" s="152">
        <v>18538.071</v>
      </c>
      <c r="F46" s="152">
        <v>13976.290717650001</v>
      </c>
      <c r="G46" s="152">
        <v>6772.5070219186337</v>
      </c>
      <c r="H46" s="152">
        <v>10854.516130029104</v>
      </c>
      <c r="I46" s="153">
        <f t="shared" si="1"/>
        <v>49.281022068661727</v>
      </c>
      <c r="P46" s="261"/>
      <c r="Q46" s="261"/>
      <c r="R46" s="261"/>
      <c r="S46" s="261"/>
      <c r="T46" s="261"/>
    </row>
    <row r="47" spans="2:20">
      <c r="B47" s="154" t="str">
        <f>IF(C47="E",YEAR(Dat_01!B$2)-1,"")</f>
        <v/>
      </c>
      <c r="C47" s="155" t="s">
        <v>89</v>
      </c>
      <c r="D47" s="151">
        <v>8175.9128053970835</v>
      </c>
      <c r="E47" s="152">
        <v>18538.071</v>
      </c>
      <c r="F47" s="152">
        <v>12562.378863849992</v>
      </c>
      <c r="G47" s="152">
        <v>5915.1664204949993</v>
      </c>
      <c r="H47" s="152">
        <v>9688.0502232640847</v>
      </c>
      <c r="I47" s="153">
        <f t="shared" si="1"/>
        <v>44.103363318638081</v>
      </c>
      <c r="P47" s="261"/>
      <c r="Q47" s="261"/>
      <c r="R47" s="261"/>
      <c r="S47" s="261"/>
      <c r="T47" s="261"/>
    </row>
    <row r="48" spans="2:20">
      <c r="B48" s="154" t="str">
        <f>IF(C48="E",YEAR(Dat_01!B$2)-1,"")</f>
        <v/>
      </c>
      <c r="C48" s="155" t="s">
        <v>88</v>
      </c>
      <c r="D48" s="151">
        <v>7267.4230046471803</v>
      </c>
      <c r="E48" s="152">
        <v>18538.071</v>
      </c>
      <c r="F48" s="152">
        <v>11229.408822250003</v>
      </c>
      <c r="G48" s="152">
        <v>5168.0545450397494</v>
      </c>
      <c r="H48" s="152">
        <v>8576.9264407265182</v>
      </c>
      <c r="I48" s="153">
        <f t="shared" si="1"/>
        <v>39.202692689261895</v>
      </c>
      <c r="P48" s="261"/>
      <c r="Q48" s="261"/>
      <c r="R48" s="261"/>
      <c r="S48" s="261"/>
      <c r="T48" s="261"/>
    </row>
    <row r="49" spans="2:20">
      <c r="B49" s="154" t="str">
        <f>IF(C49="E",YEAR(Dat_01!B$2)-1,"")</f>
        <v/>
      </c>
      <c r="C49" s="155" t="s">
        <v>90</v>
      </c>
      <c r="D49" s="151">
        <v>7008.4596426560602</v>
      </c>
      <c r="E49" s="152">
        <v>18538.071</v>
      </c>
      <c r="F49" s="152">
        <v>10432.212868399996</v>
      </c>
      <c r="G49" s="152">
        <v>4785.5655401029526</v>
      </c>
      <c r="H49" s="152">
        <v>7781.2152055584493</v>
      </c>
      <c r="I49" s="153">
        <f t="shared" si="1"/>
        <v>37.805765457776381</v>
      </c>
      <c r="P49" s="261"/>
      <c r="Q49" s="261"/>
      <c r="R49" s="261"/>
      <c r="S49" s="261"/>
      <c r="T49" s="261"/>
    </row>
    <row r="50" spans="2:20">
      <c r="B50" s="154" t="str">
        <f>IF(C50="E",YEAR(Dat_01!B$2)-1,"")</f>
        <v/>
      </c>
      <c r="C50" s="155" t="s">
        <v>91</v>
      </c>
      <c r="D50" s="151">
        <v>7614.13469651794</v>
      </c>
      <c r="E50" s="152">
        <v>18538.071</v>
      </c>
      <c r="F50" s="152">
        <v>10126.464060649998</v>
      </c>
      <c r="G50" s="152">
        <v>4514.7712603624032</v>
      </c>
      <c r="H50" s="152">
        <v>7613.3641368904337</v>
      </c>
      <c r="I50" s="153">
        <f t="shared" si="1"/>
        <v>41.07296113235266</v>
      </c>
      <c r="P50" s="261"/>
      <c r="Q50" s="261"/>
      <c r="R50" s="261"/>
      <c r="S50" s="261"/>
      <c r="T50" s="261"/>
    </row>
    <row r="51" spans="2:20">
      <c r="B51" s="154" t="str">
        <f>IF(C51="E",YEAR(Dat_01!B$2)-1,"")</f>
        <v/>
      </c>
      <c r="C51" s="155" t="s">
        <v>92</v>
      </c>
      <c r="D51" s="151">
        <v>9142.8206733039697</v>
      </c>
      <c r="E51" s="152">
        <v>18538.071</v>
      </c>
      <c r="F51" s="152">
        <v>11273.481864499998</v>
      </c>
      <c r="G51" s="152">
        <v>4824.0998959000008</v>
      </c>
      <c r="H51" s="152">
        <v>7991.0891993394935</v>
      </c>
      <c r="I51" s="153">
        <f t="shared" si="1"/>
        <v>49.319158791138349</v>
      </c>
      <c r="P51" s="261"/>
      <c r="Q51" s="261"/>
      <c r="R51" s="261"/>
      <c r="S51" s="261"/>
      <c r="T51" s="261"/>
    </row>
    <row r="52" spans="2:20">
      <c r="B52" s="154" t="str">
        <f>IF(C52="E",YEAR(Dat_01!B$2)-1,"")</f>
        <v/>
      </c>
      <c r="C52" s="155" t="s">
        <v>93</v>
      </c>
      <c r="D52" s="151">
        <v>9446.2258304710394</v>
      </c>
      <c r="E52" s="152">
        <v>18538.071</v>
      </c>
      <c r="F52" s="152">
        <v>13151.183606699993</v>
      </c>
      <c r="G52" s="152">
        <v>5306.2445997000004</v>
      </c>
      <c r="H52" s="152">
        <v>8518.007405024804</v>
      </c>
      <c r="I52" s="153">
        <f t="shared" si="1"/>
        <v>50.955818598769199</v>
      </c>
      <c r="J52" s="125"/>
      <c r="K52" s="125"/>
      <c r="P52" s="261"/>
      <c r="Q52" s="261"/>
      <c r="R52" s="261"/>
      <c r="S52" s="261"/>
      <c r="T52" s="261"/>
    </row>
    <row r="53" spans="2:20">
      <c r="B53" s="154">
        <f>IF(C53="E",YEAR(Dat_01!B$2),"")</f>
        <v>2024</v>
      </c>
      <c r="C53" s="155" t="s">
        <v>94</v>
      </c>
      <c r="D53" s="151">
        <v>10688.2040657137</v>
      </c>
      <c r="E53" s="152">
        <v>18538.071</v>
      </c>
      <c r="F53" s="152">
        <v>13045.226951500001</v>
      </c>
      <c r="G53" s="152">
        <v>5495.1702926999978</v>
      </c>
      <c r="H53" s="152">
        <v>9256.8070597800142</v>
      </c>
      <c r="I53" s="153">
        <f>D53/E53*100</f>
        <v>57.655427394326523</v>
      </c>
      <c r="J53" s="125"/>
      <c r="K53" s="125"/>
    </row>
    <row r="54" spans="2:20">
      <c r="B54" s="154" t="str">
        <f>IF(C54="E",YEAR(Dat_01!B$2),"")</f>
        <v/>
      </c>
      <c r="C54" s="155" t="s">
        <v>86</v>
      </c>
      <c r="D54" s="151">
        <v>11221.4886575035</v>
      </c>
      <c r="E54" s="152">
        <v>18538.071</v>
      </c>
      <c r="F54" s="152">
        <v>13556.135233550001</v>
      </c>
      <c r="G54" s="152">
        <v>5633.2263627000011</v>
      </c>
      <c r="H54" s="152">
        <v>9899.4168212792774</v>
      </c>
      <c r="I54" s="153">
        <f>D54/E54*100</f>
        <v>60.532126872874201</v>
      </c>
      <c r="J54" s="125">
        <f>I55-I43</f>
        <v>15.238288006664249</v>
      </c>
      <c r="K54" s="125"/>
    </row>
    <row r="55" spans="2:20">
      <c r="B55" s="154" t="str">
        <f>IF(C55="E",YEAR(Dat_01!B$2),"")</f>
        <v/>
      </c>
      <c r="C55" s="155" t="s">
        <v>87</v>
      </c>
      <c r="D55" s="151">
        <v>13037.077126418901</v>
      </c>
      <c r="E55" s="152">
        <v>18538.071</v>
      </c>
      <c r="F55" s="152">
        <v>13961.2765736</v>
      </c>
      <c r="G55" s="152">
        <v>6078.193415849998</v>
      </c>
      <c r="H55" s="152">
        <v>10511.775118190948</v>
      </c>
      <c r="I55" s="153">
        <f>D55/E55*100</f>
        <v>70.325963938852652</v>
      </c>
      <c r="J55" s="125">
        <f>I55-I54</f>
        <v>9.7938370659784511</v>
      </c>
      <c r="K55" s="125"/>
    </row>
    <row r="56" spans="2:20">
      <c r="B56" s="154" t="str">
        <f>IF(C56="E",YEAR(Dat_01!B$2),"")</f>
        <v/>
      </c>
      <c r="C56" s="155" t="s">
        <v>88</v>
      </c>
      <c r="D56" s="151"/>
      <c r="E56" s="152">
        <v>18538.071</v>
      </c>
      <c r="F56" s="152">
        <v>14096.665781349997</v>
      </c>
      <c r="G56" s="152">
        <v>7320.4817357141919</v>
      </c>
      <c r="H56" s="152">
        <v>11066.351444386546</v>
      </c>
      <c r="I56" s="153"/>
      <c r="J56" s="125"/>
    </row>
    <row r="57" spans="2:20">
      <c r="B57" s="154" t="str">
        <f>IF(C57="E",YEAR(Dat_01!B$2),"")</f>
        <v/>
      </c>
      <c r="C57" s="155" t="s">
        <v>87</v>
      </c>
      <c r="D57" s="151"/>
      <c r="E57" s="152">
        <v>18538.071</v>
      </c>
      <c r="F57" s="152">
        <v>14273.023168700001</v>
      </c>
      <c r="G57" s="152">
        <v>7374.8342840723762</v>
      </c>
      <c r="H57" s="152">
        <v>11196.411789447282</v>
      </c>
      <c r="I57" s="153"/>
      <c r="J57" s="125"/>
    </row>
    <row r="58" spans="2:20">
      <c r="B58" s="154" t="str">
        <f>IF(C58="E",YEAR(Dat_01!B$2),"")</f>
        <v/>
      </c>
      <c r="C58" s="155" t="s">
        <v>89</v>
      </c>
      <c r="D58" s="151"/>
      <c r="E58" s="152">
        <v>18538.071</v>
      </c>
      <c r="F58" s="152">
        <v>14033.682326700004</v>
      </c>
      <c r="G58" s="152">
        <v>6824.7202014883251</v>
      </c>
      <c r="H58" s="152">
        <v>10706.264048059809</v>
      </c>
      <c r="I58" s="153"/>
      <c r="J58" s="125"/>
    </row>
    <row r="59" spans="2:20">
      <c r="B59" s="154" t="str">
        <f>IF(C59="E",YEAR(Dat_01!B$2),"")</f>
        <v/>
      </c>
      <c r="C59" s="155" t="s">
        <v>89</v>
      </c>
      <c r="D59" s="151"/>
      <c r="E59" s="152">
        <v>18538.071</v>
      </c>
      <c r="F59" s="152">
        <v>12637.876730299991</v>
      </c>
      <c r="G59" s="152">
        <v>5968.7575210041769</v>
      </c>
      <c r="H59" s="152">
        <v>9551.05530403394</v>
      </c>
      <c r="I59" s="153"/>
      <c r="J59" s="125"/>
    </row>
    <row r="60" spans="2:20">
      <c r="B60" s="154" t="str">
        <f>IF(C60="E",YEAR(Dat_01!B$2),"")</f>
        <v/>
      </c>
      <c r="C60" s="155" t="s">
        <v>88</v>
      </c>
      <c r="D60" s="151"/>
      <c r="E60" s="152">
        <v>18538.071</v>
      </c>
      <c r="F60" s="152">
        <v>11303.085258200004</v>
      </c>
      <c r="G60" s="152">
        <v>5213.6904483732833</v>
      </c>
      <c r="H60" s="152">
        <v>8444.0754629588773</v>
      </c>
      <c r="I60" s="153"/>
      <c r="J60" s="125"/>
    </row>
    <row r="61" spans="2:20">
      <c r="B61" s="154" t="str">
        <f>IF(C61="E",YEAR(Dat_01!B$2),"")</f>
        <v/>
      </c>
      <c r="C61" s="155" t="s">
        <v>90</v>
      </c>
      <c r="D61" s="151"/>
      <c r="E61" s="152">
        <v>18538.071</v>
      </c>
      <c r="F61" s="152">
        <v>10503.954605199997</v>
      </c>
      <c r="G61" s="152">
        <v>4801.527965628522</v>
      </c>
      <c r="H61" s="152">
        <v>7672.7940631912497</v>
      </c>
      <c r="I61" s="153"/>
      <c r="J61" s="125"/>
    </row>
    <row r="62" spans="2:20">
      <c r="B62" s="154" t="str">
        <f>IF(C62="E",YEAR(Dat_01!B$2),"")</f>
        <v/>
      </c>
      <c r="C62" s="155" t="s">
        <v>91</v>
      </c>
      <c r="D62" s="151"/>
      <c r="E62" s="152">
        <v>18538.071</v>
      </c>
      <c r="F62" s="152">
        <v>10198.405590699997</v>
      </c>
      <c r="G62" s="152">
        <v>4538.6333860624027</v>
      </c>
      <c r="H62" s="152">
        <v>7534.5096632163304</v>
      </c>
      <c r="I62" s="153"/>
      <c r="J62" s="125"/>
    </row>
    <row r="63" spans="2:20">
      <c r="B63" s="154" t="str">
        <f>IF(C63="E",YEAR(Dat_01!B$2),"")</f>
        <v/>
      </c>
      <c r="C63" s="155" t="s">
        <v>92</v>
      </c>
      <c r="D63" s="151"/>
      <c r="E63" s="152">
        <v>18538.071</v>
      </c>
      <c r="F63" s="152">
        <v>11298.787227399998</v>
      </c>
      <c r="G63" s="152">
        <v>4803.1739069499999</v>
      </c>
      <c r="H63" s="152">
        <v>7935.87371500469</v>
      </c>
      <c r="I63" s="153"/>
      <c r="J63" s="125"/>
      <c r="K63" s="125"/>
    </row>
    <row r="64" spans="2:20">
      <c r="B64" s="154" t="str">
        <f>IF(C64="E",YEAR(Dat_01!B$2),"")</f>
        <v/>
      </c>
      <c r="C64" s="155" t="s">
        <v>93</v>
      </c>
      <c r="D64" s="151"/>
      <c r="E64" s="152">
        <v>18538.071</v>
      </c>
      <c r="F64" s="152">
        <v>13090.208641149995</v>
      </c>
      <c r="G64" s="152">
        <v>5281.5086990000018</v>
      </c>
      <c r="H64" s="152">
        <v>8466.130292548356</v>
      </c>
      <c r="I64" s="153"/>
      <c r="J64" s="125"/>
      <c r="K64" s="125"/>
    </row>
    <row r="65" spans="2:11">
      <c r="B65" s="154"/>
      <c r="C65" s="155"/>
      <c r="D65" s="152"/>
      <c r="E65" s="152"/>
      <c r="F65" s="152"/>
      <c r="G65" s="152"/>
      <c r="H65" s="152"/>
      <c r="I65" s="153"/>
      <c r="J65" s="125"/>
    </row>
    <row r="67" spans="2:11">
      <c r="B67" s="236" t="str">
        <f>CONCATENATE("Reservas hidroeléctricas a ",TEXT(DATEVALUE(MID(Dat_01!B2,1,10)),"dd")," de ",TEXT(DATEVALUE(MID(Dat_01!B2,1,10)),"mmmm")," de ",TEXT(DATEVALUE(MID(Dat_01!B2,1,10)),"aaaa")," por cuencas")</f>
        <v>Reservas hidroeléctricas a 31 de marzo de 2024 por cuencas</v>
      </c>
      <c r="C67" s="237"/>
      <c r="D67" s="237"/>
      <c r="E67" s="237"/>
      <c r="F67" s="237"/>
      <c r="G67" s="115"/>
      <c r="H67" s="115"/>
    </row>
    <row r="68" spans="2:11">
      <c r="B68" s="116"/>
      <c r="C68" s="330" t="s">
        <v>53</v>
      </c>
      <c r="D68" s="330" t="s">
        <v>53</v>
      </c>
      <c r="E68" s="116"/>
      <c r="F68" s="330" t="s">
        <v>42</v>
      </c>
      <c r="G68" s="330"/>
      <c r="H68" s="330" t="s">
        <v>43</v>
      </c>
      <c r="I68" s="330"/>
      <c r="J68" s="330" t="s">
        <v>44</v>
      </c>
      <c r="K68" s="330"/>
    </row>
    <row r="69" spans="2:11">
      <c r="B69" s="117"/>
      <c r="C69" s="118" t="s">
        <v>42</v>
      </c>
      <c r="D69" s="118" t="s">
        <v>43</v>
      </c>
      <c r="E69" s="118" t="s">
        <v>80</v>
      </c>
      <c r="F69" s="119" t="s">
        <v>40</v>
      </c>
      <c r="G69" s="118" t="s">
        <v>45</v>
      </c>
      <c r="H69" s="119" t="s">
        <v>40</v>
      </c>
      <c r="I69" s="118" t="s">
        <v>45</v>
      </c>
      <c r="J69" s="119" t="s">
        <v>40</v>
      </c>
      <c r="K69" s="118" t="s">
        <v>45</v>
      </c>
    </row>
    <row r="70" spans="2:11">
      <c r="B70" s="120" t="s">
        <v>46</v>
      </c>
      <c r="C70" s="121">
        <v>2546.8180000000002</v>
      </c>
      <c r="D70" s="121">
        <v>909.476</v>
      </c>
      <c r="E70" s="238">
        <v>5252.6595566666665</v>
      </c>
      <c r="F70" s="239">
        <f>G70/C70</f>
        <v>0.82896278010568458</v>
      </c>
      <c r="G70" s="238">
        <v>2111.2173297031995</v>
      </c>
      <c r="H70" s="239">
        <f>I70/D70</f>
        <v>0.98134511536574132</v>
      </c>
      <c r="I70" s="238">
        <v>892.50983014237295</v>
      </c>
      <c r="J70" s="144">
        <f>K70/SUM(C70:D70)</f>
        <v>0.86906008570034043</v>
      </c>
      <c r="K70" s="121">
        <f t="shared" ref="K70:K75" si="2">SUM(G70,I70)</f>
        <v>3003.7271598455727</v>
      </c>
    </row>
    <row r="71" spans="2:11">
      <c r="B71" s="120" t="s">
        <v>47</v>
      </c>
      <c r="C71" s="121">
        <v>1681</v>
      </c>
      <c r="D71" s="121">
        <v>3120.6</v>
      </c>
      <c r="E71" s="238">
        <v>4077.7992333333332</v>
      </c>
      <c r="F71" s="239">
        <f>G71/C71</f>
        <v>0.81593020227716961</v>
      </c>
      <c r="G71" s="238">
        <v>1371.578670027922</v>
      </c>
      <c r="H71" s="239">
        <f t="shared" ref="H71:H75" si="3">I71/D71</f>
        <v>0.89951056832585263</v>
      </c>
      <c r="I71" s="238">
        <v>2807.0126795176557</v>
      </c>
      <c r="J71" s="144">
        <f t="shared" ref="J71:J75" si="4">K71/SUM(C71:D71)</f>
        <v>0.87024978122825258</v>
      </c>
      <c r="K71" s="121">
        <f t="shared" si="2"/>
        <v>4178.5913495455779</v>
      </c>
    </row>
    <row r="72" spans="2:11">
      <c r="B72" s="120" t="s">
        <v>48</v>
      </c>
      <c r="C72" s="121">
        <v>2424.9229999999998</v>
      </c>
      <c r="D72" s="121">
        <v>3791.8719999999998</v>
      </c>
      <c r="E72" s="238">
        <v>3557.7104000000004</v>
      </c>
      <c r="F72" s="239">
        <f>G72/C72</f>
        <v>0.79126365281542721</v>
      </c>
      <c r="G72" s="238">
        <v>1918.7534307761441</v>
      </c>
      <c r="H72" s="239">
        <f t="shared" si="3"/>
        <v>0.50783323944325243</v>
      </c>
      <c r="I72" s="238">
        <v>1925.6386413141643</v>
      </c>
      <c r="J72" s="144">
        <f t="shared" si="4"/>
        <v>0.61838810385259746</v>
      </c>
      <c r="K72" s="121">
        <f t="shared" si="2"/>
        <v>3844.3920720903084</v>
      </c>
    </row>
    <row r="73" spans="2:11">
      <c r="B73" s="120" t="s">
        <v>49</v>
      </c>
      <c r="C73" s="121"/>
      <c r="D73" s="121">
        <v>835.14400000000001</v>
      </c>
      <c r="E73" s="238">
        <v>195.78800000000001</v>
      </c>
      <c r="F73" s="239" t="s">
        <v>18</v>
      </c>
      <c r="G73" s="238" t="s">
        <v>18</v>
      </c>
      <c r="H73" s="239">
        <f t="shared" si="3"/>
        <v>0.26110792024745894</v>
      </c>
      <c r="I73" s="238">
        <v>218.06271294714384</v>
      </c>
      <c r="J73" s="144">
        <f t="shared" si="4"/>
        <v>0.26110792024745894</v>
      </c>
      <c r="K73" s="121">
        <f t="shared" si="2"/>
        <v>218.06271294714384</v>
      </c>
    </row>
    <row r="74" spans="2:11">
      <c r="B74" s="120" t="s">
        <v>50</v>
      </c>
      <c r="C74" s="121">
        <v>180.3</v>
      </c>
      <c r="D74" s="121">
        <v>669.1</v>
      </c>
      <c r="E74" s="238">
        <v>609.78800000000001</v>
      </c>
      <c r="F74" s="239">
        <f>G74/C74</f>
        <v>0.69866844025284558</v>
      </c>
      <c r="G74" s="238">
        <v>125.96991977758807</v>
      </c>
      <c r="H74" s="239">
        <f t="shared" si="3"/>
        <v>0.2015817967553768</v>
      </c>
      <c r="I74" s="238">
        <v>134.87838020902262</v>
      </c>
      <c r="J74" s="144">
        <f t="shared" si="4"/>
        <v>0.30709712736827249</v>
      </c>
      <c r="K74" s="121">
        <f t="shared" si="2"/>
        <v>260.8482999866107</v>
      </c>
    </row>
    <row r="75" spans="2:11">
      <c r="B75" s="120" t="s">
        <v>51</v>
      </c>
      <c r="C75" s="121">
        <v>2133.8380000000002</v>
      </c>
      <c r="D75" s="121">
        <v>245</v>
      </c>
      <c r="E75" s="238">
        <v>3402.1428400000004</v>
      </c>
      <c r="F75" s="239">
        <f>G75/C75</f>
        <v>0.67087122368766128</v>
      </c>
      <c r="G75" s="238">
        <v>1431.5305102112318</v>
      </c>
      <c r="H75" s="239">
        <f t="shared" si="3"/>
        <v>0.40785723180576461</v>
      </c>
      <c r="I75" s="238">
        <v>99.925021792412323</v>
      </c>
      <c r="J75" s="144">
        <f t="shared" si="4"/>
        <v>0.64378302852217928</v>
      </c>
      <c r="K75" s="121">
        <f t="shared" si="2"/>
        <v>1531.4555320036441</v>
      </c>
    </row>
    <row r="76" spans="2:11">
      <c r="B76" s="117" t="s">
        <v>52</v>
      </c>
      <c r="C76" s="122">
        <f>SUM(C70:C75)</f>
        <v>8966.8790000000008</v>
      </c>
      <c r="D76" s="122">
        <f>SUM(D70:D75)</f>
        <v>9571.1920000000009</v>
      </c>
      <c r="E76" s="122">
        <f>SUM(E70:E75)</f>
        <v>17095.888030000002</v>
      </c>
      <c r="F76" s="240">
        <f>G76/C76</f>
        <v>0.77608383702914752</v>
      </c>
      <c r="G76" s="122">
        <f>SUM(G70:G75)</f>
        <v>6959.0498604960858</v>
      </c>
      <c r="H76" s="240">
        <f>I76/D76</f>
        <v>0.63503346980425979</v>
      </c>
      <c r="I76" s="122">
        <f>SUM(I70:I75)</f>
        <v>6078.027265922773</v>
      </c>
      <c r="J76" s="145">
        <f>ROUND(K76/SUM(C76:D76),4)</f>
        <v>0.70330000000000004</v>
      </c>
      <c r="K76" s="122">
        <f>SUM(K70:K75)</f>
        <v>13037.077126418855</v>
      </c>
    </row>
    <row r="79" spans="2:11">
      <c r="B79" s="104" t="str">
        <f>TEXT(CONCATENATE(TEXT(Dat_01!B2,"dd de mm de aaaa")),"@")</f>
        <v>31 312024 03 312024 2024</v>
      </c>
    </row>
    <row r="80" spans="2:11">
      <c r="B80" s="218" t="str">
        <f>CONCATENATE("Reservas hidroeléctricas a ",TEXT(DATEVALUE(MID(Dat_01!B2,1,10)),"dd")," de ",TEXT(DATEVALUE(MID(Dat_01!B2,1,10)),"mmmm")," de ",TEXT(DATEVALUE(MID(Dat_01!B2,1,10)),"aaaa")," por cuencas")</f>
        <v>Reservas hidroeléctricas a 31 de marzo de 2024 por cuencas</v>
      </c>
    </row>
  </sheetData>
  <mergeCells count="5">
    <mergeCell ref="J68:K68"/>
    <mergeCell ref="F3:H3"/>
    <mergeCell ref="C68:D68"/>
    <mergeCell ref="F68:G68"/>
    <mergeCell ref="H68:I68"/>
  </mergeCells>
  <pageMargins left="0.7" right="0.7" top="0.75" bottom="0.75" header="0.3" footer="0.3"/>
  <pageSetup paperSize="9" orientation="portrait" r:id="rId1"/>
  <ignoredErrors>
    <ignoredError sqref="J71:J75" formulaRange="1"/>
    <ignoredError sqref="F76" formula="1"/>
  </ignoredError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767607-43F1-46CF-AE52-758A88313730}">
  <sheetPr codeName="Hoja25"/>
  <dimension ref="A1:I804"/>
  <sheetViews>
    <sheetView workbookViewId="0">
      <selection activeCell="B2" sqref="B2"/>
    </sheetView>
  </sheetViews>
  <sheetFormatPr baseColWidth="10" defaultColWidth="11.42578125" defaultRowHeight="15"/>
  <cols>
    <col min="1" max="1" width="11.42578125" style="255"/>
    <col min="2" max="2" width="12.5703125" style="255" bestFit="1" customWidth="1"/>
    <col min="3" max="7" width="11.42578125" style="255"/>
    <col min="8" max="8" width="11.5703125" style="255" bestFit="1" customWidth="1"/>
    <col min="9" max="21" width="11.42578125" style="255"/>
    <col min="22" max="22" width="11.42578125" style="255" customWidth="1"/>
    <col min="23" max="28" width="11.42578125" style="255"/>
    <col min="29" max="29" width="11.5703125" style="255" bestFit="1" customWidth="1"/>
    <col min="30" max="16384" width="11.42578125" style="255"/>
  </cols>
  <sheetData>
    <row r="1" spans="1:9" ht="60">
      <c r="B1" s="254" t="s">
        <v>141</v>
      </c>
      <c r="C1" s="254" t="s">
        <v>172</v>
      </c>
      <c r="D1" s="301" t="s">
        <v>255</v>
      </c>
    </row>
    <row r="2" spans="1:9">
      <c r="A2" s="255">
        <v>0</v>
      </c>
      <c r="B2" s="256">
        <v>44621</v>
      </c>
      <c r="C2" s="257">
        <v>123.076035</v>
      </c>
      <c r="D2" s="258">
        <v>207.68402057219242</v>
      </c>
      <c r="E2" s="257">
        <f>IF(C2&gt;D2,D2,C2)</f>
        <v>123.076035</v>
      </c>
      <c r="F2" s="260">
        <f>YEAR(B2)</f>
        <v>2022</v>
      </c>
      <c r="G2" s="190" t="str">
        <f>IF(DAY(B2)=15,IF(MONTH(B2)=1,"E",IF(MONTH(B2)=2,"F",IF(MONTH(B2)=3,"M",IF(MONTH(B2)=4,"A",IF(MONTH(B2)=5,"M",IF(MONTH(B2)=6,"J",IF(MONTH(B2)=7,"J",IF(MONTH(B2)=8,"A",IF(MONTH(B2)=9,"S",IF(MONTH(B2)=10,"O",IF(MONTH(B2)=11,"N",IF(MONTH(B2)=12,"D","")))))))))))),"")</f>
        <v/>
      </c>
      <c r="H2" s="259" t="str">
        <f>IF(DAY($B2)=15,TEXT(D2,"#,0"),"")</f>
        <v/>
      </c>
      <c r="I2" s="260"/>
    </row>
    <row r="3" spans="1:9">
      <c r="A3" s="255">
        <f>+A2+1</f>
        <v>1</v>
      </c>
      <c r="B3" s="256">
        <v>44622</v>
      </c>
      <c r="C3" s="257">
        <v>183.63743299999999</v>
      </c>
      <c r="D3" s="258">
        <v>207.68402057219242</v>
      </c>
      <c r="E3" s="257">
        <f t="shared" ref="E3:E66" si="0">IF(C3&gt;D3,D3,C3)</f>
        <v>183.63743299999999</v>
      </c>
      <c r="F3" s="263"/>
      <c r="G3" s="190" t="str">
        <f t="shared" ref="G3:G66" si="1">IF(DAY(B3)=15,IF(MONTH(B3)=1,"E",IF(MONTH(B3)=2,"F",IF(MONTH(B3)=3,"M",IF(MONTH(B3)=4,"A",IF(MONTH(B3)=5,"M",IF(MONTH(B3)=6,"J",IF(MONTH(B3)=7,"J",IF(MONTH(B3)=8,"A",IF(MONTH(B3)=9,"S",IF(MONTH(B3)=10,"O",IF(MONTH(B3)=11,"N",IF(MONTH(B3)=12,"D","")))))))))))),"")</f>
        <v/>
      </c>
      <c r="H3" s="259" t="str">
        <f t="shared" ref="H3:H66" si="2">IF(DAY($B3)=15,TEXT(D3,"#,0"),"")</f>
        <v/>
      </c>
      <c r="I3" s="260"/>
    </row>
    <row r="4" spans="1:9">
      <c r="A4" s="255">
        <f t="shared" ref="A4:A67" si="3">+A3+1</f>
        <v>2</v>
      </c>
      <c r="B4" s="256">
        <v>44623</v>
      </c>
      <c r="C4" s="257">
        <v>179.32466500000001</v>
      </c>
      <c r="D4" s="258">
        <v>207.68402057219242</v>
      </c>
      <c r="E4" s="257">
        <f t="shared" si="0"/>
        <v>179.32466500000001</v>
      </c>
      <c r="F4" s="263"/>
      <c r="G4" s="190" t="str">
        <f t="shared" si="1"/>
        <v/>
      </c>
      <c r="H4" s="259" t="str">
        <f t="shared" si="2"/>
        <v/>
      </c>
      <c r="I4" s="260"/>
    </row>
    <row r="5" spans="1:9">
      <c r="A5" s="255">
        <f t="shared" si="3"/>
        <v>3</v>
      </c>
      <c r="B5" s="256">
        <v>44624</v>
      </c>
      <c r="C5" s="257">
        <v>292.31094100000001</v>
      </c>
      <c r="D5" s="258">
        <v>207.68402057219242</v>
      </c>
      <c r="E5" s="257">
        <f t="shared" si="0"/>
        <v>207.68402057219242</v>
      </c>
      <c r="F5" s="263"/>
      <c r="G5" s="190" t="str">
        <f t="shared" si="1"/>
        <v/>
      </c>
      <c r="H5" s="259" t="str">
        <f t="shared" si="2"/>
        <v/>
      </c>
      <c r="I5" s="260"/>
    </row>
    <row r="6" spans="1:9">
      <c r="A6" s="255">
        <f t="shared" si="3"/>
        <v>4</v>
      </c>
      <c r="B6" s="256">
        <v>44625</v>
      </c>
      <c r="C6" s="257">
        <v>162.934877</v>
      </c>
      <c r="D6" s="258">
        <v>207.68402057219242</v>
      </c>
      <c r="E6" s="257">
        <f t="shared" si="0"/>
        <v>162.934877</v>
      </c>
      <c r="F6" s="263"/>
      <c r="G6" s="190" t="str">
        <f t="shared" si="1"/>
        <v/>
      </c>
      <c r="H6" s="259" t="str">
        <f t="shared" si="2"/>
        <v/>
      </c>
      <c r="I6" s="260"/>
    </row>
    <row r="7" spans="1:9">
      <c r="A7" s="255">
        <f t="shared" si="3"/>
        <v>5</v>
      </c>
      <c r="B7" s="256">
        <v>44626</v>
      </c>
      <c r="C7" s="257">
        <v>130.44913199999999</v>
      </c>
      <c r="D7" s="258">
        <v>207.68402057219242</v>
      </c>
      <c r="E7" s="257">
        <f t="shared" si="0"/>
        <v>130.44913199999999</v>
      </c>
      <c r="F7" s="263"/>
      <c r="G7" s="190" t="str">
        <f t="shared" si="1"/>
        <v/>
      </c>
      <c r="H7" s="259" t="str">
        <f t="shared" si="2"/>
        <v/>
      </c>
      <c r="I7" s="260"/>
    </row>
    <row r="8" spans="1:9">
      <c r="A8" s="255">
        <f t="shared" si="3"/>
        <v>6</v>
      </c>
      <c r="B8" s="256">
        <v>44627</v>
      </c>
      <c r="C8" s="257">
        <v>102.770679</v>
      </c>
      <c r="D8" s="258">
        <v>207.68402057219242</v>
      </c>
      <c r="E8" s="257">
        <f t="shared" si="0"/>
        <v>102.770679</v>
      </c>
      <c r="F8" s="263"/>
      <c r="G8" s="190" t="str">
        <f t="shared" si="1"/>
        <v/>
      </c>
      <c r="H8" s="259" t="str">
        <f t="shared" si="2"/>
        <v/>
      </c>
      <c r="I8" s="260"/>
    </row>
    <row r="9" spans="1:9">
      <c r="A9" s="255">
        <f t="shared" si="3"/>
        <v>7</v>
      </c>
      <c r="B9" s="256">
        <v>44628</v>
      </c>
      <c r="C9" s="257">
        <v>168.05848699999999</v>
      </c>
      <c r="D9" s="258">
        <v>207.68402057219242</v>
      </c>
      <c r="E9" s="257">
        <f t="shared" si="0"/>
        <v>168.05848699999999</v>
      </c>
      <c r="F9" s="263"/>
      <c r="G9" s="190" t="str">
        <f t="shared" si="1"/>
        <v/>
      </c>
      <c r="H9" s="259" t="str">
        <f t="shared" si="2"/>
        <v/>
      </c>
      <c r="I9" s="260"/>
    </row>
    <row r="10" spans="1:9">
      <c r="A10" s="255">
        <f t="shared" si="3"/>
        <v>8</v>
      </c>
      <c r="B10" s="256">
        <v>44629</v>
      </c>
      <c r="C10" s="257">
        <v>159.07691999999997</v>
      </c>
      <c r="D10" s="258">
        <v>207.68402057219242</v>
      </c>
      <c r="E10" s="257">
        <f t="shared" si="0"/>
        <v>159.07691999999997</v>
      </c>
      <c r="F10" s="263"/>
      <c r="G10" s="190" t="str">
        <f t="shared" si="1"/>
        <v/>
      </c>
      <c r="H10" s="259" t="str">
        <f t="shared" si="2"/>
        <v/>
      </c>
      <c r="I10" s="260"/>
    </row>
    <row r="11" spans="1:9">
      <c r="A11" s="255">
        <f t="shared" si="3"/>
        <v>9</v>
      </c>
      <c r="B11" s="256">
        <v>44630</v>
      </c>
      <c r="C11" s="257">
        <v>200.95546599999997</v>
      </c>
      <c r="D11" s="258">
        <v>207.68402057219242</v>
      </c>
      <c r="E11" s="257">
        <f t="shared" si="0"/>
        <v>200.95546599999997</v>
      </c>
      <c r="F11" s="263"/>
      <c r="G11" s="190" t="str">
        <f t="shared" si="1"/>
        <v/>
      </c>
      <c r="H11" s="259" t="str">
        <f t="shared" si="2"/>
        <v/>
      </c>
      <c r="I11" s="260"/>
    </row>
    <row r="12" spans="1:9">
      <c r="A12" s="255">
        <f t="shared" si="3"/>
        <v>10</v>
      </c>
      <c r="B12" s="256">
        <v>44631</v>
      </c>
      <c r="C12" s="257">
        <v>249.45703199999997</v>
      </c>
      <c r="D12" s="258">
        <v>207.68402057219242</v>
      </c>
      <c r="E12" s="257">
        <f t="shared" si="0"/>
        <v>207.68402057219242</v>
      </c>
      <c r="F12" s="263"/>
      <c r="G12" s="190" t="str">
        <f t="shared" si="1"/>
        <v/>
      </c>
      <c r="H12" s="259" t="str">
        <f t="shared" si="2"/>
        <v/>
      </c>
      <c r="I12" s="260"/>
    </row>
    <row r="13" spans="1:9">
      <c r="A13" s="255">
        <f t="shared" si="3"/>
        <v>11</v>
      </c>
      <c r="B13" s="256">
        <v>44632</v>
      </c>
      <c r="C13" s="257">
        <v>232.19109800000001</v>
      </c>
      <c r="D13" s="258">
        <v>207.68402057219242</v>
      </c>
      <c r="E13" s="257">
        <f t="shared" si="0"/>
        <v>207.68402057219242</v>
      </c>
      <c r="F13" s="263"/>
      <c r="G13" s="190" t="str">
        <f t="shared" si="1"/>
        <v/>
      </c>
      <c r="H13" s="259" t="str">
        <f t="shared" si="2"/>
        <v/>
      </c>
      <c r="I13" s="260"/>
    </row>
    <row r="14" spans="1:9">
      <c r="A14" s="255">
        <f t="shared" si="3"/>
        <v>12</v>
      </c>
      <c r="B14" s="256">
        <v>44633</v>
      </c>
      <c r="C14" s="257">
        <v>162.96980499999998</v>
      </c>
      <c r="D14" s="258">
        <v>207.68402057219242</v>
      </c>
      <c r="E14" s="257">
        <f t="shared" si="0"/>
        <v>162.96980499999998</v>
      </c>
      <c r="F14" s="263"/>
      <c r="G14" s="190" t="str">
        <f t="shared" si="1"/>
        <v/>
      </c>
      <c r="H14" s="259" t="str">
        <f t="shared" si="2"/>
        <v/>
      </c>
      <c r="I14" s="260"/>
    </row>
    <row r="15" spans="1:9">
      <c r="A15" s="255">
        <f t="shared" si="3"/>
        <v>13</v>
      </c>
      <c r="B15" s="256">
        <v>44634</v>
      </c>
      <c r="C15" s="257">
        <v>357.43958999999995</v>
      </c>
      <c r="D15" s="258">
        <v>207.68402057219242</v>
      </c>
      <c r="E15" s="257">
        <f t="shared" si="0"/>
        <v>207.68402057219242</v>
      </c>
      <c r="F15" s="263"/>
      <c r="G15" s="190" t="str">
        <f t="shared" si="1"/>
        <v/>
      </c>
      <c r="H15" s="259" t="str">
        <f t="shared" si="2"/>
        <v/>
      </c>
      <c r="I15" s="260"/>
    </row>
    <row r="16" spans="1:9">
      <c r="A16" s="255">
        <f t="shared" si="3"/>
        <v>14</v>
      </c>
      <c r="B16" s="256">
        <v>44635</v>
      </c>
      <c r="C16" s="257">
        <v>324.42632000000003</v>
      </c>
      <c r="D16" s="258">
        <v>207.68402057219242</v>
      </c>
      <c r="E16" s="257">
        <f t="shared" si="0"/>
        <v>207.68402057219242</v>
      </c>
      <c r="F16" s="263"/>
      <c r="G16" s="190" t="str">
        <f t="shared" si="1"/>
        <v>M</v>
      </c>
      <c r="H16" s="259" t="str">
        <f t="shared" si="2"/>
        <v>207,7</v>
      </c>
      <c r="I16" s="260"/>
    </row>
    <row r="17" spans="1:9">
      <c r="A17" s="255">
        <f t="shared" si="3"/>
        <v>15</v>
      </c>
      <c r="B17" s="256">
        <v>44636</v>
      </c>
      <c r="C17" s="257">
        <v>205.35807499999999</v>
      </c>
      <c r="D17" s="258">
        <v>207.68402057219242</v>
      </c>
      <c r="E17" s="257">
        <f t="shared" si="0"/>
        <v>205.35807499999999</v>
      </c>
      <c r="F17" s="263"/>
      <c r="G17" s="190" t="str">
        <f t="shared" si="1"/>
        <v/>
      </c>
      <c r="H17" s="259" t="str">
        <f t="shared" si="2"/>
        <v/>
      </c>
      <c r="I17" s="190"/>
    </row>
    <row r="18" spans="1:9">
      <c r="A18" s="255">
        <f t="shared" si="3"/>
        <v>16</v>
      </c>
      <c r="B18" s="256">
        <v>44637</v>
      </c>
      <c r="C18" s="257">
        <v>392.84091699999999</v>
      </c>
      <c r="D18" s="258">
        <v>207.68402057219242</v>
      </c>
      <c r="E18" s="257">
        <f t="shared" si="0"/>
        <v>207.68402057219242</v>
      </c>
      <c r="F18" s="263"/>
      <c r="G18" s="190" t="str">
        <f t="shared" si="1"/>
        <v/>
      </c>
      <c r="H18" s="259" t="str">
        <f t="shared" si="2"/>
        <v/>
      </c>
      <c r="I18" s="260"/>
    </row>
    <row r="19" spans="1:9">
      <c r="A19" s="255">
        <f t="shared" si="3"/>
        <v>17</v>
      </c>
      <c r="B19" s="256">
        <v>44638</v>
      </c>
      <c r="C19" s="257">
        <v>202.779516</v>
      </c>
      <c r="D19" s="258">
        <v>207.68402057219242</v>
      </c>
      <c r="E19" s="257">
        <f t="shared" si="0"/>
        <v>202.779516</v>
      </c>
      <c r="F19" s="263"/>
      <c r="G19" s="190" t="str">
        <f t="shared" si="1"/>
        <v/>
      </c>
      <c r="H19" s="259" t="str">
        <f t="shared" si="2"/>
        <v/>
      </c>
      <c r="I19" s="260"/>
    </row>
    <row r="20" spans="1:9">
      <c r="A20" s="255">
        <f t="shared" si="3"/>
        <v>18</v>
      </c>
      <c r="B20" s="256">
        <v>44639</v>
      </c>
      <c r="C20" s="257">
        <v>138.54991699999999</v>
      </c>
      <c r="D20" s="258">
        <v>207.68402057219242</v>
      </c>
      <c r="E20" s="257">
        <f t="shared" si="0"/>
        <v>138.54991699999999</v>
      </c>
      <c r="F20" s="263"/>
      <c r="G20" s="190" t="str">
        <f t="shared" si="1"/>
        <v/>
      </c>
      <c r="H20" s="259" t="str">
        <f t="shared" si="2"/>
        <v/>
      </c>
      <c r="I20" s="260"/>
    </row>
    <row r="21" spans="1:9">
      <c r="A21" s="255">
        <f t="shared" si="3"/>
        <v>19</v>
      </c>
      <c r="B21" s="256">
        <v>44640</v>
      </c>
      <c r="C21" s="257">
        <v>238.58092800000003</v>
      </c>
      <c r="D21" s="258">
        <v>207.68402057219242</v>
      </c>
      <c r="E21" s="257">
        <f t="shared" si="0"/>
        <v>207.68402057219242</v>
      </c>
      <c r="F21" s="263"/>
      <c r="G21" s="190" t="str">
        <f t="shared" si="1"/>
        <v/>
      </c>
      <c r="H21" s="259" t="str">
        <f t="shared" si="2"/>
        <v/>
      </c>
      <c r="I21" s="260"/>
    </row>
    <row r="22" spans="1:9">
      <c r="A22" s="255">
        <f t="shared" si="3"/>
        <v>20</v>
      </c>
      <c r="B22" s="256">
        <v>44641</v>
      </c>
      <c r="C22" s="257">
        <v>284.60412500000001</v>
      </c>
      <c r="D22" s="258">
        <v>207.68402057219242</v>
      </c>
      <c r="E22" s="257">
        <f t="shared" si="0"/>
        <v>207.68402057219242</v>
      </c>
      <c r="F22" s="263"/>
      <c r="G22" s="190" t="str">
        <f t="shared" si="1"/>
        <v/>
      </c>
      <c r="H22" s="259" t="str">
        <f t="shared" si="2"/>
        <v/>
      </c>
      <c r="I22" s="260"/>
    </row>
    <row r="23" spans="1:9">
      <c r="A23" s="255">
        <f t="shared" si="3"/>
        <v>21</v>
      </c>
      <c r="B23" s="256">
        <v>44642</v>
      </c>
      <c r="C23" s="257">
        <v>306.63833500000004</v>
      </c>
      <c r="D23" s="258">
        <v>207.68402057219242</v>
      </c>
      <c r="E23" s="257">
        <f t="shared" si="0"/>
        <v>207.68402057219242</v>
      </c>
      <c r="F23" s="263"/>
      <c r="G23" s="190" t="str">
        <f t="shared" si="1"/>
        <v/>
      </c>
      <c r="H23" s="259" t="str">
        <f t="shared" si="2"/>
        <v/>
      </c>
      <c r="I23" s="260"/>
    </row>
    <row r="24" spans="1:9">
      <c r="A24" s="255">
        <f t="shared" si="3"/>
        <v>22</v>
      </c>
      <c r="B24" s="256">
        <v>44643</v>
      </c>
      <c r="C24" s="257">
        <v>278.91939000000002</v>
      </c>
      <c r="D24" s="258">
        <v>207.68402057219242</v>
      </c>
      <c r="E24" s="257">
        <f t="shared" si="0"/>
        <v>207.68402057219242</v>
      </c>
      <c r="F24" s="263"/>
      <c r="G24" s="190" t="str">
        <f t="shared" si="1"/>
        <v/>
      </c>
      <c r="H24" s="259" t="str">
        <f t="shared" si="2"/>
        <v/>
      </c>
      <c r="I24" s="260"/>
    </row>
    <row r="25" spans="1:9">
      <c r="A25" s="255">
        <f t="shared" si="3"/>
        <v>23</v>
      </c>
      <c r="B25" s="256">
        <v>44644</v>
      </c>
      <c r="C25" s="257">
        <v>226.11690900000002</v>
      </c>
      <c r="D25" s="258">
        <v>207.68402057219242</v>
      </c>
      <c r="E25" s="257">
        <f t="shared" si="0"/>
        <v>207.68402057219242</v>
      </c>
      <c r="F25" s="263"/>
      <c r="G25" s="190" t="str">
        <f t="shared" si="1"/>
        <v/>
      </c>
      <c r="H25" s="259" t="str">
        <f t="shared" si="2"/>
        <v/>
      </c>
      <c r="I25" s="260"/>
    </row>
    <row r="26" spans="1:9">
      <c r="A26" s="255">
        <f t="shared" si="3"/>
        <v>24</v>
      </c>
      <c r="B26" s="256">
        <v>44645</v>
      </c>
      <c r="C26" s="257">
        <v>186.887046</v>
      </c>
      <c r="D26" s="258">
        <v>207.68402057219242</v>
      </c>
      <c r="E26" s="257">
        <f t="shared" si="0"/>
        <v>186.887046</v>
      </c>
      <c r="F26" s="263"/>
      <c r="G26" s="190" t="str">
        <f t="shared" si="1"/>
        <v/>
      </c>
      <c r="H26" s="259" t="str">
        <f t="shared" si="2"/>
        <v/>
      </c>
      <c r="I26" s="260"/>
    </row>
    <row r="27" spans="1:9">
      <c r="A27" s="255">
        <f t="shared" si="3"/>
        <v>25</v>
      </c>
      <c r="B27" s="256">
        <v>44646</v>
      </c>
      <c r="C27" s="257">
        <v>115.53608800000001</v>
      </c>
      <c r="D27" s="258">
        <v>207.68402057219242</v>
      </c>
      <c r="E27" s="257">
        <f t="shared" si="0"/>
        <v>115.53608800000001</v>
      </c>
      <c r="F27" s="263"/>
      <c r="G27" s="190" t="str">
        <f t="shared" si="1"/>
        <v/>
      </c>
      <c r="H27" s="259" t="str">
        <f t="shared" si="2"/>
        <v/>
      </c>
      <c r="I27" s="260"/>
    </row>
    <row r="28" spans="1:9">
      <c r="A28" s="255">
        <f t="shared" si="3"/>
        <v>26</v>
      </c>
      <c r="B28" s="256">
        <v>44647</v>
      </c>
      <c r="C28" s="257">
        <v>115.393586</v>
      </c>
      <c r="D28" s="258">
        <v>207.68402057219242</v>
      </c>
      <c r="E28" s="257">
        <f t="shared" si="0"/>
        <v>115.393586</v>
      </c>
      <c r="F28" s="263"/>
      <c r="G28" s="190" t="str">
        <f t="shared" si="1"/>
        <v/>
      </c>
      <c r="H28" s="259" t="str">
        <f t="shared" si="2"/>
        <v/>
      </c>
      <c r="I28" s="260"/>
    </row>
    <row r="29" spans="1:9">
      <c r="A29" s="255">
        <f t="shared" si="3"/>
        <v>27</v>
      </c>
      <c r="B29" s="256">
        <v>44648</v>
      </c>
      <c r="C29" s="257">
        <v>172.72798699999998</v>
      </c>
      <c r="D29" s="258">
        <v>207.68402057219242</v>
      </c>
      <c r="E29" s="257">
        <f t="shared" si="0"/>
        <v>172.72798699999998</v>
      </c>
      <c r="F29" s="263"/>
      <c r="G29" s="190" t="str">
        <f t="shared" si="1"/>
        <v/>
      </c>
      <c r="H29" s="259" t="str">
        <f t="shared" si="2"/>
        <v/>
      </c>
      <c r="I29" s="260"/>
    </row>
    <row r="30" spans="1:9">
      <c r="A30" s="255">
        <f t="shared" si="3"/>
        <v>28</v>
      </c>
      <c r="B30" s="256">
        <v>44649</v>
      </c>
      <c r="C30" s="257">
        <v>64.640241000000003</v>
      </c>
      <c r="D30" s="258">
        <v>207.68402057219242</v>
      </c>
      <c r="E30" s="257">
        <f t="shared" si="0"/>
        <v>64.640241000000003</v>
      </c>
      <c r="F30" s="263"/>
      <c r="G30" s="190" t="str">
        <f t="shared" si="1"/>
        <v/>
      </c>
      <c r="H30" s="259" t="str">
        <f t="shared" si="2"/>
        <v/>
      </c>
      <c r="I30" s="260"/>
    </row>
    <row r="31" spans="1:9">
      <c r="A31" s="255">
        <f t="shared" si="3"/>
        <v>29</v>
      </c>
      <c r="B31" s="256">
        <v>44650</v>
      </c>
      <c r="C31" s="257">
        <v>184.66533900000002</v>
      </c>
      <c r="D31" s="258">
        <v>207.68402057219242</v>
      </c>
      <c r="E31" s="257">
        <f t="shared" si="0"/>
        <v>184.66533900000002</v>
      </c>
      <c r="F31" s="263"/>
      <c r="G31" s="190" t="str">
        <f t="shared" si="1"/>
        <v/>
      </c>
      <c r="H31" s="259" t="str">
        <f t="shared" si="2"/>
        <v/>
      </c>
      <c r="I31" s="260"/>
    </row>
    <row r="32" spans="1:9">
      <c r="A32" s="255">
        <f t="shared" si="3"/>
        <v>30</v>
      </c>
      <c r="B32" s="256">
        <v>44651</v>
      </c>
      <c r="C32" s="257">
        <v>308.63236999999998</v>
      </c>
      <c r="D32" s="258">
        <v>207.68402057219242</v>
      </c>
      <c r="E32" s="257">
        <f t="shared" si="0"/>
        <v>207.68402057219242</v>
      </c>
      <c r="F32" s="263"/>
      <c r="G32" s="190" t="str">
        <f t="shared" si="1"/>
        <v/>
      </c>
      <c r="H32" s="259" t="str">
        <f t="shared" si="2"/>
        <v/>
      </c>
      <c r="I32" s="260"/>
    </row>
    <row r="33" spans="1:9">
      <c r="A33" s="255">
        <f t="shared" si="3"/>
        <v>31</v>
      </c>
      <c r="B33" s="256">
        <v>44652</v>
      </c>
      <c r="C33" s="257">
        <v>327.848207</v>
      </c>
      <c r="D33" s="258">
        <v>174.13791028923481</v>
      </c>
      <c r="E33" s="257">
        <f t="shared" si="0"/>
        <v>174.13791028923481</v>
      </c>
      <c r="F33" s="260"/>
      <c r="G33" s="190" t="str">
        <f t="shared" si="1"/>
        <v/>
      </c>
      <c r="H33" s="259" t="str">
        <f t="shared" si="2"/>
        <v/>
      </c>
      <c r="I33" s="260"/>
    </row>
    <row r="34" spans="1:9">
      <c r="A34" s="255">
        <f t="shared" si="3"/>
        <v>32</v>
      </c>
      <c r="B34" s="256">
        <v>44653</v>
      </c>
      <c r="C34" s="257">
        <v>259.57246299999997</v>
      </c>
      <c r="D34" s="258">
        <v>174.13791028923481</v>
      </c>
      <c r="E34" s="257">
        <f t="shared" si="0"/>
        <v>174.13791028923481</v>
      </c>
      <c r="F34" s="263"/>
      <c r="G34" s="190" t="str">
        <f t="shared" si="1"/>
        <v/>
      </c>
      <c r="H34" s="259" t="str">
        <f t="shared" si="2"/>
        <v/>
      </c>
      <c r="I34" s="260"/>
    </row>
    <row r="35" spans="1:9">
      <c r="A35" s="255">
        <f t="shared" si="3"/>
        <v>33</v>
      </c>
      <c r="B35" s="256">
        <v>44654</v>
      </c>
      <c r="C35" s="257">
        <v>247.549204</v>
      </c>
      <c r="D35" s="258">
        <v>174.13791028923481</v>
      </c>
      <c r="E35" s="257">
        <f t="shared" si="0"/>
        <v>174.13791028923481</v>
      </c>
      <c r="F35" s="263"/>
      <c r="G35" s="190" t="str">
        <f t="shared" si="1"/>
        <v/>
      </c>
      <c r="H35" s="259" t="str">
        <f t="shared" si="2"/>
        <v/>
      </c>
      <c r="I35" s="260"/>
    </row>
    <row r="36" spans="1:9">
      <c r="A36" s="255">
        <f t="shared" si="3"/>
        <v>34</v>
      </c>
      <c r="B36" s="256">
        <v>44655</v>
      </c>
      <c r="C36" s="257">
        <v>298.96183399999995</v>
      </c>
      <c r="D36" s="258">
        <v>174.13791028923481</v>
      </c>
      <c r="E36" s="257">
        <f t="shared" si="0"/>
        <v>174.13791028923481</v>
      </c>
      <c r="F36" s="263"/>
      <c r="G36" s="190" t="str">
        <f t="shared" si="1"/>
        <v/>
      </c>
      <c r="H36" s="259" t="str">
        <f t="shared" si="2"/>
        <v/>
      </c>
      <c r="I36" s="260"/>
    </row>
    <row r="37" spans="1:9">
      <c r="A37" s="255">
        <f t="shared" si="3"/>
        <v>35</v>
      </c>
      <c r="B37" s="256">
        <v>44656</v>
      </c>
      <c r="C37" s="257">
        <v>180.016738</v>
      </c>
      <c r="D37" s="258">
        <v>174.13791028923481</v>
      </c>
      <c r="E37" s="257">
        <f t="shared" si="0"/>
        <v>174.13791028923481</v>
      </c>
      <c r="F37" s="263"/>
      <c r="G37" s="190" t="str">
        <f t="shared" si="1"/>
        <v/>
      </c>
      <c r="H37" s="259" t="str">
        <f t="shared" si="2"/>
        <v/>
      </c>
      <c r="I37" s="260"/>
    </row>
    <row r="38" spans="1:9">
      <c r="A38" s="255">
        <f t="shared" si="3"/>
        <v>36</v>
      </c>
      <c r="B38" s="256">
        <v>44657</v>
      </c>
      <c r="C38" s="257">
        <v>140.25377900000001</v>
      </c>
      <c r="D38" s="258">
        <v>174.13791028923481</v>
      </c>
      <c r="E38" s="257">
        <f t="shared" si="0"/>
        <v>140.25377900000001</v>
      </c>
      <c r="F38" s="263"/>
      <c r="G38" s="190" t="str">
        <f t="shared" si="1"/>
        <v/>
      </c>
      <c r="H38" s="259" t="str">
        <f t="shared" si="2"/>
        <v/>
      </c>
      <c r="I38" s="260"/>
    </row>
    <row r="39" spans="1:9">
      <c r="A39" s="255">
        <f t="shared" si="3"/>
        <v>37</v>
      </c>
      <c r="B39" s="256">
        <v>44658</v>
      </c>
      <c r="C39" s="257">
        <v>291.23127199999999</v>
      </c>
      <c r="D39" s="258">
        <v>174.13791028923481</v>
      </c>
      <c r="E39" s="257">
        <f t="shared" si="0"/>
        <v>174.13791028923481</v>
      </c>
      <c r="F39" s="263"/>
      <c r="G39" s="190" t="str">
        <f t="shared" si="1"/>
        <v/>
      </c>
      <c r="H39" s="259" t="str">
        <f t="shared" si="2"/>
        <v/>
      </c>
      <c r="I39" s="260"/>
    </row>
    <row r="40" spans="1:9">
      <c r="A40" s="255">
        <f t="shared" si="3"/>
        <v>38</v>
      </c>
      <c r="B40" s="256">
        <v>44659</v>
      </c>
      <c r="C40" s="257">
        <v>340.73474699999997</v>
      </c>
      <c r="D40" s="258">
        <v>174.13791028923481</v>
      </c>
      <c r="E40" s="257">
        <f t="shared" si="0"/>
        <v>174.13791028923481</v>
      </c>
      <c r="F40" s="263"/>
      <c r="G40" s="190" t="str">
        <f t="shared" si="1"/>
        <v/>
      </c>
      <c r="H40" s="259" t="str">
        <f t="shared" si="2"/>
        <v/>
      </c>
      <c r="I40" s="260"/>
    </row>
    <row r="41" spans="1:9">
      <c r="A41" s="255">
        <f t="shared" si="3"/>
        <v>39</v>
      </c>
      <c r="B41" s="256">
        <v>44660</v>
      </c>
      <c r="C41" s="257">
        <v>143.24871599999997</v>
      </c>
      <c r="D41" s="258">
        <v>174.13791028923481</v>
      </c>
      <c r="E41" s="257">
        <f t="shared" si="0"/>
        <v>143.24871599999997</v>
      </c>
      <c r="F41" s="263"/>
      <c r="G41" s="190" t="str">
        <f t="shared" si="1"/>
        <v/>
      </c>
      <c r="H41" s="259" t="str">
        <f t="shared" si="2"/>
        <v/>
      </c>
      <c r="I41" s="260"/>
    </row>
    <row r="42" spans="1:9">
      <c r="A42" s="255">
        <f t="shared" si="3"/>
        <v>40</v>
      </c>
      <c r="B42" s="256">
        <v>44661</v>
      </c>
      <c r="C42" s="257">
        <v>188.628028</v>
      </c>
      <c r="D42" s="258">
        <v>174.13791028923481</v>
      </c>
      <c r="E42" s="257">
        <f t="shared" si="0"/>
        <v>174.13791028923481</v>
      </c>
      <c r="F42" s="263"/>
      <c r="G42" s="190" t="str">
        <f t="shared" si="1"/>
        <v/>
      </c>
      <c r="H42" s="259" t="str">
        <f t="shared" si="2"/>
        <v/>
      </c>
      <c r="I42" s="260"/>
    </row>
    <row r="43" spans="1:9">
      <c r="A43" s="255">
        <f t="shared" si="3"/>
        <v>41</v>
      </c>
      <c r="B43" s="256">
        <v>44662</v>
      </c>
      <c r="C43" s="257">
        <v>342.304621</v>
      </c>
      <c r="D43" s="258">
        <v>174.13791028923481</v>
      </c>
      <c r="E43" s="257">
        <f t="shared" si="0"/>
        <v>174.13791028923481</v>
      </c>
      <c r="F43" s="263"/>
      <c r="G43" s="190" t="str">
        <f t="shared" si="1"/>
        <v/>
      </c>
      <c r="H43" s="259" t="str">
        <f t="shared" si="2"/>
        <v/>
      </c>
      <c r="I43" s="260"/>
    </row>
    <row r="44" spans="1:9">
      <c r="A44" s="255">
        <f t="shared" si="3"/>
        <v>42</v>
      </c>
      <c r="B44" s="256">
        <v>44663</v>
      </c>
      <c r="C44" s="257">
        <v>172.513589</v>
      </c>
      <c r="D44" s="258">
        <v>174.13791028923481</v>
      </c>
      <c r="E44" s="257">
        <f t="shared" si="0"/>
        <v>172.513589</v>
      </c>
      <c r="F44" s="263"/>
      <c r="G44" s="190" t="str">
        <f t="shared" si="1"/>
        <v/>
      </c>
      <c r="H44" s="259" t="str">
        <f t="shared" si="2"/>
        <v/>
      </c>
      <c r="I44" s="260"/>
    </row>
    <row r="45" spans="1:9">
      <c r="A45" s="255">
        <f t="shared" si="3"/>
        <v>43</v>
      </c>
      <c r="B45" s="256">
        <v>44664</v>
      </c>
      <c r="C45" s="257">
        <v>115.37458000000001</v>
      </c>
      <c r="D45" s="258">
        <v>174.13791028923481</v>
      </c>
      <c r="E45" s="257">
        <f t="shared" si="0"/>
        <v>115.37458000000001</v>
      </c>
      <c r="F45" s="263"/>
      <c r="G45" s="190" t="str">
        <f t="shared" si="1"/>
        <v/>
      </c>
      <c r="H45" s="259" t="str">
        <f t="shared" si="2"/>
        <v/>
      </c>
      <c r="I45" s="260"/>
    </row>
    <row r="46" spans="1:9">
      <c r="A46" s="255">
        <f t="shared" si="3"/>
        <v>44</v>
      </c>
      <c r="B46" s="256">
        <v>44665</v>
      </c>
      <c r="C46" s="257">
        <v>111.75668899999999</v>
      </c>
      <c r="D46" s="258">
        <v>174.13791028923481</v>
      </c>
      <c r="E46" s="257">
        <f t="shared" si="0"/>
        <v>111.75668899999999</v>
      </c>
      <c r="F46" s="263"/>
      <c r="G46" s="190" t="str">
        <f t="shared" si="1"/>
        <v/>
      </c>
      <c r="H46" s="259" t="str">
        <f t="shared" si="2"/>
        <v/>
      </c>
      <c r="I46" s="260"/>
    </row>
    <row r="47" spans="1:9">
      <c r="A47" s="255">
        <f t="shared" si="3"/>
        <v>45</v>
      </c>
      <c r="B47" s="256">
        <v>44666</v>
      </c>
      <c r="C47" s="257">
        <v>61.966009</v>
      </c>
      <c r="D47" s="258">
        <v>174.13791028923481</v>
      </c>
      <c r="E47" s="257">
        <f t="shared" si="0"/>
        <v>61.966009</v>
      </c>
      <c r="F47" s="263"/>
      <c r="G47" s="190" t="str">
        <f t="shared" si="1"/>
        <v>A</v>
      </c>
      <c r="H47" s="259" t="str">
        <f t="shared" si="2"/>
        <v>174,1</v>
      </c>
      <c r="I47" s="260"/>
    </row>
    <row r="48" spans="1:9">
      <c r="A48" s="255">
        <f t="shared" si="3"/>
        <v>46</v>
      </c>
      <c r="B48" s="256">
        <v>44667</v>
      </c>
      <c r="C48" s="257">
        <v>139.814052</v>
      </c>
      <c r="D48" s="258">
        <v>174.13791028923481</v>
      </c>
      <c r="E48" s="257">
        <f t="shared" si="0"/>
        <v>139.814052</v>
      </c>
      <c r="F48" s="263"/>
      <c r="G48" s="190" t="str">
        <f t="shared" si="1"/>
        <v/>
      </c>
      <c r="H48" s="259" t="str">
        <f t="shared" si="2"/>
        <v/>
      </c>
      <c r="I48" s="260"/>
    </row>
    <row r="49" spans="1:9">
      <c r="A49" s="255">
        <f t="shared" si="3"/>
        <v>47</v>
      </c>
      <c r="B49" s="256">
        <v>44668</v>
      </c>
      <c r="C49" s="257">
        <v>123.50425800000001</v>
      </c>
      <c r="D49" s="258">
        <v>174.13791028923481</v>
      </c>
      <c r="E49" s="257">
        <f t="shared" si="0"/>
        <v>123.50425800000001</v>
      </c>
      <c r="F49" s="263"/>
      <c r="G49" s="190" t="str">
        <f t="shared" si="1"/>
        <v/>
      </c>
      <c r="H49" s="259" t="str">
        <f t="shared" si="2"/>
        <v/>
      </c>
      <c r="I49" s="260"/>
    </row>
    <row r="50" spans="1:9">
      <c r="A50" s="255">
        <f t="shared" si="3"/>
        <v>48</v>
      </c>
      <c r="B50" s="256">
        <v>44669</v>
      </c>
      <c r="C50" s="257">
        <v>169.95030299999999</v>
      </c>
      <c r="D50" s="258">
        <v>174.13791028923481</v>
      </c>
      <c r="E50" s="257">
        <f t="shared" si="0"/>
        <v>169.95030299999999</v>
      </c>
      <c r="F50" s="263"/>
      <c r="G50" s="190" t="str">
        <f t="shared" si="1"/>
        <v/>
      </c>
      <c r="H50" s="259" t="str">
        <f t="shared" si="2"/>
        <v/>
      </c>
      <c r="I50" s="260"/>
    </row>
    <row r="51" spans="1:9">
      <c r="A51" s="255">
        <f t="shared" si="3"/>
        <v>49</v>
      </c>
      <c r="B51" s="256">
        <v>44670</v>
      </c>
      <c r="C51" s="257">
        <v>242.46552300000002</v>
      </c>
      <c r="D51" s="258">
        <v>174.13791028923481</v>
      </c>
      <c r="E51" s="257">
        <f t="shared" si="0"/>
        <v>174.13791028923481</v>
      </c>
      <c r="F51" s="263"/>
      <c r="G51" s="190" t="str">
        <f t="shared" si="1"/>
        <v/>
      </c>
      <c r="H51" s="259" t="str">
        <f t="shared" si="2"/>
        <v/>
      </c>
      <c r="I51" s="260"/>
    </row>
    <row r="52" spans="1:9">
      <c r="A52" s="255">
        <f t="shared" si="3"/>
        <v>50</v>
      </c>
      <c r="B52" s="256">
        <v>44671</v>
      </c>
      <c r="C52" s="257">
        <v>341.66328000000004</v>
      </c>
      <c r="D52" s="258">
        <v>174.13791028923481</v>
      </c>
      <c r="E52" s="257">
        <f t="shared" si="0"/>
        <v>174.13791028923481</v>
      </c>
      <c r="F52" s="263"/>
      <c r="G52" s="190" t="str">
        <f t="shared" si="1"/>
        <v/>
      </c>
      <c r="H52" s="259" t="str">
        <f t="shared" si="2"/>
        <v/>
      </c>
      <c r="I52" s="260"/>
    </row>
    <row r="53" spans="1:9">
      <c r="A53" s="255">
        <f t="shared" si="3"/>
        <v>51</v>
      </c>
      <c r="B53" s="256">
        <v>44672</v>
      </c>
      <c r="C53" s="257">
        <v>218.94234700000001</v>
      </c>
      <c r="D53" s="258">
        <v>174.13791028923481</v>
      </c>
      <c r="E53" s="257">
        <f t="shared" si="0"/>
        <v>174.13791028923481</v>
      </c>
      <c r="F53" s="263"/>
      <c r="G53" s="190" t="str">
        <f t="shared" si="1"/>
        <v/>
      </c>
      <c r="H53" s="259" t="str">
        <f t="shared" si="2"/>
        <v/>
      </c>
      <c r="I53" s="260"/>
    </row>
    <row r="54" spans="1:9">
      <c r="A54" s="255">
        <f t="shared" si="3"/>
        <v>52</v>
      </c>
      <c r="B54" s="256">
        <v>44673</v>
      </c>
      <c r="C54" s="257">
        <v>178.854511</v>
      </c>
      <c r="D54" s="258">
        <v>174.13791028923481</v>
      </c>
      <c r="E54" s="257">
        <f t="shared" si="0"/>
        <v>174.13791028923481</v>
      </c>
      <c r="F54" s="263"/>
      <c r="G54" s="190" t="str">
        <f t="shared" si="1"/>
        <v/>
      </c>
      <c r="H54" s="259" t="str">
        <f t="shared" si="2"/>
        <v/>
      </c>
      <c r="I54" s="260"/>
    </row>
    <row r="55" spans="1:9">
      <c r="A55" s="255">
        <f t="shared" si="3"/>
        <v>53</v>
      </c>
      <c r="B55" s="256">
        <v>44674</v>
      </c>
      <c r="C55" s="257">
        <v>347.51635900000002</v>
      </c>
      <c r="D55" s="258">
        <v>174.13791028923481</v>
      </c>
      <c r="E55" s="257">
        <f t="shared" si="0"/>
        <v>174.13791028923481</v>
      </c>
      <c r="F55" s="263"/>
      <c r="G55" s="190" t="str">
        <f t="shared" si="1"/>
        <v/>
      </c>
      <c r="H55" s="259" t="str">
        <f t="shared" si="2"/>
        <v/>
      </c>
      <c r="I55" s="260"/>
    </row>
    <row r="56" spans="1:9">
      <c r="A56" s="255">
        <f t="shared" si="3"/>
        <v>54</v>
      </c>
      <c r="B56" s="256">
        <v>44675</v>
      </c>
      <c r="C56" s="257">
        <v>169.876394</v>
      </c>
      <c r="D56" s="258">
        <v>174.13791028923481</v>
      </c>
      <c r="E56" s="257">
        <f t="shared" si="0"/>
        <v>169.876394</v>
      </c>
      <c r="F56" s="263"/>
      <c r="G56" s="190" t="str">
        <f t="shared" si="1"/>
        <v/>
      </c>
      <c r="H56" s="259" t="str">
        <f t="shared" si="2"/>
        <v/>
      </c>
      <c r="I56" s="260"/>
    </row>
    <row r="57" spans="1:9">
      <c r="A57" s="255">
        <f t="shared" si="3"/>
        <v>55</v>
      </c>
      <c r="B57" s="256">
        <v>44676</v>
      </c>
      <c r="C57" s="257">
        <v>33.183503999999999</v>
      </c>
      <c r="D57" s="258">
        <v>174.13791028923481</v>
      </c>
      <c r="E57" s="257">
        <f t="shared" si="0"/>
        <v>33.183503999999999</v>
      </c>
      <c r="F57" s="263"/>
      <c r="G57" s="190" t="str">
        <f t="shared" si="1"/>
        <v/>
      </c>
      <c r="H57" s="259" t="str">
        <f t="shared" si="2"/>
        <v/>
      </c>
      <c r="I57" s="260"/>
    </row>
    <row r="58" spans="1:9">
      <c r="A58" s="255">
        <f t="shared" si="3"/>
        <v>56</v>
      </c>
      <c r="B58" s="256">
        <v>44677</v>
      </c>
      <c r="C58" s="257">
        <v>64.831130000000002</v>
      </c>
      <c r="D58" s="258">
        <v>174.13791028923481</v>
      </c>
      <c r="E58" s="257">
        <f t="shared" si="0"/>
        <v>64.831130000000002</v>
      </c>
      <c r="F58" s="263"/>
      <c r="G58" s="190" t="str">
        <f t="shared" si="1"/>
        <v/>
      </c>
      <c r="H58" s="259" t="str">
        <f t="shared" si="2"/>
        <v/>
      </c>
      <c r="I58" s="260"/>
    </row>
    <row r="59" spans="1:9">
      <c r="A59" s="255">
        <f t="shared" si="3"/>
        <v>57</v>
      </c>
      <c r="B59" s="256">
        <v>44678</v>
      </c>
      <c r="C59" s="257">
        <v>42.717091000000003</v>
      </c>
      <c r="D59" s="258">
        <v>174.13791028923481</v>
      </c>
      <c r="E59" s="257">
        <f t="shared" si="0"/>
        <v>42.717091000000003</v>
      </c>
      <c r="F59" s="263"/>
      <c r="G59" s="190" t="str">
        <f t="shared" si="1"/>
        <v/>
      </c>
      <c r="H59" s="259" t="str">
        <f t="shared" si="2"/>
        <v/>
      </c>
      <c r="I59" s="260"/>
    </row>
    <row r="60" spans="1:9">
      <c r="A60" s="255">
        <f t="shared" si="3"/>
        <v>58</v>
      </c>
      <c r="B60" s="256">
        <v>44679</v>
      </c>
      <c r="C60" s="257">
        <v>83.537083999999993</v>
      </c>
      <c r="D60" s="258">
        <v>174.13791028923481</v>
      </c>
      <c r="E60" s="257">
        <f t="shared" si="0"/>
        <v>83.537083999999993</v>
      </c>
      <c r="F60" s="263"/>
      <c r="G60" s="190" t="str">
        <f t="shared" si="1"/>
        <v/>
      </c>
      <c r="H60" s="259" t="str">
        <f t="shared" si="2"/>
        <v/>
      </c>
      <c r="I60" s="260"/>
    </row>
    <row r="61" spans="1:9">
      <c r="A61" s="255">
        <f t="shared" si="3"/>
        <v>59</v>
      </c>
      <c r="B61" s="256">
        <v>44680</v>
      </c>
      <c r="C61" s="257">
        <v>76.722093000000001</v>
      </c>
      <c r="D61" s="258">
        <v>174.13791028923481</v>
      </c>
      <c r="E61" s="257">
        <f t="shared" si="0"/>
        <v>76.722093000000001</v>
      </c>
      <c r="F61" s="263"/>
      <c r="G61" s="190" t="str">
        <f t="shared" si="1"/>
        <v/>
      </c>
      <c r="H61" s="259" t="str">
        <f t="shared" si="2"/>
        <v/>
      </c>
      <c r="I61" s="260"/>
    </row>
    <row r="62" spans="1:9">
      <c r="A62" s="255">
        <f t="shared" si="3"/>
        <v>60</v>
      </c>
      <c r="B62" s="256">
        <v>44681</v>
      </c>
      <c r="C62" s="257">
        <v>120.190377</v>
      </c>
      <c r="D62" s="258">
        <v>174.13791028923481</v>
      </c>
      <c r="E62" s="257">
        <f t="shared" si="0"/>
        <v>120.190377</v>
      </c>
      <c r="F62" s="263"/>
      <c r="G62" s="190" t="str">
        <f t="shared" si="1"/>
        <v/>
      </c>
      <c r="H62" s="259" t="str">
        <f t="shared" si="2"/>
        <v/>
      </c>
      <c r="I62" s="260"/>
    </row>
    <row r="63" spans="1:9">
      <c r="A63" s="255">
        <f t="shared" si="3"/>
        <v>61</v>
      </c>
      <c r="B63" s="256">
        <v>44682</v>
      </c>
      <c r="C63" s="257">
        <v>96.096043999999992</v>
      </c>
      <c r="D63" s="258">
        <v>155.81475678678186</v>
      </c>
      <c r="E63" s="257">
        <f t="shared" si="0"/>
        <v>96.096043999999992</v>
      </c>
      <c r="F63" s="260"/>
      <c r="G63" s="190" t="str">
        <f t="shared" si="1"/>
        <v/>
      </c>
      <c r="H63" s="259" t="str">
        <f t="shared" si="2"/>
        <v/>
      </c>
      <c r="I63" s="260"/>
    </row>
    <row r="64" spans="1:9">
      <c r="A64" s="255">
        <f t="shared" si="3"/>
        <v>62</v>
      </c>
      <c r="B64" s="256">
        <v>44683</v>
      </c>
      <c r="C64" s="257">
        <v>153.68695600000001</v>
      </c>
      <c r="D64" s="258">
        <v>155.81475678678186</v>
      </c>
      <c r="E64" s="257">
        <f t="shared" si="0"/>
        <v>153.68695600000001</v>
      </c>
      <c r="F64" s="263"/>
      <c r="G64" s="190" t="str">
        <f t="shared" si="1"/>
        <v/>
      </c>
      <c r="H64" s="259" t="str">
        <f t="shared" si="2"/>
        <v/>
      </c>
      <c r="I64" s="260"/>
    </row>
    <row r="65" spans="1:9">
      <c r="A65" s="255">
        <f t="shared" si="3"/>
        <v>63</v>
      </c>
      <c r="B65" s="256">
        <v>44684</v>
      </c>
      <c r="C65" s="257">
        <v>180.776242</v>
      </c>
      <c r="D65" s="258">
        <v>155.81475678678186</v>
      </c>
      <c r="E65" s="257">
        <f t="shared" si="0"/>
        <v>155.81475678678186</v>
      </c>
      <c r="F65" s="263"/>
      <c r="G65" s="190" t="str">
        <f t="shared" si="1"/>
        <v/>
      </c>
      <c r="H65" s="259" t="str">
        <f t="shared" si="2"/>
        <v/>
      </c>
      <c r="I65" s="260"/>
    </row>
    <row r="66" spans="1:9">
      <c r="A66" s="255">
        <f t="shared" si="3"/>
        <v>64</v>
      </c>
      <c r="B66" s="256">
        <v>44685</v>
      </c>
      <c r="C66" s="257">
        <v>173.42337999999998</v>
      </c>
      <c r="D66" s="258">
        <v>155.81475678678186</v>
      </c>
      <c r="E66" s="257">
        <f t="shared" si="0"/>
        <v>155.81475678678186</v>
      </c>
      <c r="F66" s="263"/>
      <c r="G66" s="190" t="str">
        <f t="shared" si="1"/>
        <v/>
      </c>
      <c r="H66" s="259" t="str">
        <f t="shared" si="2"/>
        <v/>
      </c>
      <c r="I66" s="260"/>
    </row>
    <row r="67" spans="1:9">
      <c r="A67" s="255">
        <f t="shared" si="3"/>
        <v>65</v>
      </c>
      <c r="B67" s="256">
        <v>44686</v>
      </c>
      <c r="C67" s="257">
        <v>199.22137499999999</v>
      </c>
      <c r="D67" s="258">
        <v>155.81475678678186</v>
      </c>
      <c r="E67" s="257">
        <f t="shared" ref="E67:E130" si="4">IF(C67&gt;D67,D67,C67)</f>
        <v>155.81475678678186</v>
      </c>
      <c r="F67" s="263"/>
      <c r="G67" s="190" t="str">
        <f t="shared" ref="G67:G130" si="5">IF(DAY(B67)=15,IF(MONTH(B67)=1,"E",IF(MONTH(B67)=2,"F",IF(MONTH(B67)=3,"M",IF(MONTH(B67)=4,"A",IF(MONTH(B67)=5,"M",IF(MONTH(B67)=6,"J",IF(MONTH(B67)=7,"J",IF(MONTH(B67)=8,"A",IF(MONTH(B67)=9,"S",IF(MONTH(B67)=10,"O",IF(MONTH(B67)=11,"N",IF(MONTH(B67)=12,"D","")))))))))))),"")</f>
        <v/>
      </c>
      <c r="H67" s="259" t="str">
        <f t="shared" ref="H67:H130" si="6">IF(DAY($B67)=15,TEXT(D67,"#,0"),"")</f>
        <v/>
      </c>
      <c r="I67" s="260"/>
    </row>
    <row r="68" spans="1:9">
      <c r="A68" s="255">
        <f t="shared" ref="A68:A131" si="7">+A67+1</f>
        <v>66</v>
      </c>
      <c r="B68" s="256">
        <v>44687</v>
      </c>
      <c r="C68" s="257">
        <v>227.35883999999999</v>
      </c>
      <c r="D68" s="258">
        <v>155.81475678678186</v>
      </c>
      <c r="E68" s="257">
        <f t="shared" si="4"/>
        <v>155.81475678678186</v>
      </c>
      <c r="F68" s="263"/>
      <c r="G68" s="190" t="str">
        <f t="shared" si="5"/>
        <v/>
      </c>
      <c r="H68" s="259" t="str">
        <f t="shared" si="6"/>
        <v/>
      </c>
      <c r="I68" s="260"/>
    </row>
    <row r="69" spans="1:9">
      <c r="A69" s="255">
        <f t="shared" si="7"/>
        <v>67</v>
      </c>
      <c r="B69" s="256">
        <v>44688</v>
      </c>
      <c r="C69" s="257">
        <v>149.83393699999999</v>
      </c>
      <c r="D69" s="258">
        <v>155.81475678678186</v>
      </c>
      <c r="E69" s="257">
        <f t="shared" si="4"/>
        <v>149.83393699999999</v>
      </c>
      <c r="F69" s="263"/>
      <c r="G69" s="190" t="str">
        <f t="shared" si="5"/>
        <v/>
      </c>
      <c r="H69" s="259" t="str">
        <f t="shared" si="6"/>
        <v/>
      </c>
      <c r="I69" s="260"/>
    </row>
    <row r="70" spans="1:9">
      <c r="A70" s="255">
        <f t="shared" si="7"/>
        <v>68</v>
      </c>
      <c r="B70" s="256">
        <v>44689</v>
      </c>
      <c r="C70" s="257">
        <v>96.709091000000001</v>
      </c>
      <c r="D70" s="258">
        <v>155.81475678678186</v>
      </c>
      <c r="E70" s="257">
        <f t="shared" si="4"/>
        <v>96.709091000000001</v>
      </c>
      <c r="F70" s="263"/>
      <c r="G70" s="190" t="str">
        <f t="shared" si="5"/>
        <v/>
      </c>
      <c r="H70" s="259" t="str">
        <f t="shared" si="6"/>
        <v/>
      </c>
      <c r="I70" s="260"/>
    </row>
    <row r="71" spans="1:9">
      <c r="A71" s="255">
        <f t="shared" si="7"/>
        <v>69</v>
      </c>
      <c r="B71" s="256">
        <v>44690</v>
      </c>
      <c r="C71" s="257">
        <v>59.726546999999997</v>
      </c>
      <c r="D71" s="258">
        <v>155.81475678678186</v>
      </c>
      <c r="E71" s="257">
        <f t="shared" si="4"/>
        <v>59.726546999999997</v>
      </c>
      <c r="F71" s="263"/>
      <c r="G71" s="190" t="str">
        <f t="shared" si="5"/>
        <v/>
      </c>
      <c r="H71" s="259" t="str">
        <f t="shared" si="6"/>
        <v/>
      </c>
      <c r="I71" s="260"/>
    </row>
    <row r="72" spans="1:9">
      <c r="A72" s="255">
        <f t="shared" si="7"/>
        <v>70</v>
      </c>
      <c r="B72" s="256">
        <v>44691</v>
      </c>
      <c r="C72" s="257">
        <v>78.450384</v>
      </c>
      <c r="D72" s="258">
        <v>155.81475678678186</v>
      </c>
      <c r="E72" s="257">
        <f t="shared" si="4"/>
        <v>78.450384</v>
      </c>
      <c r="F72" s="263"/>
      <c r="G72" s="190" t="str">
        <f t="shared" si="5"/>
        <v/>
      </c>
      <c r="H72" s="259" t="str">
        <f t="shared" si="6"/>
        <v/>
      </c>
      <c r="I72" s="260"/>
    </row>
    <row r="73" spans="1:9">
      <c r="A73" s="255">
        <f t="shared" si="7"/>
        <v>71</v>
      </c>
      <c r="B73" s="256">
        <v>44692</v>
      </c>
      <c r="C73" s="257">
        <v>124.94933999999999</v>
      </c>
      <c r="D73" s="258">
        <v>155.81475678678186</v>
      </c>
      <c r="E73" s="257">
        <f t="shared" si="4"/>
        <v>124.94933999999999</v>
      </c>
      <c r="F73" s="263"/>
      <c r="G73" s="190" t="str">
        <f t="shared" si="5"/>
        <v/>
      </c>
      <c r="H73" s="259" t="str">
        <f t="shared" si="6"/>
        <v/>
      </c>
      <c r="I73" s="260"/>
    </row>
    <row r="74" spans="1:9">
      <c r="A74" s="255">
        <f t="shared" si="7"/>
        <v>72</v>
      </c>
      <c r="B74" s="256">
        <v>44693</v>
      </c>
      <c r="C74" s="257">
        <v>131.41469699999999</v>
      </c>
      <c r="D74" s="258">
        <v>155.81475678678186</v>
      </c>
      <c r="E74" s="257">
        <f t="shared" si="4"/>
        <v>131.41469699999999</v>
      </c>
      <c r="F74" s="263"/>
      <c r="G74" s="190" t="str">
        <f t="shared" si="5"/>
        <v/>
      </c>
      <c r="H74" s="259" t="str">
        <f t="shared" si="6"/>
        <v/>
      </c>
      <c r="I74" s="260"/>
    </row>
    <row r="75" spans="1:9">
      <c r="A75" s="255">
        <f t="shared" si="7"/>
        <v>73</v>
      </c>
      <c r="B75" s="256">
        <v>44694</v>
      </c>
      <c r="C75" s="257">
        <v>50.087854</v>
      </c>
      <c r="D75" s="258">
        <v>155.81475678678186</v>
      </c>
      <c r="E75" s="257">
        <f t="shared" si="4"/>
        <v>50.087854</v>
      </c>
      <c r="F75" s="263"/>
      <c r="G75" s="190" t="str">
        <f t="shared" si="5"/>
        <v/>
      </c>
      <c r="H75" s="259" t="str">
        <f t="shared" si="6"/>
        <v/>
      </c>
      <c r="I75" s="260"/>
    </row>
    <row r="76" spans="1:9">
      <c r="A76" s="255">
        <f t="shared" si="7"/>
        <v>74</v>
      </c>
      <c r="B76" s="256">
        <v>44695</v>
      </c>
      <c r="C76" s="257">
        <v>107.470359</v>
      </c>
      <c r="D76" s="258">
        <v>155.81475678678186</v>
      </c>
      <c r="E76" s="257">
        <f t="shared" si="4"/>
        <v>107.470359</v>
      </c>
      <c r="F76" s="263"/>
      <c r="G76" s="190" t="str">
        <f t="shared" si="5"/>
        <v/>
      </c>
      <c r="H76" s="259" t="str">
        <f t="shared" si="6"/>
        <v/>
      </c>
      <c r="I76" s="260"/>
    </row>
    <row r="77" spans="1:9">
      <c r="A77" s="255">
        <f t="shared" si="7"/>
        <v>75</v>
      </c>
      <c r="B77" s="256">
        <v>44696</v>
      </c>
      <c r="C77" s="257">
        <v>199.488372</v>
      </c>
      <c r="D77" s="258">
        <v>155.81475678678186</v>
      </c>
      <c r="E77" s="257">
        <f t="shared" si="4"/>
        <v>155.81475678678186</v>
      </c>
      <c r="F77" s="263"/>
      <c r="G77" s="190" t="str">
        <f t="shared" si="5"/>
        <v>M</v>
      </c>
      <c r="H77" s="259" t="str">
        <f t="shared" si="6"/>
        <v>155,8</v>
      </c>
      <c r="I77" s="260"/>
    </row>
    <row r="78" spans="1:9">
      <c r="A78" s="255">
        <f t="shared" si="7"/>
        <v>76</v>
      </c>
      <c r="B78" s="256">
        <v>44697</v>
      </c>
      <c r="C78" s="257">
        <v>122.860924</v>
      </c>
      <c r="D78" s="258">
        <v>155.81475678678186</v>
      </c>
      <c r="E78" s="257">
        <f t="shared" si="4"/>
        <v>122.860924</v>
      </c>
      <c r="F78" s="263"/>
      <c r="G78" s="190" t="str">
        <f t="shared" si="5"/>
        <v/>
      </c>
      <c r="H78" s="259" t="str">
        <f t="shared" si="6"/>
        <v/>
      </c>
      <c r="I78" s="260"/>
    </row>
    <row r="79" spans="1:9">
      <c r="A79" s="255">
        <f t="shared" si="7"/>
        <v>77</v>
      </c>
      <c r="B79" s="256">
        <v>44698</v>
      </c>
      <c r="C79" s="257">
        <v>106.02160799999999</v>
      </c>
      <c r="D79" s="258">
        <v>155.81475678678186</v>
      </c>
      <c r="E79" s="257">
        <f t="shared" si="4"/>
        <v>106.02160799999999</v>
      </c>
      <c r="F79" s="263"/>
      <c r="G79" s="190" t="str">
        <f t="shared" si="5"/>
        <v/>
      </c>
      <c r="H79" s="259" t="str">
        <f t="shared" si="6"/>
        <v/>
      </c>
      <c r="I79" s="260"/>
    </row>
    <row r="80" spans="1:9">
      <c r="A80" s="255">
        <f t="shared" si="7"/>
        <v>78</v>
      </c>
      <c r="B80" s="256">
        <v>44699</v>
      </c>
      <c r="C80" s="257">
        <v>111.491327</v>
      </c>
      <c r="D80" s="258">
        <v>155.81475678678186</v>
      </c>
      <c r="E80" s="257">
        <f t="shared" si="4"/>
        <v>111.491327</v>
      </c>
      <c r="F80" s="263"/>
      <c r="G80" s="190" t="str">
        <f t="shared" si="5"/>
        <v/>
      </c>
      <c r="H80" s="259" t="str">
        <f t="shared" si="6"/>
        <v/>
      </c>
      <c r="I80" s="260"/>
    </row>
    <row r="81" spans="1:9">
      <c r="A81" s="255">
        <f t="shared" si="7"/>
        <v>79</v>
      </c>
      <c r="B81" s="256">
        <v>44700</v>
      </c>
      <c r="C81" s="257">
        <v>188.84224900000001</v>
      </c>
      <c r="D81" s="258">
        <v>155.81475678678186</v>
      </c>
      <c r="E81" s="257">
        <f t="shared" si="4"/>
        <v>155.81475678678186</v>
      </c>
      <c r="F81" s="263"/>
      <c r="G81" s="190" t="str">
        <f t="shared" si="5"/>
        <v/>
      </c>
      <c r="H81" s="259" t="str">
        <f t="shared" si="6"/>
        <v/>
      </c>
      <c r="I81" s="260"/>
    </row>
    <row r="82" spans="1:9">
      <c r="A82" s="255">
        <f t="shared" si="7"/>
        <v>80</v>
      </c>
      <c r="B82" s="256">
        <v>44701</v>
      </c>
      <c r="C82" s="257">
        <v>205.51184099999998</v>
      </c>
      <c r="D82" s="258">
        <v>155.81475678678186</v>
      </c>
      <c r="E82" s="257">
        <f t="shared" si="4"/>
        <v>155.81475678678186</v>
      </c>
      <c r="F82" s="263"/>
      <c r="G82" s="190" t="str">
        <f t="shared" si="5"/>
        <v/>
      </c>
      <c r="H82" s="259" t="str">
        <f t="shared" si="6"/>
        <v/>
      </c>
      <c r="I82" s="260"/>
    </row>
    <row r="83" spans="1:9">
      <c r="A83" s="255">
        <f t="shared" si="7"/>
        <v>81</v>
      </c>
      <c r="B83" s="256">
        <v>44702</v>
      </c>
      <c r="C83" s="257">
        <v>170.17882900000001</v>
      </c>
      <c r="D83" s="258">
        <v>155.81475678678186</v>
      </c>
      <c r="E83" s="257">
        <f t="shared" si="4"/>
        <v>155.81475678678186</v>
      </c>
      <c r="F83" s="263"/>
      <c r="G83" s="190" t="str">
        <f t="shared" si="5"/>
        <v/>
      </c>
      <c r="H83" s="259" t="str">
        <f t="shared" si="6"/>
        <v/>
      </c>
      <c r="I83" s="260"/>
    </row>
    <row r="84" spans="1:9">
      <c r="A84" s="255">
        <f t="shared" si="7"/>
        <v>82</v>
      </c>
      <c r="B84" s="256">
        <v>44703</v>
      </c>
      <c r="C84" s="257">
        <v>151.68245999999999</v>
      </c>
      <c r="D84" s="258">
        <v>155.81475678678186</v>
      </c>
      <c r="E84" s="257">
        <f t="shared" si="4"/>
        <v>151.68245999999999</v>
      </c>
      <c r="F84" s="263"/>
      <c r="G84" s="190" t="str">
        <f t="shared" si="5"/>
        <v/>
      </c>
      <c r="H84" s="259" t="str">
        <f t="shared" si="6"/>
        <v/>
      </c>
      <c r="I84" s="260"/>
    </row>
    <row r="85" spans="1:9">
      <c r="A85" s="255">
        <f t="shared" si="7"/>
        <v>83</v>
      </c>
      <c r="B85" s="256">
        <v>44704</v>
      </c>
      <c r="C85" s="257">
        <v>167.328677</v>
      </c>
      <c r="D85" s="258">
        <v>155.81475678678186</v>
      </c>
      <c r="E85" s="257">
        <f t="shared" si="4"/>
        <v>155.81475678678186</v>
      </c>
      <c r="F85" s="263"/>
      <c r="G85" s="190" t="str">
        <f t="shared" si="5"/>
        <v/>
      </c>
      <c r="H85" s="259" t="str">
        <f t="shared" si="6"/>
        <v/>
      </c>
      <c r="I85" s="260"/>
    </row>
    <row r="86" spans="1:9">
      <c r="A86" s="255">
        <f t="shared" si="7"/>
        <v>84</v>
      </c>
      <c r="B86" s="256">
        <v>44705</v>
      </c>
      <c r="C86" s="257">
        <v>194.85888800000001</v>
      </c>
      <c r="D86" s="258">
        <v>155.81475678678186</v>
      </c>
      <c r="E86" s="257">
        <f t="shared" si="4"/>
        <v>155.81475678678186</v>
      </c>
      <c r="F86" s="263"/>
      <c r="G86" s="190" t="str">
        <f t="shared" si="5"/>
        <v/>
      </c>
      <c r="H86" s="259" t="str">
        <f t="shared" si="6"/>
        <v/>
      </c>
      <c r="I86" s="260"/>
    </row>
    <row r="87" spans="1:9">
      <c r="A87" s="255">
        <f t="shared" si="7"/>
        <v>85</v>
      </c>
      <c r="B87" s="256">
        <v>44706</v>
      </c>
      <c r="C87" s="257">
        <v>233.46403999999998</v>
      </c>
      <c r="D87" s="258">
        <v>155.81475678678186</v>
      </c>
      <c r="E87" s="257">
        <f t="shared" si="4"/>
        <v>155.81475678678186</v>
      </c>
      <c r="F87" s="263"/>
      <c r="G87" s="190" t="str">
        <f t="shared" si="5"/>
        <v/>
      </c>
      <c r="H87" s="259" t="str">
        <f t="shared" si="6"/>
        <v/>
      </c>
      <c r="I87" s="260"/>
    </row>
    <row r="88" spans="1:9">
      <c r="A88" s="255">
        <f t="shared" si="7"/>
        <v>86</v>
      </c>
      <c r="B88" s="256">
        <v>44707</v>
      </c>
      <c r="C88" s="257">
        <v>251.711321</v>
      </c>
      <c r="D88" s="258">
        <v>155.81475678678186</v>
      </c>
      <c r="E88" s="257">
        <f t="shared" si="4"/>
        <v>155.81475678678186</v>
      </c>
      <c r="F88" s="263"/>
      <c r="G88" s="190" t="str">
        <f t="shared" si="5"/>
        <v/>
      </c>
      <c r="H88" s="259" t="str">
        <f t="shared" si="6"/>
        <v/>
      </c>
      <c r="I88" s="260"/>
    </row>
    <row r="89" spans="1:9">
      <c r="A89" s="255">
        <f t="shared" si="7"/>
        <v>87</v>
      </c>
      <c r="B89" s="256">
        <v>44708</v>
      </c>
      <c r="C89" s="257">
        <v>223.38259999999997</v>
      </c>
      <c r="D89" s="258">
        <v>155.81475678678186</v>
      </c>
      <c r="E89" s="257">
        <f t="shared" si="4"/>
        <v>155.81475678678186</v>
      </c>
      <c r="F89" s="263"/>
      <c r="G89" s="190" t="str">
        <f t="shared" si="5"/>
        <v/>
      </c>
      <c r="H89" s="259" t="str">
        <f t="shared" si="6"/>
        <v/>
      </c>
      <c r="I89" s="260"/>
    </row>
    <row r="90" spans="1:9">
      <c r="A90" s="255">
        <f t="shared" si="7"/>
        <v>88</v>
      </c>
      <c r="B90" s="256">
        <v>44709</v>
      </c>
      <c r="C90" s="257">
        <v>142.279314</v>
      </c>
      <c r="D90" s="258">
        <v>155.81475678678186</v>
      </c>
      <c r="E90" s="257">
        <f t="shared" si="4"/>
        <v>142.279314</v>
      </c>
      <c r="F90" s="263"/>
      <c r="G90" s="190" t="str">
        <f t="shared" si="5"/>
        <v/>
      </c>
      <c r="H90" s="259" t="str">
        <f t="shared" si="6"/>
        <v/>
      </c>
      <c r="I90" s="260"/>
    </row>
    <row r="91" spans="1:9">
      <c r="A91" s="255">
        <f t="shared" si="7"/>
        <v>89</v>
      </c>
      <c r="B91" s="256">
        <v>44710</v>
      </c>
      <c r="C91" s="257">
        <v>146.910132</v>
      </c>
      <c r="D91" s="258">
        <v>155.81475678678186</v>
      </c>
      <c r="E91" s="257">
        <f t="shared" si="4"/>
        <v>146.910132</v>
      </c>
      <c r="F91" s="263"/>
      <c r="G91" s="190" t="str">
        <f t="shared" si="5"/>
        <v/>
      </c>
      <c r="H91" s="259" t="str">
        <f t="shared" si="6"/>
        <v/>
      </c>
      <c r="I91" s="260"/>
    </row>
    <row r="92" spans="1:9">
      <c r="A92" s="255">
        <f t="shared" si="7"/>
        <v>90</v>
      </c>
      <c r="B92" s="256">
        <v>44711</v>
      </c>
      <c r="C92" s="257">
        <v>102.34971</v>
      </c>
      <c r="D92" s="258">
        <v>155.81475678678186</v>
      </c>
      <c r="E92" s="257">
        <f t="shared" si="4"/>
        <v>102.34971</v>
      </c>
      <c r="F92" s="263"/>
      <c r="G92" s="190" t="str">
        <f t="shared" si="5"/>
        <v/>
      </c>
      <c r="H92" s="259" t="str">
        <f t="shared" si="6"/>
        <v/>
      </c>
      <c r="I92" s="260"/>
    </row>
    <row r="93" spans="1:9">
      <c r="A93" s="255">
        <f t="shared" si="7"/>
        <v>91</v>
      </c>
      <c r="B93" s="256">
        <v>44712</v>
      </c>
      <c r="C93" s="257">
        <v>50.245029000000002</v>
      </c>
      <c r="D93" s="258">
        <v>155.81475678678186</v>
      </c>
      <c r="E93" s="257">
        <f t="shared" si="4"/>
        <v>50.245029000000002</v>
      </c>
      <c r="F93" s="263"/>
      <c r="G93" s="190" t="str">
        <f t="shared" si="5"/>
        <v/>
      </c>
      <c r="H93" s="259" t="str">
        <f t="shared" si="6"/>
        <v/>
      </c>
      <c r="I93" s="260"/>
    </row>
    <row r="94" spans="1:9">
      <c r="A94" s="255">
        <f t="shared" si="7"/>
        <v>92</v>
      </c>
      <c r="B94" s="256">
        <v>44713</v>
      </c>
      <c r="C94" s="257">
        <v>114.650094</v>
      </c>
      <c r="D94" s="258">
        <v>161.0085820130079</v>
      </c>
      <c r="E94" s="257">
        <f t="shared" si="4"/>
        <v>114.650094</v>
      </c>
      <c r="F94" s="260"/>
      <c r="G94" s="190" t="str">
        <f t="shared" si="5"/>
        <v/>
      </c>
      <c r="H94" s="259" t="str">
        <f t="shared" si="6"/>
        <v/>
      </c>
      <c r="I94" s="260"/>
    </row>
    <row r="95" spans="1:9">
      <c r="A95" s="255">
        <f t="shared" si="7"/>
        <v>93</v>
      </c>
      <c r="B95" s="256">
        <v>44714</v>
      </c>
      <c r="C95" s="257">
        <v>70.022176999999999</v>
      </c>
      <c r="D95" s="258">
        <v>129.36157987361148</v>
      </c>
      <c r="E95" s="257">
        <f t="shared" si="4"/>
        <v>70.022176999999999</v>
      </c>
      <c r="F95" s="263"/>
      <c r="G95" s="190" t="str">
        <f t="shared" si="5"/>
        <v/>
      </c>
      <c r="H95" s="259" t="str">
        <f t="shared" si="6"/>
        <v/>
      </c>
      <c r="I95" s="260"/>
    </row>
    <row r="96" spans="1:9">
      <c r="A96" s="255">
        <f t="shared" si="7"/>
        <v>94</v>
      </c>
      <c r="B96" s="256">
        <v>44715</v>
      </c>
      <c r="C96" s="257">
        <v>74.921839000000006</v>
      </c>
      <c r="D96" s="258">
        <v>129.36157987361148</v>
      </c>
      <c r="E96" s="257">
        <f t="shared" si="4"/>
        <v>74.921839000000006</v>
      </c>
      <c r="F96" s="263"/>
      <c r="G96" s="190" t="str">
        <f t="shared" si="5"/>
        <v/>
      </c>
      <c r="H96" s="259" t="str">
        <f t="shared" si="6"/>
        <v/>
      </c>
      <c r="I96" s="260"/>
    </row>
    <row r="97" spans="1:9">
      <c r="A97" s="255">
        <f t="shared" si="7"/>
        <v>95</v>
      </c>
      <c r="B97" s="256">
        <v>44716</v>
      </c>
      <c r="C97" s="257">
        <v>81.725461999999993</v>
      </c>
      <c r="D97" s="258">
        <v>129.36157987361148</v>
      </c>
      <c r="E97" s="257">
        <f t="shared" si="4"/>
        <v>81.725461999999993</v>
      </c>
      <c r="F97" s="263"/>
      <c r="G97" s="190" t="str">
        <f t="shared" si="5"/>
        <v/>
      </c>
      <c r="H97" s="259" t="str">
        <f t="shared" si="6"/>
        <v/>
      </c>
      <c r="I97" s="260"/>
    </row>
    <row r="98" spans="1:9">
      <c r="A98" s="255">
        <f t="shared" si="7"/>
        <v>96</v>
      </c>
      <c r="B98" s="256">
        <v>44717</v>
      </c>
      <c r="C98" s="257">
        <v>74.882744000000002</v>
      </c>
      <c r="D98" s="258">
        <v>129.36157987361148</v>
      </c>
      <c r="E98" s="257">
        <f t="shared" si="4"/>
        <v>74.882744000000002</v>
      </c>
      <c r="F98" s="263"/>
      <c r="G98" s="190" t="str">
        <f t="shared" si="5"/>
        <v/>
      </c>
      <c r="H98" s="259" t="str">
        <f t="shared" si="6"/>
        <v/>
      </c>
      <c r="I98" s="260"/>
    </row>
    <row r="99" spans="1:9">
      <c r="A99" s="255">
        <f t="shared" si="7"/>
        <v>97</v>
      </c>
      <c r="B99" s="256">
        <v>44718</v>
      </c>
      <c r="C99" s="257">
        <v>89.300550000000001</v>
      </c>
      <c r="D99" s="258">
        <v>129.36157987361148</v>
      </c>
      <c r="E99" s="257">
        <f t="shared" si="4"/>
        <v>89.300550000000001</v>
      </c>
      <c r="F99" s="263"/>
      <c r="G99" s="190" t="str">
        <f t="shared" si="5"/>
        <v/>
      </c>
      <c r="H99" s="259" t="str">
        <f t="shared" si="6"/>
        <v/>
      </c>
      <c r="I99" s="260"/>
    </row>
    <row r="100" spans="1:9">
      <c r="A100" s="255">
        <f t="shared" si="7"/>
        <v>98</v>
      </c>
      <c r="B100" s="256">
        <v>44719</v>
      </c>
      <c r="C100" s="257">
        <v>83.455425000000005</v>
      </c>
      <c r="D100" s="258">
        <v>129.36157987361148</v>
      </c>
      <c r="E100" s="257">
        <f t="shared" si="4"/>
        <v>83.455425000000005</v>
      </c>
      <c r="F100" s="263"/>
      <c r="G100" s="190" t="str">
        <f t="shared" si="5"/>
        <v/>
      </c>
      <c r="H100" s="259" t="str">
        <f t="shared" si="6"/>
        <v/>
      </c>
      <c r="I100" s="260"/>
    </row>
    <row r="101" spans="1:9">
      <c r="A101" s="255">
        <f t="shared" si="7"/>
        <v>99</v>
      </c>
      <c r="B101" s="256">
        <v>44720</v>
      </c>
      <c r="C101" s="257">
        <v>176.25293999999997</v>
      </c>
      <c r="D101" s="258">
        <v>129.36157987361148</v>
      </c>
      <c r="E101" s="257">
        <f t="shared" si="4"/>
        <v>129.36157987361148</v>
      </c>
      <c r="F101" s="263"/>
      <c r="G101" s="190" t="str">
        <f t="shared" si="5"/>
        <v/>
      </c>
      <c r="H101" s="259" t="str">
        <f t="shared" si="6"/>
        <v/>
      </c>
      <c r="I101" s="260"/>
    </row>
    <row r="102" spans="1:9">
      <c r="A102" s="255">
        <f t="shared" si="7"/>
        <v>100</v>
      </c>
      <c r="B102" s="256">
        <v>44721</v>
      </c>
      <c r="C102" s="257">
        <v>160.569771</v>
      </c>
      <c r="D102" s="258">
        <v>129.36157987361148</v>
      </c>
      <c r="E102" s="257">
        <f t="shared" si="4"/>
        <v>129.36157987361148</v>
      </c>
      <c r="F102" s="263"/>
      <c r="G102" s="190" t="str">
        <f t="shared" si="5"/>
        <v/>
      </c>
      <c r="H102" s="259" t="str">
        <f t="shared" si="6"/>
        <v/>
      </c>
      <c r="I102" s="260"/>
    </row>
    <row r="103" spans="1:9">
      <c r="A103" s="255">
        <f t="shared" si="7"/>
        <v>101</v>
      </c>
      <c r="B103" s="256">
        <v>44722</v>
      </c>
      <c r="C103" s="257">
        <v>125.350195</v>
      </c>
      <c r="D103" s="258">
        <v>129.36157987361148</v>
      </c>
      <c r="E103" s="257">
        <f t="shared" si="4"/>
        <v>125.350195</v>
      </c>
      <c r="F103" s="263"/>
      <c r="G103" s="190" t="str">
        <f t="shared" si="5"/>
        <v/>
      </c>
      <c r="H103" s="259" t="str">
        <f t="shared" si="6"/>
        <v/>
      </c>
      <c r="I103" s="260"/>
    </row>
    <row r="104" spans="1:9">
      <c r="A104" s="255">
        <f t="shared" si="7"/>
        <v>102</v>
      </c>
      <c r="B104" s="256">
        <v>44723</v>
      </c>
      <c r="C104" s="257">
        <v>174.583741</v>
      </c>
      <c r="D104" s="258">
        <v>129.36157987361148</v>
      </c>
      <c r="E104" s="257">
        <f t="shared" si="4"/>
        <v>129.36157987361148</v>
      </c>
      <c r="F104" s="263"/>
      <c r="G104" s="190" t="str">
        <f t="shared" si="5"/>
        <v/>
      </c>
      <c r="H104" s="259" t="str">
        <f t="shared" si="6"/>
        <v/>
      </c>
      <c r="I104" s="260"/>
    </row>
    <row r="105" spans="1:9">
      <c r="A105" s="255">
        <f t="shared" si="7"/>
        <v>103</v>
      </c>
      <c r="B105" s="256">
        <v>44724</v>
      </c>
      <c r="C105" s="257">
        <v>201.22412800000001</v>
      </c>
      <c r="D105" s="258">
        <v>129.36157987361148</v>
      </c>
      <c r="E105" s="257">
        <f t="shared" si="4"/>
        <v>129.36157987361148</v>
      </c>
      <c r="F105" s="263"/>
      <c r="G105" s="190" t="str">
        <f t="shared" si="5"/>
        <v/>
      </c>
      <c r="H105" s="259" t="str">
        <f t="shared" si="6"/>
        <v/>
      </c>
      <c r="I105" s="260"/>
    </row>
    <row r="106" spans="1:9">
      <c r="A106" s="255">
        <f t="shared" si="7"/>
        <v>104</v>
      </c>
      <c r="B106" s="256">
        <v>44725</v>
      </c>
      <c r="C106" s="257">
        <v>162.41147899999999</v>
      </c>
      <c r="D106" s="258">
        <v>129.36157987361148</v>
      </c>
      <c r="E106" s="257">
        <f t="shared" si="4"/>
        <v>129.36157987361148</v>
      </c>
      <c r="F106" s="263"/>
      <c r="G106" s="190" t="str">
        <f t="shared" si="5"/>
        <v/>
      </c>
      <c r="H106" s="259" t="str">
        <f t="shared" si="6"/>
        <v/>
      </c>
      <c r="I106" s="260"/>
    </row>
    <row r="107" spans="1:9">
      <c r="A107" s="255">
        <f t="shared" si="7"/>
        <v>105</v>
      </c>
      <c r="B107" s="256">
        <v>44726</v>
      </c>
      <c r="C107" s="257">
        <v>85.605266</v>
      </c>
      <c r="D107" s="258">
        <v>129.36157987361148</v>
      </c>
      <c r="E107" s="257">
        <f t="shared" si="4"/>
        <v>85.605266</v>
      </c>
      <c r="F107" s="263"/>
      <c r="G107" s="190" t="str">
        <f t="shared" si="5"/>
        <v/>
      </c>
      <c r="H107" s="259" t="str">
        <f t="shared" si="6"/>
        <v/>
      </c>
      <c r="I107" s="260"/>
    </row>
    <row r="108" spans="1:9">
      <c r="A108" s="255">
        <f t="shared" si="7"/>
        <v>106</v>
      </c>
      <c r="B108" s="256">
        <v>44727</v>
      </c>
      <c r="C108" s="257">
        <v>96.403323999999998</v>
      </c>
      <c r="D108" s="258">
        <v>129.36157987361148</v>
      </c>
      <c r="E108" s="257">
        <f t="shared" si="4"/>
        <v>96.403323999999998</v>
      </c>
      <c r="F108" s="263"/>
      <c r="G108" s="190" t="str">
        <f t="shared" si="5"/>
        <v>J</v>
      </c>
      <c r="H108" s="259" t="str">
        <f t="shared" si="6"/>
        <v>129,4</v>
      </c>
      <c r="I108" s="260"/>
    </row>
    <row r="109" spans="1:9">
      <c r="A109" s="255">
        <f t="shared" si="7"/>
        <v>107</v>
      </c>
      <c r="B109" s="256">
        <v>44728</v>
      </c>
      <c r="C109" s="257">
        <v>102.102265</v>
      </c>
      <c r="D109" s="258">
        <v>129.36157987361148</v>
      </c>
      <c r="E109" s="257">
        <f t="shared" si="4"/>
        <v>102.102265</v>
      </c>
      <c r="F109" s="263"/>
      <c r="G109" s="190" t="str">
        <f t="shared" si="5"/>
        <v/>
      </c>
      <c r="H109" s="259" t="str">
        <f t="shared" si="6"/>
        <v/>
      </c>
      <c r="I109" s="260"/>
    </row>
    <row r="110" spans="1:9">
      <c r="A110" s="255">
        <f t="shared" si="7"/>
        <v>108</v>
      </c>
      <c r="B110" s="256">
        <v>44729</v>
      </c>
      <c r="C110" s="257">
        <v>122.43620599999998</v>
      </c>
      <c r="D110" s="258">
        <v>129.36157987361148</v>
      </c>
      <c r="E110" s="257">
        <f t="shared" si="4"/>
        <v>122.43620599999998</v>
      </c>
      <c r="F110" s="263"/>
      <c r="G110" s="190" t="str">
        <f t="shared" si="5"/>
        <v/>
      </c>
      <c r="H110" s="259" t="str">
        <f t="shared" si="6"/>
        <v/>
      </c>
      <c r="I110" s="260"/>
    </row>
    <row r="111" spans="1:9">
      <c r="A111" s="255">
        <f t="shared" si="7"/>
        <v>109</v>
      </c>
      <c r="B111" s="256">
        <v>44730</v>
      </c>
      <c r="C111" s="257">
        <v>183.282792</v>
      </c>
      <c r="D111" s="258">
        <v>129.36157987361148</v>
      </c>
      <c r="E111" s="257">
        <f t="shared" si="4"/>
        <v>129.36157987361148</v>
      </c>
      <c r="F111" s="263"/>
      <c r="G111" s="190" t="str">
        <f t="shared" si="5"/>
        <v/>
      </c>
      <c r="H111" s="259" t="str">
        <f t="shared" si="6"/>
        <v/>
      </c>
      <c r="I111" s="260"/>
    </row>
    <row r="112" spans="1:9">
      <c r="A112" s="255">
        <f t="shared" si="7"/>
        <v>110</v>
      </c>
      <c r="B112" s="256">
        <v>44731</v>
      </c>
      <c r="C112" s="257">
        <v>209.98401100000001</v>
      </c>
      <c r="D112" s="258">
        <v>129.36157987361148</v>
      </c>
      <c r="E112" s="257">
        <f t="shared" si="4"/>
        <v>129.36157987361148</v>
      </c>
      <c r="F112" s="263"/>
      <c r="G112" s="190" t="str">
        <f t="shared" si="5"/>
        <v/>
      </c>
      <c r="H112" s="259" t="str">
        <f t="shared" si="6"/>
        <v/>
      </c>
      <c r="I112" s="260"/>
    </row>
    <row r="113" spans="1:9">
      <c r="A113" s="255">
        <f t="shared" si="7"/>
        <v>111</v>
      </c>
      <c r="B113" s="256">
        <v>44732</v>
      </c>
      <c r="C113" s="257">
        <v>110.389706</v>
      </c>
      <c r="D113" s="258">
        <v>129.36157987361148</v>
      </c>
      <c r="E113" s="257">
        <f t="shared" si="4"/>
        <v>110.389706</v>
      </c>
      <c r="F113" s="263"/>
      <c r="G113" s="190" t="str">
        <f t="shared" si="5"/>
        <v/>
      </c>
      <c r="H113" s="259" t="str">
        <f t="shared" si="6"/>
        <v/>
      </c>
      <c r="I113" s="260"/>
    </row>
    <row r="114" spans="1:9">
      <c r="A114" s="255">
        <f t="shared" si="7"/>
        <v>112</v>
      </c>
      <c r="B114" s="256">
        <v>44733</v>
      </c>
      <c r="C114" s="257">
        <v>91.590792000000008</v>
      </c>
      <c r="D114" s="258">
        <v>129.36157987361148</v>
      </c>
      <c r="E114" s="257">
        <f t="shared" si="4"/>
        <v>91.590792000000008</v>
      </c>
      <c r="F114" s="263"/>
      <c r="G114" s="190" t="str">
        <f t="shared" si="5"/>
        <v/>
      </c>
      <c r="H114" s="259" t="str">
        <f t="shared" si="6"/>
        <v/>
      </c>
      <c r="I114" s="260"/>
    </row>
    <row r="115" spans="1:9">
      <c r="A115" s="255">
        <f t="shared" si="7"/>
        <v>113</v>
      </c>
      <c r="B115" s="256">
        <v>44734</v>
      </c>
      <c r="C115" s="257">
        <v>80.453779999999995</v>
      </c>
      <c r="D115" s="258">
        <v>129.36157987361148</v>
      </c>
      <c r="E115" s="257">
        <f t="shared" si="4"/>
        <v>80.453779999999995</v>
      </c>
      <c r="F115" s="263"/>
      <c r="G115" s="190" t="str">
        <f t="shared" si="5"/>
        <v/>
      </c>
      <c r="H115" s="259" t="str">
        <f t="shared" si="6"/>
        <v/>
      </c>
      <c r="I115" s="260"/>
    </row>
    <row r="116" spans="1:9">
      <c r="A116" s="255">
        <f t="shared" si="7"/>
        <v>114</v>
      </c>
      <c r="B116" s="256">
        <v>44735</v>
      </c>
      <c r="C116" s="257">
        <v>115.679757</v>
      </c>
      <c r="D116" s="258">
        <v>129.36157987361148</v>
      </c>
      <c r="E116" s="257">
        <f t="shared" si="4"/>
        <v>115.679757</v>
      </c>
      <c r="F116" s="263"/>
      <c r="G116" s="190" t="str">
        <f t="shared" si="5"/>
        <v/>
      </c>
      <c r="H116" s="259" t="str">
        <f t="shared" si="6"/>
        <v/>
      </c>
      <c r="I116" s="260"/>
    </row>
    <row r="117" spans="1:9">
      <c r="A117" s="255">
        <f t="shared" si="7"/>
        <v>115</v>
      </c>
      <c r="B117" s="256">
        <v>44736</v>
      </c>
      <c r="C117" s="257">
        <v>143.20150799999999</v>
      </c>
      <c r="D117" s="258">
        <v>129.36157987361148</v>
      </c>
      <c r="E117" s="257">
        <f t="shared" si="4"/>
        <v>129.36157987361148</v>
      </c>
      <c r="F117" s="263"/>
      <c r="G117" s="190" t="str">
        <f t="shared" si="5"/>
        <v/>
      </c>
      <c r="H117" s="259" t="str">
        <f t="shared" si="6"/>
        <v/>
      </c>
      <c r="I117" s="260"/>
    </row>
    <row r="118" spans="1:9">
      <c r="A118" s="255">
        <f t="shared" si="7"/>
        <v>116</v>
      </c>
      <c r="B118" s="256">
        <v>44737</v>
      </c>
      <c r="C118" s="257">
        <v>111.78855800000001</v>
      </c>
      <c r="D118" s="258">
        <v>129.36157987361148</v>
      </c>
      <c r="E118" s="257">
        <f t="shared" si="4"/>
        <v>111.78855800000001</v>
      </c>
      <c r="F118" s="263"/>
      <c r="G118" s="190" t="str">
        <f t="shared" si="5"/>
        <v/>
      </c>
      <c r="H118" s="259" t="str">
        <f t="shared" si="6"/>
        <v/>
      </c>
      <c r="I118" s="260"/>
    </row>
    <row r="119" spans="1:9">
      <c r="A119" s="255">
        <f t="shared" si="7"/>
        <v>117</v>
      </c>
      <c r="B119" s="256">
        <v>44738</v>
      </c>
      <c r="C119" s="257">
        <v>120.904725</v>
      </c>
      <c r="D119" s="258">
        <v>129.36157987361148</v>
      </c>
      <c r="E119" s="257">
        <f t="shared" si="4"/>
        <v>120.904725</v>
      </c>
      <c r="F119" s="263"/>
      <c r="G119" s="190" t="str">
        <f t="shared" si="5"/>
        <v/>
      </c>
      <c r="H119" s="259" t="str">
        <f t="shared" si="6"/>
        <v/>
      </c>
      <c r="I119" s="260"/>
    </row>
    <row r="120" spans="1:9">
      <c r="A120" s="255">
        <f t="shared" si="7"/>
        <v>118</v>
      </c>
      <c r="B120" s="256">
        <v>44739</v>
      </c>
      <c r="C120" s="257">
        <v>189.91014300000001</v>
      </c>
      <c r="D120" s="258">
        <v>129.36157987361148</v>
      </c>
      <c r="E120" s="257">
        <f t="shared" si="4"/>
        <v>129.36157987361148</v>
      </c>
      <c r="F120" s="263"/>
      <c r="G120" s="190" t="str">
        <f t="shared" si="5"/>
        <v/>
      </c>
      <c r="H120" s="259" t="str">
        <f t="shared" si="6"/>
        <v/>
      </c>
      <c r="I120" s="260"/>
    </row>
    <row r="121" spans="1:9">
      <c r="A121" s="255">
        <f t="shared" si="7"/>
        <v>119</v>
      </c>
      <c r="B121" s="256">
        <v>44740</v>
      </c>
      <c r="C121" s="257">
        <v>77.670271999999997</v>
      </c>
      <c r="D121" s="258">
        <v>129.36157987361148</v>
      </c>
      <c r="E121" s="257">
        <f t="shared" si="4"/>
        <v>77.670271999999997</v>
      </c>
      <c r="F121" s="263"/>
      <c r="G121" s="190" t="str">
        <f t="shared" si="5"/>
        <v/>
      </c>
      <c r="H121" s="259" t="str">
        <f t="shared" si="6"/>
        <v/>
      </c>
      <c r="I121" s="260"/>
    </row>
    <row r="122" spans="1:9">
      <c r="A122" s="255">
        <f t="shared" si="7"/>
        <v>120</v>
      </c>
      <c r="B122" s="256">
        <v>44741</v>
      </c>
      <c r="C122" s="257">
        <v>109.308645</v>
      </c>
      <c r="D122" s="258">
        <v>129.36157987361148</v>
      </c>
      <c r="E122" s="257">
        <f t="shared" si="4"/>
        <v>109.308645</v>
      </c>
      <c r="F122" s="263"/>
      <c r="G122" s="190" t="str">
        <f t="shared" si="5"/>
        <v/>
      </c>
      <c r="H122" s="259" t="str">
        <f t="shared" si="6"/>
        <v/>
      </c>
      <c r="I122" s="260"/>
    </row>
    <row r="123" spans="1:9">
      <c r="A123" s="255">
        <f t="shared" si="7"/>
        <v>121</v>
      </c>
      <c r="B123" s="256">
        <v>44742</v>
      </c>
      <c r="C123" s="257">
        <v>136.11437099999998</v>
      </c>
      <c r="D123" s="258">
        <v>129.36157987361148</v>
      </c>
      <c r="E123" s="257">
        <f t="shared" si="4"/>
        <v>129.36157987361148</v>
      </c>
      <c r="F123" s="263"/>
      <c r="G123" s="190" t="str">
        <f t="shared" si="5"/>
        <v/>
      </c>
      <c r="H123" s="259" t="str">
        <f t="shared" si="6"/>
        <v/>
      </c>
      <c r="I123" s="260"/>
    </row>
    <row r="124" spans="1:9">
      <c r="A124" s="255">
        <f t="shared" si="7"/>
        <v>122</v>
      </c>
      <c r="B124" s="256">
        <v>44743</v>
      </c>
      <c r="C124" s="257">
        <v>112.46567000000002</v>
      </c>
      <c r="D124" s="258">
        <v>127.91090441488167</v>
      </c>
      <c r="E124" s="257">
        <f t="shared" si="4"/>
        <v>112.46567000000002</v>
      </c>
      <c r="F124" s="260"/>
      <c r="G124" s="190" t="str">
        <f t="shared" si="5"/>
        <v/>
      </c>
      <c r="H124" s="259" t="str">
        <f t="shared" si="6"/>
        <v/>
      </c>
      <c r="I124" s="260"/>
    </row>
    <row r="125" spans="1:9">
      <c r="A125" s="255">
        <f t="shared" si="7"/>
        <v>123</v>
      </c>
      <c r="B125" s="256">
        <v>44744</v>
      </c>
      <c r="C125" s="257">
        <v>135.74166</v>
      </c>
      <c r="D125" s="258">
        <v>127.91090441488167</v>
      </c>
      <c r="E125" s="257">
        <f t="shared" si="4"/>
        <v>127.91090441488167</v>
      </c>
      <c r="F125" s="263"/>
      <c r="G125" s="190" t="str">
        <f t="shared" si="5"/>
        <v/>
      </c>
      <c r="H125" s="259" t="str">
        <f t="shared" si="6"/>
        <v/>
      </c>
      <c r="I125" s="260"/>
    </row>
    <row r="126" spans="1:9">
      <c r="A126" s="255">
        <f t="shared" si="7"/>
        <v>124</v>
      </c>
      <c r="B126" s="256">
        <v>44745</v>
      </c>
      <c r="C126" s="257">
        <v>163.069309</v>
      </c>
      <c r="D126" s="258">
        <v>127.91090441488167</v>
      </c>
      <c r="E126" s="257">
        <f t="shared" si="4"/>
        <v>127.91090441488167</v>
      </c>
      <c r="F126" s="263"/>
      <c r="G126" s="190" t="str">
        <f t="shared" si="5"/>
        <v/>
      </c>
      <c r="H126" s="259" t="str">
        <f t="shared" si="6"/>
        <v/>
      </c>
      <c r="I126" s="260"/>
    </row>
    <row r="127" spans="1:9">
      <c r="A127" s="255">
        <f t="shared" si="7"/>
        <v>125</v>
      </c>
      <c r="B127" s="256">
        <v>44746</v>
      </c>
      <c r="C127" s="257">
        <v>148.153424</v>
      </c>
      <c r="D127" s="258">
        <v>127.91090441488167</v>
      </c>
      <c r="E127" s="257">
        <f t="shared" si="4"/>
        <v>127.91090441488167</v>
      </c>
      <c r="F127" s="263"/>
      <c r="G127" s="190" t="str">
        <f t="shared" si="5"/>
        <v/>
      </c>
      <c r="H127" s="259" t="str">
        <f t="shared" si="6"/>
        <v/>
      </c>
      <c r="I127" s="260"/>
    </row>
    <row r="128" spans="1:9">
      <c r="A128" s="255">
        <f t="shared" si="7"/>
        <v>126</v>
      </c>
      <c r="B128" s="256">
        <v>44747</v>
      </c>
      <c r="C128" s="257">
        <v>217.600585</v>
      </c>
      <c r="D128" s="258">
        <v>127.91090441488167</v>
      </c>
      <c r="E128" s="257">
        <f t="shared" si="4"/>
        <v>127.91090441488167</v>
      </c>
      <c r="F128" s="263"/>
      <c r="G128" s="190" t="str">
        <f t="shared" si="5"/>
        <v/>
      </c>
      <c r="H128" s="259" t="str">
        <f t="shared" si="6"/>
        <v/>
      </c>
      <c r="I128" s="260"/>
    </row>
    <row r="129" spans="1:9">
      <c r="A129" s="255">
        <f t="shared" si="7"/>
        <v>127</v>
      </c>
      <c r="B129" s="256">
        <v>44748</v>
      </c>
      <c r="C129" s="257">
        <v>231.69850700000001</v>
      </c>
      <c r="D129" s="258">
        <v>127.91090441488167</v>
      </c>
      <c r="E129" s="257">
        <f t="shared" si="4"/>
        <v>127.91090441488167</v>
      </c>
      <c r="F129" s="263"/>
      <c r="G129" s="190" t="str">
        <f t="shared" si="5"/>
        <v/>
      </c>
      <c r="H129" s="259" t="str">
        <f t="shared" si="6"/>
        <v/>
      </c>
      <c r="I129" s="260"/>
    </row>
    <row r="130" spans="1:9">
      <c r="A130" s="255">
        <f t="shared" si="7"/>
        <v>128</v>
      </c>
      <c r="B130" s="256">
        <v>44749</v>
      </c>
      <c r="C130" s="257">
        <v>261.87230600000004</v>
      </c>
      <c r="D130" s="258">
        <v>127.91090441488167</v>
      </c>
      <c r="E130" s="257">
        <f t="shared" si="4"/>
        <v>127.91090441488167</v>
      </c>
      <c r="F130" s="263"/>
      <c r="G130" s="190" t="str">
        <f t="shared" si="5"/>
        <v/>
      </c>
      <c r="H130" s="259" t="str">
        <f t="shared" si="6"/>
        <v/>
      </c>
      <c r="I130" s="260"/>
    </row>
    <row r="131" spans="1:9">
      <c r="A131" s="255">
        <f t="shared" si="7"/>
        <v>129</v>
      </c>
      <c r="B131" s="256">
        <v>44750</v>
      </c>
      <c r="C131" s="257">
        <v>212.41216299999999</v>
      </c>
      <c r="D131" s="258">
        <v>127.91090441488167</v>
      </c>
      <c r="E131" s="257">
        <f t="shared" ref="E131:E194" si="8">IF(C131&gt;D131,D131,C131)</f>
        <v>127.91090441488167</v>
      </c>
      <c r="F131" s="263"/>
      <c r="G131" s="190" t="str">
        <f t="shared" ref="G131:G194" si="9">IF(DAY(B131)=15,IF(MONTH(B131)=1,"E",IF(MONTH(B131)=2,"F",IF(MONTH(B131)=3,"M",IF(MONTH(B131)=4,"A",IF(MONTH(B131)=5,"M",IF(MONTH(B131)=6,"J",IF(MONTH(B131)=7,"J",IF(MONTH(B131)=8,"A",IF(MONTH(B131)=9,"S",IF(MONTH(B131)=10,"O",IF(MONTH(B131)=11,"N",IF(MONTH(B131)=12,"D","")))))))))))),"")</f>
        <v/>
      </c>
      <c r="H131" s="259" t="str">
        <f t="shared" ref="H131:H194" si="10">IF(DAY($B131)=15,TEXT(D131,"#,0"),"")</f>
        <v/>
      </c>
      <c r="I131" s="260"/>
    </row>
    <row r="132" spans="1:9">
      <c r="A132" s="255">
        <f t="shared" ref="A132:A195" si="11">+A131+1</f>
        <v>130</v>
      </c>
      <c r="B132" s="256">
        <v>44751</v>
      </c>
      <c r="C132" s="257">
        <v>140.341926</v>
      </c>
      <c r="D132" s="258">
        <v>127.91090441488167</v>
      </c>
      <c r="E132" s="257">
        <f t="shared" si="8"/>
        <v>127.91090441488167</v>
      </c>
      <c r="F132" s="263"/>
      <c r="G132" s="190" t="str">
        <f t="shared" si="9"/>
        <v/>
      </c>
      <c r="H132" s="259" t="str">
        <f t="shared" si="10"/>
        <v/>
      </c>
      <c r="I132" s="260"/>
    </row>
    <row r="133" spans="1:9">
      <c r="A133" s="255">
        <f t="shared" si="11"/>
        <v>131</v>
      </c>
      <c r="B133" s="256">
        <v>44752</v>
      </c>
      <c r="C133" s="257">
        <v>103.909155</v>
      </c>
      <c r="D133" s="258">
        <v>127.91090441488167</v>
      </c>
      <c r="E133" s="257">
        <f t="shared" si="8"/>
        <v>103.909155</v>
      </c>
      <c r="F133" s="263"/>
      <c r="G133" s="190" t="str">
        <f t="shared" si="9"/>
        <v/>
      </c>
      <c r="H133" s="259" t="str">
        <f t="shared" si="10"/>
        <v/>
      </c>
      <c r="I133" s="260"/>
    </row>
    <row r="134" spans="1:9">
      <c r="A134" s="255">
        <f t="shared" si="11"/>
        <v>132</v>
      </c>
      <c r="B134" s="256">
        <v>44753</v>
      </c>
      <c r="C134" s="257">
        <v>111.88668799999999</v>
      </c>
      <c r="D134" s="258">
        <v>127.91090441488167</v>
      </c>
      <c r="E134" s="257">
        <f t="shared" si="8"/>
        <v>111.88668799999999</v>
      </c>
      <c r="F134" s="263"/>
      <c r="G134" s="190" t="str">
        <f t="shared" si="9"/>
        <v/>
      </c>
      <c r="H134" s="259" t="str">
        <f t="shared" si="10"/>
        <v/>
      </c>
      <c r="I134" s="260"/>
    </row>
    <row r="135" spans="1:9">
      <c r="A135" s="255">
        <f t="shared" si="11"/>
        <v>133</v>
      </c>
      <c r="B135" s="256">
        <v>44754</v>
      </c>
      <c r="C135" s="257">
        <v>107.204695</v>
      </c>
      <c r="D135" s="258">
        <v>127.91090441488167</v>
      </c>
      <c r="E135" s="257">
        <f t="shared" si="8"/>
        <v>107.204695</v>
      </c>
      <c r="F135" s="263"/>
      <c r="G135" s="190" t="str">
        <f t="shared" si="9"/>
        <v/>
      </c>
      <c r="H135" s="259" t="str">
        <f t="shared" si="10"/>
        <v/>
      </c>
      <c r="I135" s="260"/>
    </row>
    <row r="136" spans="1:9">
      <c r="A136" s="255">
        <f t="shared" si="11"/>
        <v>134</v>
      </c>
      <c r="B136" s="256">
        <v>44755</v>
      </c>
      <c r="C136" s="257">
        <v>100.425472</v>
      </c>
      <c r="D136" s="258">
        <v>127.91090441488167</v>
      </c>
      <c r="E136" s="257">
        <f t="shared" si="8"/>
        <v>100.425472</v>
      </c>
      <c r="F136" s="263"/>
      <c r="G136" s="190" t="str">
        <f t="shared" si="9"/>
        <v/>
      </c>
      <c r="H136" s="259" t="str">
        <f t="shared" si="10"/>
        <v/>
      </c>
      <c r="I136" s="260"/>
    </row>
    <row r="137" spans="1:9">
      <c r="A137" s="255">
        <f t="shared" si="11"/>
        <v>135</v>
      </c>
      <c r="B137" s="256">
        <v>44756</v>
      </c>
      <c r="C137" s="257">
        <v>113.15161599999999</v>
      </c>
      <c r="D137" s="258">
        <v>127.91090441488167</v>
      </c>
      <c r="E137" s="257">
        <f t="shared" si="8"/>
        <v>113.15161599999999</v>
      </c>
      <c r="F137" s="263"/>
      <c r="G137" s="190" t="str">
        <f t="shared" si="9"/>
        <v/>
      </c>
      <c r="H137" s="259" t="str">
        <f t="shared" si="10"/>
        <v/>
      </c>
      <c r="I137" s="260"/>
    </row>
    <row r="138" spans="1:9">
      <c r="A138" s="255">
        <f t="shared" si="11"/>
        <v>136</v>
      </c>
      <c r="B138" s="256">
        <v>44757</v>
      </c>
      <c r="C138" s="257">
        <v>154.307345</v>
      </c>
      <c r="D138" s="258">
        <v>127.91090441488167</v>
      </c>
      <c r="E138" s="257">
        <f t="shared" si="8"/>
        <v>127.91090441488167</v>
      </c>
      <c r="F138" s="263"/>
      <c r="G138" s="190" t="str">
        <f t="shared" si="9"/>
        <v>J</v>
      </c>
      <c r="H138" s="259" t="str">
        <f t="shared" si="10"/>
        <v>127,9</v>
      </c>
      <c r="I138" s="260"/>
    </row>
    <row r="139" spans="1:9">
      <c r="A139" s="255">
        <f t="shared" si="11"/>
        <v>137</v>
      </c>
      <c r="B139" s="256">
        <v>44758</v>
      </c>
      <c r="C139" s="257">
        <v>90.574712999999988</v>
      </c>
      <c r="D139" s="258">
        <v>127.91090441488167</v>
      </c>
      <c r="E139" s="257">
        <f t="shared" si="8"/>
        <v>90.574712999999988</v>
      </c>
      <c r="F139" s="263"/>
      <c r="G139" s="190" t="str">
        <f t="shared" si="9"/>
        <v/>
      </c>
      <c r="H139" s="259" t="str">
        <f t="shared" si="10"/>
        <v/>
      </c>
      <c r="I139" s="260"/>
    </row>
    <row r="140" spans="1:9">
      <c r="A140" s="255">
        <f t="shared" si="11"/>
        <v>138</v>
      </c>
      <c r="B140" s="256">
        <v>44759</v>
      </c>
      <c r="C140" s="257">
        <v>108.22179100000001</v>
      </c>
      <c r="D140" s="258">
        <v>127.91090441488167</v>
      </c>
      <c r="E140" s="257">
        <f t="shared" si="8"/>
        <v>108.22179100000001</v>
      </c>
      <c r="F140" s="263"/>
      <c r="G140" s="190" t="str">
        <f t="shared" si="9"/>
        <v/>
      </c>
      <c r="H140" s="259" t="str">
        <f t="shared" si="10"/>
        <v/>
      </c>
      <c r="I140" s="260"/>
    </row>
    <row r="141" spans="1:9">
      <c r="A141" s="255">
        <f t="shared" si="11"/>
        <v>139</v>
      </c>
      <c r="B141" s="256">
        <v>44760</v>
      </c>
      <c r="C141" s="257">
        <v>148.62807899999999</v>
      </c>
      <c r="D141" s="258">
        <v>127.91090441488167</v>
      </c>
      <c r="E141" s="257">
        <f t="shared" si="8"/>
        <v>127.91090441488167</v>
      </c>
      <c r="F141" s="263"/>
      <c r="G141" s="190" t="str">
        <f t="shared" si="9"/>
        <v/>
      </c>
      <c r="H141" s="259" t="str">
        <f t="shared" si="10"/>
        <v/>
      </c>
      <c r="I141" s="260"/>
    </row>
    <row r="142" spans="1:9">
      <c r="A142" s="255">
        <f t="shared" si="11"/>
        <v>140</v>
      </c>
      <c r="B142" s="256">
        <v>44761</v>
      </c>
      <c r="C142" s="257">
        <v>165.832931</v>
      </c>
      <c r="D142" s="258">
        <v>127.91090441488167</v>
      </c>
      <c r="E142" s="257">
        <f t="shared" si="8"/>
        <v>127.91090441488167</v>
      </c>
      <c r="F142" s="263"/>
      <c r="G142" s="190" t="str">
        <f t="shared" si="9"/>
        <v/>
      </c>
      <c r="H142" s="259" t="str">
        <f t="shared" si="10"/>
        <v/>
      </c>
      <c r="I142" s="260"/>
    </row>
    <row r="143" spans="1:9">
      <c r="A143" s="255">
        <f t="shared" si="11"/>
        <v>141</v>
      </c>
      <c r="B143" s="256">
        <v>44762</v>
      </c>
      <c r="C143" s="257">
        <v>109.05057999999998</v>
      </c>
      <c r="D143" s="258">
        <v>127.91090441488167</v>
      </c>
      <c r="E143" s="257">
        <f t="shared" si="8"/>
        <v>109.05057999999998</v>
      </c>
      <c r="F143" s="263"/>
      <c r="G143" s="190" t="str">
        <f t="shared" si="9"/>
        <v/>
      </c>
      <c r="H143" s="259" t="str">
        <f t="shared" si="10"/>
        <v/>
      </c>
      <c r="I143" s="260"/>
    </row>
    <row r="144" spans="1:9">
      <c r="A144" s="255">
        <f t="shared" si="11"/>
        <v>142</v>
      </c>
      <c r="B144" s="256">
        <v>44763</v>
      </c>
      <c r="C144" s="257">
        <v>149.489428</v>
      </c>
      <c r="D144" s="258">
        <v>127.91090441488167</v>
      </c>
      <c r="E144" s="257">
        <f t="shared" si="8"/>
        <v>127.91090441488167</v>
      </c>
      <c r="F144" s="263"/>
      <c r="G144" s="190" t="str">
        <f t="shared" si="9"/>
        <v/>
      </c>
      <c r="H144" s="259" t="str">
        <f t="shared" si="10"/>
        <v/>
      </c>
      <c r="I144" s="260"/>
    </row>
    <row r="145" spans="1:9">
      <c r="A145" s="255">
        <f t="shared" si="11"/>
        <v>143</v>
      </c>
      <c r="B145" s="256">
        <v>44764</v>
      </c>
      <c r="C145" s="257">
        <v>161.736187</v>
      </c>
      <c r="D145" s="258">
        <v>127.91090441488167</v>
      </c>
      <c r="E145" s="257">
        <f t="shared" si="8"/>
        <v>127.91090441488167</v>
      </c>
      <c r="F145" s="263"/>
      <c r="G145" s="190" t="str">
        <f t="shared" si="9"/>
        <v/>
      </c>
      <c r="H145" s="259" t="str">
        <f t="shared" si="10"/>
        <v/>
      </c>
      <c r="I145" s="260"/>
    </row>
    <row r="146" spans="1:9">
      <c r="A146" s="255">
        <f t="shared" si="11"/>
        <v>144</v>
      </c>
      <c r="B146" s="256">
        <v>44765</v>
      </c>
      <c r="C146" s="257">
        <v>117.07852899999999</v>
      </c>
      <c r="D146" s="258">
        <v>127.91090441488167</v>
      </c>
      <c r="E146" s="257">
        <f t="shared" si="8"/>
        <v>117.07852899999999</v>
      </c>
      <c r="F146" s="263"/>
      <c r="G146" s="190" t="str">
        <f t="shared" si="9"/>
        <v/>
      </c>
      <c r="H146" s="259" t="str">
        <f t="shared" si="10"/>
        <v/>
      </c>
      <c r="I146" s="260"/>
    </row>
    <row r="147" spans="1:9">
      <c r="A147" s="255">
        <f t="shared" si="11"/>
        <v>145</v>
      </c>
      <c r="B147" s="256">
        <v>44766</v>
      </c>
      <c r="C147" s="257">
        <v>83.900807999999998</v>
      </c>
      <c r="D147" s="258">
        <v>127.91090441488167</v>
      </c>
      <c r="E147" s="257">
        <f t="shared" si="8"/>
        <v>83.900807999999998</v>
      </c>
      <c r="F147" s="263"/>
      <c r="G147" s="190" t="str">
        <f t="shared" si="9"/>
        <v/>
      </c>
      <c r="H147" s="259" t="str">
        <f t="shared" si="10"/>
        <v/>
      </c>
      <c r="I147" s="260"/>
    </row>
    <row r="148" spans="1:9">
      <c r="A148" s="255">
        <f t="shared" si="11"/>
        <v>146</v>
      </c>
      <c r="B148" s="256">
        <v>44767</v>
      </c>
      <c r="C148" s="257">
        <v>145.90282700000003</v>
      </c>
      <c r="D148" s="258">
        <v>127.91090441488167</v>
      </c>
      <c r="E148" s="257">
        <f t="shared" si="8"/>
        <v>127.91090441488167</v>
      </c>
      <c r="F148" s="263"/>
      <c r="G148" s="190" t="str">
        <f t="shared" si="9"/>
        <v/>
      </c>
      <c r="H148" s="259" t="str">
        <f t="shared" si="10"/>
        <v/>
      </c>
      <c r="I148" s="260"/>
    </row>
    <row r="149" spans="1:9">
      <c r="A149" s="255">
        <f t="shared" si="11"/>
        <v>147</v>
      </c>
      <c r="B149" s="256">
        <v>44768</v>
      </c>
      <c r="C149" s="257">
        <v>170.63027</v>
      </c>
      <c r="D149" s="258">
        <v>127.91090441488167</v>
      </c>
      <c r="E149" s="257">
        <f t="shared" si="8"/>
        <v>127.91090441488167</v>
      </c>
      <c r="F149" s="263"/>
      <c r="G149" s="190" t="str">
        <f t="shared" si="9"/>
        <v/>
      </c>
      <c r="H149" s="259" t="str">
        <f t="shared" si="10"/>
        <v/>
      </c>
      <c r="I149" s="260"/>
    </row>
    <row r="150" spans="1:9">
      <c r="A150" s="255">
        <f t="shared" si="11"/>
        <v>148</v>
      </c>
      <c r="B150" s="256">
        <v>44769</v>
      </c>
      <c r="C150" s="257">
        <v>124.632328</v>
      </c>
      <c r="D150" s="258">
        <v>127.91090441488167</v>
      </c>
      <c r="E150" s="257">
        <f t="shared" si="8"/>
        <v>124.632328</v>
      </c>
      <c r="F150" s="263"/>
      <c r="G150" s="190" t="str">
        <f t="shared" si="9"/>
        <v/>
      </c>
      <c r="H150" s="259" t="str">
        <f t="shared" si="10"/>
        <v/>
      </c>
      <c r="I150" s="260"/>
    </row>
    <row r="151" spans="1:9">
      <c r="A151" s="255">
        <f t="shared" si="11"/>
        <v>149</v>
      </c>
      <c r="B151" s="256">
        <v>44770</v>
      </c>
      <c r="C151" s="257">
        <v>77.430592000000004</v>
      </c>
      <c r="D151" s="258">
        <v>127.91090441488167</v>
      </c>
      <c r="E151" s="257">
        <f t="shared" si="8"/>
        <v>77.430592000000004</v>
      </c>
      <c r="F151" s="263"/>
      <c r="G151" s="190" t="str">
        <f t="shared" si="9"/>
        <v/>
      </c>
      <c r="H151" s="259" t="str">
        <f t="shared" si="10"/>
        <v/>
      </c>
      <c r="I151" s="260"/>
    </row>
    <row r="152" spans="1:9">
      <c r="A152" s="255">
        <f t="shared" si="11"/>
        <v>150</v>
      </c>
      <c r="B152" s="256">
        <v>44771</v>
      </c>
      <c r="C152" s="257">
        <v>113.920464</v>
      </c>
      <c r="D152" s="258">
        <v>127.91090441488167</v>
      </c>
      <c r="E152" s="257">
        <f t="shared" si="8"/>
        <v>113.920464</v>
      </c>
      <c r="F152" s="263"/>
      <c r="G152" s="190" t="str">
        <f t="shared" si="9"/>
        <v/>
      </c>
      <c r="H152" s="259" t="str">
        <f t="shared" si="10"/>
        <v/>
      </c>
      <c r="I152" s="260"/>
    </row>
    <row r="153" spans="1:9">
      <c r="A153" s="255">
        <f t="shared" si="11"/>
        <v>151</v>
      </c>
      <c r="B153" s="256">
        <v>44772</v>
      </c>
      <c r="C153" s="257">
        <v>190.43864599999998</v>
      </c>
      <c r="D153" s="258">
        <v>127.91090441488167</v>
      </c>
      <c r="E153" s="257">
        <f t="shared" si="8"/>
        <v>127.91090441488167</v>
      </c>
      <c r="F153" s="263"/>
      <c r="G153" s="190" t="str">
        <f t="shared" si="9"/>
        <v/>
      </c>
      <c r="H153" s="259" t="str">
        <f t="shared" si="10"/>
        <v/>
      </c>
      <c r="I153" s="260"/>
    </row>
    <row r="154" spans="1:9">
      <c r="A154" s="255">
        <f t="shared" si="11"/>
        <v>152</v>
      </c>
      <c r="B154" s="256">
        <v>44773</v>
      </c>
      <c r="C154" s="257">
        <v>136.98858500000003</v>
      </c>
      <c r="D154" s="258">
        <v>127.91090441488167</v>
      </c>
      <c r="E154" s="257">
        <f t="shared" si="8"/>
        <v>127.91090441488167</v>
      </c>
      <c r="F154" s="263"/>
      <c r="G154" s="190" t="str">
        <f t="shared" si="9"/>
        <v/>
      </c>
      <c r="H154" s="259" t="str">
        <f t="shared" si="10"/>
        <v/>
      </c>
      <c r="I154" s="260"/>
    </row>
    <row r="155" spans="1:9">
      <c r="A155" s="255">
        <f t="shared" si="11"/>
        <v>153</v>
      </c>
      <c r="B155" s="256">
        <v>44774</v>
      </c>
      <c r="C155" s="257">
        <v>120.07507200000001</v>
      </c>
      <c r="D155" s="258">
        <v>124.9499079819372</v>
      </c>
      <c r="E155" s="257">
        <f t="shared" si="8"/>
        <v>120.07507200000001</v>
      </c>
      <c r="F155" s="260"/>
      <c r="G155" s="190" t="str">
        <f t="shared" si="9"/>
        <v/>
      </c>
      <c r="H155" s="259" t="str">
        <f t="shared" si="10"/>
        <v/>
      </c>
      <c r="I155" s="260"/>
    </row>
    <row r="156" spans="1:9">
      <c r="A156" s="255">
        <f t="shared" si="11"/>
        <v>154</v>
      </c>
      <c r="B156" s="256">
        <v>44775</v>
      </c>
      <c r="C156" s="257">
        <v>96.893426000000005</v>
      </c>
      <c r="D156" s="258">
        <v>124.9499079819372</v>
      </c>
      <c r="E156" s="257">
        <f t="shared" si="8"/>
        <v>96.893426000000005</v>
      </c>
      <c r="F156" s="263"/>
      <c r="G156" s="190" t="str">
        <f t="shared" si="9"/>
        <v/>
      </c>
      <c r="H156" s="259" t="str">
        <f t="shared" si="10"/>
        <v/>
      </c>
      <c r="I156" s="260"/>
    </row>
    <row r="157" spans="1:9">
      <c r="A157" s="255">
        <f t="shared" si="11"/>
        <v>155</v>
      </c>
      <c r="B157" s="256">
        <v>44776</v>
      </c>
      <c r="C157" s="257">
        <v>122.67897000000001</v>
      </c>
      <c r="D157" s="258">
        <v>124.9499079819372</v>
      </c>
      <c r="E157" s="257">
        <f t="shared" si="8"/>
        <v>122.67897000000001</v>
      </c>
      <c r="F157" s="263"/>
      <c r="G157" s="190" t="str">
        <f t="shared" si="9"/>
        <v/>
      </c>
      <c r="H157" s="259" t="str">
        <f t="shared" si="10"/>
        <v/>
      </c>
      <c r="I157" s="260"/>
    </row>
    <row r="158" spans="1:9">
      <c r="A158" s="255">
        <f t="shared" si="11"/>
        <v>156</v>
      </c>
      <c r="B158" s="256">
        <v>44777</v>
      </c>
      <c r="C158" s="257">
        <v>168.59337699999998</v>
      </c>
      <c r="D158" s="258">
        <v>124.9499079819372</v>
      </c>
      <c r="E158" s="257">
        <f t="shared" si="8"/>
        <v>124.9499079819372</v>
      </c>
      <c r="F158" s="263"/>
      <c r="G158" s="190" t="str">
        <f t="shared" si="9"/>
        <v/>
      </c>
      <c r="H158" s="259" t="str">
        <f t="shared" si="10"/>
        <v/>
      </c>
      <c r="I158" s="260"/>
    </row>
    <row r="159" spans="1:9">
      <c r="A159" s="255">
        <f t="shared" si="11"/>
        <v>157</v>
      </c>
      <c r="B159" s="256">
        <v>44778</v>
      </c>
      <c r="C159" s="257">
        <v>207.469188</v>
      </c>
      <c r="D159" s="258">
        <v>124.9499079819372</v>
      </c>
      <c r="E159" s="257">
        <f t="shared" si="8"/>
        <v>124.9499079819372</v>
      </c>
      <c r="F159" s="263"/>
      <c r="G159" s="190" t="str">
        <f t="shared" si="9"/>
        <v/>
      </c>
      <c r="H159" s="259" t="str">
        <f t="shared" si="10"/>
        <v/>
      </c>
      <c r="I159" s="260"/>
    </row>
    <row r="160" spans="1:9">
      <c r="A160" s="255">
        <f t="shared" si="11"/>
        <v>158</v>
      </c>
      <c r="B160" s="256">
        <v>44779</v>
      </c>
      <c r="C160" s="257">
        <v>158.166349</v>
      </c>
      <c r="D160" s="258">
        <v>124.9499079819372</v>
      </c>
      <c r="E160" s="257">
        <f t="shared" si="8"/>
        <v>124.9499079819372</v>
      </c>
      <c r="F160" s="263"/>
      <c r="G160" s="190" t="str">
        <f t="shared" si="9"/>
        <v/>
      </c>
      <c r="H160" s="259" t="str">
        <f t="shared" si="10"/>
        <v/>
      </c>
      <c r="I160" s="260"/>
    </row>
    <row r="161" spans="1:9">
      <c r="A161" s="255">
        <f t="shared" si="11"/>
        <v>159</v>
      </c>
      <c r="B161" s="256">
        <v>44780</v>
      </c>
      <c r="C161" s="257">
        <v>125.172822</v>
      </c>
      <c r="D161" s="258">
        <v>124.9499079819372</v>
      </c>
      <c r="E161" s="257">
        <f t="shared" si="8"/>
        <v>124.9499079819372</v>
      </c>
      <c r="F161" s="263"/>
      <c r="G161" s="190" t="str">
        <f t="shared" si="9"/>
        <v/>
      </c>
      <c r="H161" s="259" t="str">
        <f t="shared" si="10"/>
        <v/>
      </c>
      <c r="I161" s="260"/>
    </row>
    <row r="162" spans="1:9">
      <c r="A162" s="255">
        <f t="shared" si="11"/>
        <v>160</v>
      </c>
      <c r="B162" s="256">
        <v>44781</v>
      </c>
      <c r="C162" s="257">
        <v>109.813095</v>
      </c>
      <c r="D162" s="258">
        <v>124.9499079819372</v>
      </c>
      <c r="E162" s="257">
        <f t="shared" si="8"/>
        <v>109.813095</v>
      </c>
      <c r="F162" s="263"/>
      <c r="G162" s="190" t="str">
        <f t="shared" si="9"/>
        <v/>
      </c>
      <c r="H162" s="259" t="str">
        <f t="shared" si="10"/>
        <v/>
      </c>
      <c r="I162" s="260"/>
    </row>
    <row r="163" spans="1:9">
      <c r="A163" s="255">
        <f t="shared" si="11"/>
        <v>161</v>
      </c>
      <c r="B163" s="256">
        <v>44782</v>
      </c>
      <c r="C163" s="257">
        <v>150.27550500000001</v>
      </c>
      <c r="D163" s="258">
        <v>124.9499079819372</v>
      </c>
      <c r="E163" s="257">
        <f t="shared" si="8"/>
        <v>124.9499079819372</v>
      </c>
      <c r="F163" s="263"/>
      <c r="G163" s="190" t="str">
        <f t="shared" si="9"/>
        <v/>
      </c>
      <c r="H163" s="259" t="str">
        <f t="shared" si="10"/>
        <v/>
      </c>
      <c r="I163" s="260"/>
    </row>
    <row r="164" spans="1:9">
      <c r="A164" s="255">
        <f t="shared" si="11"/>
        <v>162</v>
      </c>
      <c r="B164" s="256">
        <v>44783</v>
      </c>
      <c r="C164" s="257">
        <v>123.34950500000001</v>
      </c>
      <c r="D164" s="258">
        <v>124.9499079819372</v>
      </c>
      <c r="E164" s="257">
        <f t="shared" si="8"/>
        <v>123.34950500000001</v>
      </c>
      <c r="F164" s="263"/>
      <c r="G164" s="190" t="str">
        <f t="shared" si="9"/>
        <v/>
      </c>
      <c r="H164" s="259" t="str">
        <f t="shared" si="10"/>
        <v/>
      </c>
      <c r="I164" s="260"/>
    </row>
    <row r="165" spans="1:9">
      <c r="A165" s="255">
        <f t="shared" si="11"/>
        <v>163</v>
      </c>
      <c r="B165" s="256">
        <v>44784</v>
      </c>
      <c r="C165" s="257">
        <v>98.322434999999999</v>
      </c>
      <c r="D165" s="258">
        <v>124.9499079819372</v>
      </c>
      <c r="E165" s="257">
        <f t="shared" si="8"/>
        <v>98.322434999999999</v>
      </c>
      <c r="F165" s="263"/>
      <c r="G165" s="190" t="str">
        <f t="shared" si="9"/>
        <v/>
      </c>
      <c r="H165" s="259" t="str">
        <f t="shared" si="10"/>
        <v/>
      </c>
      <c r="I165" s="260"/>
    </row>
    <row r="166" spans="1:9">
      <c r="A166" s="255">
        <f t="shared" si="11"/>
        <v>164</v>
      </c>
      <c r="B166" s="256">
        <v>44785</v>
      </c>
      <c r="C166" s="257">
        <v>71.192278000000002</v>
      </c>
      <c r="D166" s="258">
        <v>124.9499079819372</v>
      </c>
      <c r="E166" s="257">
        <f t="shared" si="8"/>
        <v>71.192278000000002</v>
      </c>
      <c r="F166" s="263"/>
      <c r="G166" s="190" t="str">
        <f t="shared" si="9"/>
        <v/>
      </c>
      <c r="H166" s="259" t="str">
        <f t="shared" si="10"/>
        <v/>
      </c>
      <c r="I166" s="260"/>
    </row>
    <row r="167" spans="1:9">
      <c r="A167" s="255">
        <f t="shared" si="11"/>
        <v>165</v>
      </c>
      <c r="B167" s="256">
        <v>44786</v>
      </c>
      <c r="C167" s="257">
        <v>180.6354</v>
      </c>
      <c r="D167" s="258">
        <v>124.9499079819372</v>
      </c>
      <c r="E167" s="257">
        <f t="shared" si="8"/>
        <v>124.9499079819372</v>
      </c>
      <c r="F167" s="263"/>
      <c r="G167" s="190" t="str">
        <f t="shared" si="9"/>
        <v/>
      </c>
      <c r="H167" s="259" t="str">
        <f t="shared" si="10"/>
        <v/>
      </c>
      <c r="I167" s="260"/>
    </row>
    <row r="168" spans="1:9">
      <c r="A168" s="255">
        <f t="shared" si="11"/>
        <v>166</v>
      </c>
      <c r="B168" s="256">
        <v>44787</v>
      </c>
      <c r="C168" s="257">
        <v>145.161869</v>
      </c>
      <c r="D168" s="258">
        <v>124.9499079819372</v>
      </c>
      <c r="E168" s="257">
        <f t="shared" si="8"/>
        <v>124.9499079819372</v>
      </c>
      <c r="F168" s="263"/>
      <c r="G168" s="190" t="str">
        <f t="shared" si="9"/>
        <v/>
      </c>
      <c r="H168" s="259" t="str">
        <f t="shared" si="10"/>
        <v/>
      </c>
      <c r="I168" s="260"/>
    </row>
    <row r="169" spans="1:9">
      <c r="A169" s="255">
        <f t="shared" si="11"/>
        <v>167</v>
      </c>
      <c r="B169" s="256">
        <v>44788</v>
      </c>
      <c r="C169" s="257">
        <v>114.142624</v>
      </c>
      <c r="D169" s="258">
        <v>124.9499079819372</v>
      </c>
      <c r="E169" s="257">
        <f t="shared" si="8"/>
        <v>114.142624</v>
      </c>
      <c r="F169" s="260"/>
      <c r="G169" s="190" t="str">
        <f t="shared" si="9"/>
        <v>A</v>
      </c>
      <c r="H169" s="259" t="str">
        <f t="shared" si="10"/>
        <v>124,9</v>
      </c>
      <c r="I169" s="260"/>
    </row>
    <row r="170" spans="1:9">
      <c r="A170" s="255">
        <f t="shared" si="11"/>
        <v>168</v>
      </c>
      <c r="B170" s="256">
        <v>44789</v>
      </c>
      <c r="C170" s="257">
        <v>170.18326799999997</v>
      </c>
      <c r="D170" s="258">
        <v>124.9499079819372</v>
      </c>
      <c r="E170" s="257">
        <f t="shared" si="8"/>
        <v>124.9499079819372</v>
      </c>
      <c r="F170" s="263"/>
      <c r="G170" s="190" t="str">
        <f t="shared" si="9"/>
        <v/>
      </c>
      <c r="H170" s="259" t="str">
        <f t="shared" si="10"/>
        <v/>
      </c>
      <c r="I170" s="260"/>
    </row>
    <row r="171" spans="1:9">
      <c r="A171" s="255">
        <f t="shared" si="11"/>
        <v>169</v>
      </c>
      <c r="B171" s="256">
        <v>44790</v>
      </c>
      <c r="C171" s="257">
        <v>172.57474699999997</v>
      </c>
      <c r="D171" s="258">
        <v>124.9499079819372</v>
      </c>
      <c r="E171" s="257">
        <f t="shared" si="8"/>
        <v>124.9499079819372</v>
      </c>
      <c r="F171" s="263"/>
      <c r="G171" s="190" t="str">
        <f t="shared" si="9"/>
        <v/>
      </c>
      <c r="H171" s="259" t="str">
        <f t="shared" si="10"/>
        <v/>
      </c>
      <c r="I171" s="260"/>
    </row>
    <row r="172" spans="1:9">
      <c r="A172" s="255">
        <f t="shared" si="11"/>
        <v>170</v>
      </c>
      <c r="B172" s="256">
        <v>44791</v>
      </c>
      <c r="C172" s="257">
        <v>195.574613</v>
      </c>
      <c r="D172" s="258">
        <v>124.9499079819372</v>
      </c>
      <c r="E172" s="257">
        <f t="shared" si="8"/>
        <v>124.9499079819372</v>
      </c>
      <c r="F172" s="263"/>
      <c r="G172" s="190" t="str">
        <f t="shared" si="9"/>
        <v/>
      </c>
      <c r="H172" s="259" t="str">
        <f t="shared" si="10"/>
        <v/>
      </c>
      <c r="I172" s="260"/>
    </row>
    <row r="173" spans="1:9">
      <c r="A173" s="255">
        <f t="shared" si="11"/>
        <v>171</v>
      </c>
      <c r="B173" s="256">
        <v>44792</v>
      </c>
      <c r="C173" s="257">
        <v>147.96343400000001</v>
      </c>
      <c r="D173" s="258">
        <v>124.9499079819372</v>
      </c>
      <c r="E173" s="257">
        <f t="shared" si="8"/>
        <v>124.9499079819372</v>
      </c>
      <c r="F173" s="263"/>
      <c r="G173" s="190" t="str">
        <f t="shared" si="9"/>
        <v/>
      </c>
      <c r="H173" s="259" t="str">
        <f t="shared" si="10"/>
        <v/>
      </c>
      <c r="I173" s="260"/>
    </row>
    <row r="174" spans="1:9">
      <c r="A174" s="255">
        <f t="shared" si="11"/>
        <v>172</v>
      </c>
      <c r="B174" s="256">
        <v>44793</v>
      </c>
      <c r="C174" s="257">
        <v>81.896906000000001</v>
      </c>
      <c r="D174" s="258">
        <v>124.9499079819372</v>
      </c>
      <c r="E174" s="257">
        <f t="shared" si="8"/>
        <v>81.896906000000001</v>
      </c>
      <c r="F174" s="263"/>
      <c r="G174" s="190" t="str">
        <f t="shared" si="9"/>
        <v/>
      </c>
      <c r="H174" s="259" t="str">
        <f t="shared" si="10"/>
        <v/>
      </c>
      <c r="I174" s="260"/>
    </row>
    <row r="175" spans="1:9">
      <c r="A175" s="255">
        <f t="shared" si="11"/>
        <v>173</v>
      </c>
      <c r="B175" s="256">
        <v>44794</v>
      </c>
      <c r="C175" s="257">
        <v>118.67038099999999</v>
      </c>
      <c r="D175" s="258">
        <v>124.9499079819372</v>
      </c>
      <c r="E175" s="257">
        <f t="shared" si="8"/>
        <v>118.67038099999999</v>
      </c>
      <c r="F175" s="263"/>
      <c r="G175" s="190" t="str">
        <f t="shared" si="9"/>
        <v/>
      </c>
      <c r="H175" s="259" t="str">
        <f t="shared" si="10"/>
        <v/>
      </c>
      <c r="I175" s="260"/>
    </row>
    <row r="176" spans="1:9">
      <c r="A176" s="255">
        <f t="shared" si="11"/>
        <v>174</v>
      </c>
      <c r="B176" s="256">
        <v>44795</v>
      </c>
      <c r="C176" s="257">
        <v>181.24012999999999</v>
      </c>
      <c r="D176" s="258">
        <v>124.9499079819372</v>
      </c>
      <c r="E176" s="257">
        <f t="shared" si="8"/>
        <v>124.9499079819372</v>
      </c>
      <c r="F176" s="263"/>
      <c r="G176" s="190" t="str">
        <f t="shared" si="9"/>
        <v/>
      </c>
      <c r="H176" s="259" t="str">
        <f t="shared" si="10"/>
        <v/>
      </c>
      <c r="I176" s="260"/>
    </row>
    <row r="177" spans="1:9">
      <c r="A177" s="255">
        <f t="shared" si="11"/>
        <v>175</v>
      </c>
      <c r="B177" s="256">
        <v>44796</v>
      </c>
      <c r="C177" s="257">
        <v>120.39282799999999</v>
      </c>
      <c r="D177" s="258">
        <v>124.9499079819372</v>
      </c>
      <c r="E177" s="257">
        <f t="shared" si="8"/>
        <v>120.39282799999999</v>
      </c>
      <c r="F177" s="263"/>
      <c r="G177" s="190" t="str">
        <f t="shared" si="9"/>
        <v/>
      </c>
      <c r="H177" s="259" t="str">
        <f t="shared" si="10"/>
        <v/>
      </c>
      <c r="I177" s="260"/>
    </row>
    <row r="178" spans="1:9">
      <c r="A178" s="255">
        <f t="shared" si="11"/>
        <v>176</v>
      </c>
      <c r="B178" s="256">
        <v>44797</v>
      </c>
      <c r="C178" s="257">
        <v>96.681668000000002</v>
      </c>
      <c r="D178" s="258">
        <v>124.9499079819372</v>
      </c>
      <c r="E178" s="257">
        <f t="shared" si="8"/>
        <v>96.681668000000002</v>
      </c>
      <c r="F178" s="263"/>
      <c r="G178" s="190" t="str">
        <f t="shared" si="9"/>
        <v/>
      </c>
      <c r="H178" s="259" t="str">
        <f t="shared" si="10"/>
        <v/>
      </c>
      <c r="I178" s="260"/>
    </row>
    <row r="179" spans="1:9">
      <c r="A179" s="255">
        <f t="shared" si="11"/>
        <v>177</v>
      </c>
      <c r="B179" s="256">
        <v>44798</v>
      </c>
      <c r="C179" s="257">
        <v>138.73874899999998</v>
      </c>
      <c r="D179" s="258">
        <v>124.9499079819372</v>
      </c>
      <c r="E179" s="257">
        <f t="shared" si="8"/>
        <v>124.9499079819372</v>
      </c>
      <c r="F179" s="263"/>
      <c r="G179" s="190" t="str">
        <f t="shared" si="9"/>
        <v/>
      </c>
      <c r="H179" s="259" t="str">
        <f t="shared" si="10"/>
        <v/>
      </c>
      <c r="I179" s="260"/>
    </row>
    <row r="180" spans="1:9">
      <c r="A180" s="255">
        <f t="shared" si="11"/>
        <v>178</v>
      </c>
      <c r="B180" s="256">
        <v>44799</v>
      </c>
      <c r="C180" s="257">
        <v>190.45575999999997</v>
      </c>
      <c r="D180" s="258">
        <v>124.9499079819372</v>
      </c>
      <c r="E180" s="257">
        <f t="shared" si="8"/>
        <v>124.9499079819372</v>
      </c>
      <c r="F180" s="263"/>
      <c r="G180" s="190" t="str">
        <f t="shared" si="9"/>
        <v/>
      </c>
      <c r="H180" s="259" t="str">
        <f t="shared" si="10"/>
        <v/>
      </c>
      <c r="I180" s="260"/>
    </row>
    <row r="181" spans="1:9">
      <c r="A181" s="255">
        <f t="shared" si="11"/>
        <v>179</v>
      </c>
      <c r="B181" s="256">
        <v>44800</v>
      </c>
      <c r="C181" s="257">
        <v>101.60244</v>
      </c>
      <c r="D181" s="258">
        <v>124.9499079819372</v>
      </c>
      <c r="E181" s="257">
        <f t="shared" si="8"/>
        <v>101.60244</v>
      </c>
      <c r="F181" s="263"/>
      <c r="G181" s="190" t="str">
        <f t="shared" si="9"/>
        <v/>
      </c>
      <c r="H181" s="259" t="str">
        <f t="shared" si="10"/>
        <v/>
      </c>
      <c r="I181" s="260"/>
    </row>
    <row r="182" spans="1:9">
      <c r="A182" s="255">
        <f t="shared" si="11"/>
        <v>180</v>
      </c>
      <c r="B182" s="256">
        <v>44801</v>
      </c>
      <c r="C182" s="257">
        <v>106.690758</v>
      </c>
      <c r="D182" s="258">
        <v>124.9499079819372</v>
      </c>
      <c r="E182" s="257">
        <f t="shared" si="8"/>
        <v>106.690758</v>
      </c>
      <c r="F182" s="263"/>
      <c r="G182" s="190" t="str">
        <f t="shared" si="9"/>
        <v/>
      </c>
      <c r="H182" s="259" t="str">
        <f t="shared" si="10"/>
        <v/>
      </c>
      <c r="I182" s="260"/>
    </row>
    <row r="183" spans="1:9">
      <c r="A183" s="255">
        <f t="shared" si="11"/>
        <v>181</v>
      </c>
      <c r="B183" s="256">
        <v>44802</v>
      </c>
      <c r="C183" s="257">
        <v>132.67882399999999</v>
      </c>
      <c r="D183" s="258">
        <v>124.9499079819372</v>
      </c>
      <c r="E183" s="257">
        <f t="shared" si="8"/>
        <v>124.9499079819372</v>
      </c>
      <c r="F183" s="263"/>
      <c r="G183" s="190" t="str">
        <f t="shared" si="9"/>
        <v/>
      </c>
      <c r="H183" s="259" t="str">
        <f t="shared" si="10"/>
        <v/>
      </c>
      <c r="I183" s="260"/>
    </row>
    <row r="184" spans="1:9">
      <c r="A184" s="255">
        <f t="shared" si="11"/>
        <v>182</v>
      </c>
      <c r="B184" s="256">
        <v>44803</v>
      </c>
      <c r="C184" s="257">
        <v>57.546745999999999</v>
      </c>
      <c r="D184" s="258">
        <v>124.9499079819372</v>
      </c>
      <c r="E184" s="257">
        <f t="shared" si="8"/>
        <v>57.546745999999999</v>
      </c>
      <c r="F184" s="263"/>
      <c r="G184" s="190" t="str">
        <f t="shared" si="9"/>
        <v/>
      </c>
      <c r="H184" s="259" t="str">
        <f t="shared" si="10"/>
        <v/>
      </c>
      <c r="I184" s="260"/>
    </row>
    <row r="185" spans="1:9">
      <c r="A185" s="255">
        <f t="shared" si="11"/>
        <v>183</v>
      </c>
      <c r="B185" s="256">
        <v>44804</v>
      </c>
      <c r="C185" s="257">
        <v>93.822602000000003</v>
      </c>
      <c r="D185" s="258">
        <v>124.9499079819372</v>
      </c>
      <c r="E185" s="257">
        <f t="shared" si="8"/>
        <v>93.822602000000003</v>
      </c>
      <c r="F185" s="263"/>
      <c r="G185" s="190" t="str">
        <f t="shared" si="9"/>
        <v/>
      </c>
      <c r="H185" s="259" t="str">
        <f t="shared" si="10"/>
        <v/>
      </c>
      <c r="I185" s="260"/>
    </row>
    <row r="186" spans="1:9">
      <c r="A186" s="255">
        <f t="shared" si="11"/>
        <v>184</v>
      </c>
      <c r="B186" s="256">
        <v>44805</v>
      </c>
      <c r="C186" s="257">
        <v>59.959332000000003</v>
      </c>
      <c r="D186" s="258">
        <v>123.02731730208201</v>
      </c>
      <c r="E186" s="257">
        <f t="shared" si="8"/>
        <v>59.959332000000003</v>
      </c>
      <c r="F186" s="260"/>
      <c r="G186" s="190" t="str">
        <f t="shared" si="9"/>
        <v/>
      </c>
      <c r="H186" s="259" t="str">
        <f t="shared" si="10"/>
        <v/>
      </c>
      <c r="I186" s="260"/>
    </row>
    <row r="187" spans="1:9">
      <c r="A187" s="255">
        <f t="shared" si="11"/>
        <v>185</v>
      </c>
      <c r="B187" s="256">
        <v>44806</v>
      </c>
      <c r="C187" s="257">
        <v>100.20235699999999</v>
      </c>
      <c r="D187" s="258">
        <v>123.02731730208201</v>
      </c>
      <c r="E187" s="257">
        <f t="shared" si="8"/>
        <v>100.20235699999999</v>
      </c>
      <c r="F187" s="263"/>
      <c r="G187" s="190" t="str">
        <f t="shared" si="9"/>
        <v/>
      </c>
      <c r="H187" s="259" t="str">
        <f t="shared" si="10"/>
        <v/>
      </c>
      <c r="I187" s="260"/>
    </row>
    <row r="188" spans="1:9">
      <c r="A188" s="255">
        <f t="shared" si="11"/>
        <v>186</v>
      </c>
      <c r="B188" s="256">
        <v>44807</v>
      </c>
      <c r="C188" s="257">
        <v>108.900893</v>
      </c>
      <c r="D188" s="258">
        <v>123.02731730208201</v>
      </c>
      <c r="E188" s="257">
        <f t="shared" si="8"/>
        <v>108.900893</v>
      </c>
      <c r="F188" s="263"/>
      <c r="G188" s="190" t="str">
        <f t="shared" si="9"/>
        <v/>
      </c>
      <c r="H188" s="259" t="str">
        <f t="shared" si="10"/>
        <v/>
      </c>
      <c r="I188" s="260"/>
    </row>
    <row r="189" spans="1:9">
      <c r="A189" s="255">
        <f t="shared" si="11"/>
        <v>187</v>
      </c>
      <c r="B189" s="256">
        <v>44808</v>
      </c>
      <c r="C189" s="257">
        <v>142.50523999999999</v>
      </c>
      <c r="D189" s="258">
        <v>123.02731730208201</v>
      </c>
      <c r="E189" s="257">
        <f t="shared" si="8"/>
        <v>123.02731730208201</v>
      </c>
      <c r="F189" s="263"/>
      <c r="G189" s="190" t="str">
        <f t="shared" si="9"/>
        <v/>
      </c>
      <c r="H189" s="259" t="str">
        <f t="shared" si="10"/>
        <v/>
      </c>
      <c r="I189" s="260"/>
    </row>
    <row r="190" spans="1:9">
      <c r="A190" s="255">
        <f t="shared" si="11"/>
        <v>188</v>
      </c>
      <c r="B190" s="256">
        <v>44809</v>
      </c>
      <c r="C190" s="257">
        <v>157.98863299999999</v>
      </c>
      <c r="D190" s="258">
        <v>123.02731730208201</v>
      </c>
      <c r="E190" s="257">
        <f t="shared" si="8"/>
        <v>123.02731730208201</v>
      </c>
      <c r="F190" s="263"/>
      <c r="G190" s="190" t="str">
        <f t="shared" si="9"/>
        <v/>
      </c>
      <c r="H190" s="259" t="str">
        <f t="shared" si="10"/>
        <v/>
      </c>
      <c r="I190" s="260"/>
    </row>
    <row r="191" spans="1:9">
      <c r="A191" s="255">
        <f t="shared" si="11"/>
        <v>189</v>
      </c>
      <c r="B191" s="256">
        <v>44810</v>
      </c>
      <c r="C191" s="257">
        <v>156.75575499999999</v>
      </c>
      <c r="D191" s="258">
        <v>123.02731730208201</v>
      </c>
      <c r="E191" s="257">
        <f t="shared" si="8"/>
        <v>123.02731730208201</v>
      </c>
      <c r="F191" s="263"/>
      <c r="G191" s="190" t="str">
        <f t="shared" si="9"/>
        <v/>
      </c>
      <c r="H191" s="259" t="str">
        <f t="shared" si="10"/>
        <v/>
      </c>
      <c r="I191" s="260"/>
    </row>
    <row r="192" spans="1:9">
      <c r="A192" s="255">
        <f t="shared" si="11"/>
        <v>190</v>
      </c>
      <c r="B192" s="256">
        <v>44811</v>
      </c>
      <c r="C192" s="257">
        <v>140.82068100000001</v>
      </c>
      <c r="D192" s="258">
        <v>123.02731730208201</v>
      </c>
      <c r="E192" s="257">
        <f t="shared" si="8"/>
        <v>123.02731730208201</v>
      </c>
      <c r="F192" s="263"/>
      <c r="G192" s="190" t="str">
        <f t="shared" si="9"/>
        <v/>
      </c>
      <c r="H192" s="259" t="str">
        <f t="shared" si="10"/>
        <v/>
      </c>
      <c r="I192" s="260"/>
    </row>
    <row r="193" spans="1:9">
      <c r="A193" s="255">
        <f t="shared" si="11"/>
        <v>191</v>
      </c>
      <c r="B193" s="256">
        <v>44812</v>
      </c>
      <c r="C193" s="257">
        <v>82.52366099999999</v>
      </c>
      <c r="D193" s="258">
        <v>123.02731730208201</v>
      </c>
      <c r="E193" s="257">
        <f t="shared" si="8"/>
        <v>82.52366099999999</v>
      </c>
      <c r="F193" s="263"/>
      <c r="G193" s="190" t="str">
        <f t="shared" si="9"/>
        <v/>
      </c>
      <c r="H193" s="259" t="str">
        <f t="shared" si="10"/>
        <v/>
      </c>
      <c r="I193" s="260"/>
    </row>
    <row r="194" spans="1:9">
      <c r="A194" s="255">
        <f t="shared" si="11"/>
        <v>192</v>
      </c>
      <c r="B194" s="256">
        <v>44813</v>
      </c>
      <c r="C194" s="257">
        <v>61.911677000000005</v>
      </c>
      <c r="D194" s="258">
        <v>123.02731730208201</v>
      </c>
      <c r="E194" s="257">
        <f t="shared" si="8"/>
        <v>61.911677000000005</v>
      </c>
      <c r="F194" s="263"/>
      <c r="G194" s="190" t="str">
        <f t="shared" si="9"/>
        <v/>
      </c>
      <c r="H194" s="259" t="str">
        <f t="shared" si="10"/>
        <v/>
      </c>
      <c r="I194" s="260"/>
    </row>
    <row r="195" spans="1:9">
      <c r="A195" s="255">
        <f t="shared" si="11"/>
        <v>193</v>
      </c>
      <c r="B195" s="256">
        <v>44814</v>
      </c>
      <c r="C195" s="257">
        <v>41.058446000000004</v>
      </c>
      <c r="D195" s="258">
        <v>123.02731730208201</v>
      </c>
      <c r="E195" s="257">
        <f t="shared" ref="E195:E258" si="12">IF(C195&gt;D195,D195,C195)</f>
        <v>41.058446000000004</v>
      </c>
      <c r="F195" s="263"/>
      <c r="G195" s="190" t="str">
        <f t="shared" ref="G195:G258" si="13">IF(DAY(B195)=15,IF(MONTH(B195)=1,"E",IF(MONTH(B195)=2,"F",IF(MONTH(B195)=3,"M",IF(MONTH(B195)=4,"A",IF(MONTH(B195)=5,"M",IF(MONTH(B195)=6,"J",IF(MONTH(B195)=7,"J",IF(MONTH(B195)=8,"A",IF(MONTH(B195)=9,"S",IF(MONTH(B195)=10,"O",IF(MONTH(B195)=11,"N",IF(MONTH(B195)=12,"D","")))))))))))),"")</f>
        <v/>
      </c>
      <c r="H195" s="259" t="str">
        <f t="shared" ref="H195:H258" si="14">IF(DAY($B195)=15,TEXT(D195,"#,0"),"")</f>
        <v/>
      </c>
      <c r="I195" s="260"/>
    </row>
    <row r="196" spans="1:9">
      <c r="A196" s="255">
        <f t="shared" ref="A196:A259" si="15">+A195+1</f>
        <v>194</v>
      </c>
      <c r="B196" s="256">
        <v>44815</v>
      </c>
      <c r="C196" s="257">
        <v>103.561556</v>
      </c>
      <c r="D196" s="258">
        <v>123.02731730208201</v>
      </c>
      <c r="E196" s="257">
        <f t="shared" si="12"/>
        <v>103.561556</v>
      </c>
      <c r="F196" s="263"/>
      <c r="G196" s="190" t="str">
        <f t="shared" si="13"/>
        <v/>
      </c>
      <c r="H196" s="259" t="str">
        <f t="shared" si="14"/>
        <v/>
      </c>
      <c r="I196" s="260"/>
    </row>
    <row r="197" spans="1:9">
      <c r="A197" s="255">
        <f t="shared" si="15"/>
        <v>195</v>
      </c>
      <c r="B197" s="256">
        <v>44816</v>
      </c>
      <c r="C197" s="257">
        <v>194.29662999999999</v>
      </c>
      <c r="D197" s="258">
        <v>123.02731730208201</v>
      </c>
      <c r="E197" s="257">
        <f t="shared" si="12"/>
        <v>123.02731730208201</v>
      </c>
      <c r="F197" s="263"/>
      <c r="G197" s="190" t="str">
        <f t="shared" si="13"/>
        <v/>
      </c>
      <c r="H197" s="259" t="str">
        <f t="shared" si="14"/>
        <v/>
      </c>
      <c r="I197" s="260"/>
    </row>
    <row r="198" spans="1:9">
      <c r="A198" s="255">
        <f t="shared" si="15"/>
        <v>196</v>
      </c>
      <c r="B198" s="256">
        <v>44817</v>
      </c>
      <c r="C198" s="257">
        <v>262.28320299999996</v>
      </c>
      <c r="D198" s="258">
        <v>123.02731730208201</v>
      </c>
      <c r="E198" s="257">
        <f t="shared" si="12"/>
        <v>123.02731730208201</v>
      </c>
      <c r="F198" s="263"/>
      <c r="G198" s="190" t="str">
        <f t="shared" si="13"/>
        <v/>
      </c>
      <c r="H198" s="259" t="str">
        <f t="shared" si="14"/>
        <v/>
      </c>
      <c r="I198" s="260"/>
    </row>
    <row r="199" spans="1:9">
      <c r="A199" s="255">
        <f t="shared" si="15"/>
        <v>197</v>
      </c>
      <c r="B199" s="256">
        <v>44818</v>
      </c>
      <c r="C199" s="257">
        <v>135.936116</v>
      </c>
      <c r="D199" s="258">
        <v>123.02731730208201</v>
      </c>
      <c r="E199" s="257">
        <f t="shared" si="12"/>
        <v>123.02731730208201</v>
      </c>
      <c r="F199" s="263"/>
      <c r="G199" s="190" t="str">
        <f t="shared" si="13"/>
        <v/>
      </c>
      <c r="H199" s="259" t="str">
        <f t="shared" si="14"/>
        <v/>
      </c>
      <c r="I199" s="260"/>
    </row>
    <row r="200" spans="1:9">
      <c r="A200" s="255">
        <f t="shared" si="15"/>
        <v>198</v>
      </c>
      <c r="B200" s="256">
        <v>44819</v>
      </c>
      <c r="C200" s="257">
        <v>55.414898999999998</v>
      </c>
      <c r="D200" s="258">
        <v>123.02731730208201</v>
      </c>
      <c r="E200" s="257">
        <f t="shared" si="12"/>
        <v>55.414898999999998</v>
      </c>
      <c r="F200" s="263"/>
      <c r="G200" s="190" t="str">
        <f t="shared" si="13"/>
        <v>S</v>
      </c>
      <c r="H200" s="259" t="str">
        <f t="shared" si="14"/>
        <v>123,0</v>
      </c>
      <c r="I200" s="260"/>
    </row>
    <row r="201" spans="1:9">
      <c r="A201" s="255">
        <f t="shared" si="15"/>
        <v>199</v>
      </c>
      <c r="B201" s="256">
        <v>44820</v>
      </c>
      <c r="C201" s="257">
        <v>152.486412</v>
      </c>
      <c r="D201" s="258">
        <v>123.02731730208201</v>
      </c>
      <c r="E201" s="257">
        <f t="shared" si="12"/>
        <v>123.02731730208201</v>
      </c>
      <c r="F201" s="263"/>
      <c r="G201" s="190" t="str">
        <f t="shared" si="13"/>
        <v/>
      </c>
      <c r="H201" s="259" t="str">
        <f t="shared" si="14"/>
        <v/>
      </c>
      <c r="I201" s="260"/>
    </row>
    <row r="202" spans="1:9">
      <c r="A202" s="255">
        <f t="shared" si="15"/>
        <v>200</v>
      </c>
      <c r="B202" s="256">
        <v>44821</v>
      </c>
      <c r="C202" s="257">
        <v>180.35288500000001</v>
      </c>
      <c r="D202" s="258">
        <v>123.02731730208201</v>
      </c>
      <c r="E202" s="257">
        <f t="shared" si="12"/>
        <v>123.02731730208201</v>
      </c>
      <c r="F202" s="263"/>
      <c r="G202" s="190" t="str">
        <f t="shared" si="13"/>
        <v/>
      </c>
      <c r="H202" s="259" t="str">
        <f t="shared" si="14"/>
        <v/>
      </c>
      <c r="I202" s="260"/>
    </row>
    <row r="203" spans="1:9">
      <c r="A203" s="255">
        <f t="shared" si="15"/>
        <v>201</v>
      </c>
      <c r="B203" s="256">
        <v>44822</v>
      </c>
      <c r="C203" s="257">
        <v>119.394966</v>
      </c>
      <c r="D203" s="258">
        <v>123.02731730208201</v>
      </c>
      <c r="E203" s="257">
        <f t="shared" si="12"/>
        <v>119.394966</v>
      </c>
      <c r="F203" s="263"/>
      <c r="G203" s="190" t="str">
        <f t="shared" si="13"/>
        <v/>
      </c>
      <c r="H203" s="259" t="str">
        <f t="shared" si="14"/>
        <v/>
      </c>
      <c r="I203" s="260"/>
    </row>
    <row r="204" spans="1:9">
      <c r="A204" s="255">
        <f t="shared" si="15"/>
        <v>202</v>
      </c>
      <c r="B204" s="256">
        <v>44823</v>
      </c>
      <c r="C204" s="257">
        <v>80.285039999999995</v>
      </c>
      <c r="D204" s="258">
        <v>123.02731730208201</v>
      </c>
      <c r="E204" s="257">
        <f t="shared" si="12"/>
        <v>80.285039999999995</v>
      </c>
      <c r="F204" s="263"/>
      <c r="G204" s="190" t="str">
        <f t="shared" si="13"/>
        <v/>
      </c>
      <c r="H204" s="259" t="str">
        <f t="shared" si="14"/>
        <v/>
      </c>
      <c r="I204" s="260"/>
    </row>
    <row r="205" spans="1:9">
      <c r="A205" s="255">
        <f t="shared" si="15"/>
        <v>203</v>
      </c>
      <c r="B205" s="256">
        <v>44824</v>
      </c>
      <c r="C205" s="257">
        <v>100.68550399999999</v>
      </c>
      <c r="D205" s="258">
        <v>123.02731730208201</v>
      </c>
      <c r="E205" s="257">
        <f t="shared" si="12"/>
        <v>100.68550399999999</v>
      </c>
      <c r="F205" s="263"/>
      <c r="G205" s="190" t="str">
        <f t="shared" si="13"/>
        <v/>
      </c>
      <c r="H205" s="259" t="str">
        <f t="shared" si="14"/>
        <v/>
      </c>
      <c r="I205" s="260"/>
    </row>
    <row r="206" spans="1:9">
      <c r="A206" s="255">
        <f t="shared" si="15"/>
        <v>204</v>
      </c>
      <c r="B206" s="256">
        <v>44825</v>
      </c>
      <c r="C206" s="257">
        <v>99.861918000000003</v>
      </c>
      <c r="D206" s="258">
        <v>123.02731730208201</v>
      </c>
      <c r="E206" s="257">
        <f t="shared" si="12"/>
        <v>99.861918000000003</v>
      </c>
      <c r="F206" s="263"/>
      <c r="G206" s="190" t="str">
        <f t="shared" si="13"/>
        <v/>
      </c>
      <c r="H206" s="259" t="str">
        <f t="shared" si="14"/>
        <v/>
      </c>
      <c r="I206" s="260"/>
    </row>
    <row r="207" spans="1:9">
      <c r="A207" s="255">
        <f t="shared" si="15"/>
        <v>205</v>
      </c>
      <c r="B207" s="256">
        <v>44826</v>
      </c>
      <c r="C207" s="257">
        <v>46.921576000000002</v>
      </c>
      <c r="D207" s="258">
        <v>123.02731730208201</v>
      </c>
      <c r="E207" s="257">
        <f t="shared" si="12"/>
        <v>46.921576000000002</v>
      </c>
      <c r="F207" s="263"/>
      <c r="G207" s="190" t="str">
        <f t="shared" si="13"/>
        <v/>
      </c>
      <c r="H207" s="259" t="str">
        <f t="shared" si="14"/>
        <v/>
      </c>
      <c r="I207" s="260"/>
    </row>
    <row r="208" spans="1:9">
      <c r="A208" s="255">
        <f t="shared" si="15"/>
        <v>206</v>
      </c>
      <c r="B208" s="256">
        <v>44827</v>
      </c>
      <c r="C208" s="257">
        <v>84.22133500000001</v>
      </c>
      <c r="D208" s="258">
        <v>123.02731730208201</v>
      </c>
      <c r="E208" s="257">
        <f t="shared" si="12"/>
        <v>84.22133500000001</v>
      </c>
      <c r="F208" s="263"/>
      <c r="G208" s="190" t="str">
        <f t="shared" si="13"/>
        <v/>
      </c>
      <c r="H208" s="259" t="str">
        <f t="shared" si="14"/>
        <v/>
      </c>
      <c r="I208" s="260"/>
    </row>
    <row r="209" spans="1:9">
      <c r="A209" s="255">
        <f t="shared" si="15"/>
        <v>207</v>
      </c>
      <c r="B209" s="256">
        <v>44828</v>
      </c>
      <c r="C209" s="257">
        <v>166.85348099999999</v>
      </c>
      <c r="D209" s="258">
        <v>123.02731730208201</v>
      </c>
      <c r="E209" s="257">
        <f t="shared" si="12"/>
        <v>123.02731730208201</v>
      </c>
      <c r="F209" s="263"/>
      <c r="G209" s="190" t="str">
        <f t="shared" si="13"/>
        <v/>
      </c>
      <c r="H209" s="259" t="str">
        <f t="shared" si="14"/>
        <v/>
      </c>
      <c r="I209" s="260"/>
    </row>
    <row r="210" spans="1:9">
      <c r="A210" s="255">
        <f t="shared" si="15"/>
        <v>208</v>
      </c>
      <c r="B210" s="256">
        <v>44829</v>
      </c>
      <c r="C210" s="257">
        <v>171.75555800000001</v>
      </c>
      <c r="D210" s="258">
        <v>123.02731730208201</v>
      </c>
      <c r="E210" s="257">
        <f t="shared" si="12"/>
        <v>123.02731730208201</v>
      </c>
      <c r="F210" s="263"/>
      <c r="G210" s="190" t="str">
        <f t="shared" si="13"/>
        <v/>
      </c>
      <c r="H210" s="259" t="str">
        <f t="shared" si="14"/>
        <v/>
      </c>
      <c r="I210" s="260"/>
    </row>
    <row r="211" spans="1:9">
      <c r="A211" s="255">
        <f t="shared" si="15"/>
        <v>209</v>
      </c>
      <c r="B211" s="256">
        <v>44830</v>
      </c>
      <c r="C211" s="257">
        <v>157.936419</v>
      </c>
      <c r="D211" s="258">
        <v>123.02731730208201</v>
      </c>
      <c r="E211" s="257">
        <f t="shared" si="12"/>
        <v>123.02731730208201</v>
      </c>
      <c r="F211" s="263"/>
      <c r="G211" s="190" t="str">
        <f t="shared" si="13"/>
        <v/>
      </c>
      <c r="H211" s="259" t="str">
        <f t="shared" si="14"/>
        <v/>
      </c>
      <c r="I211" s="260"/>
    </row>
    <row r="212" spans="1:9">
      <c r="A212" s="255">
        <f t="shared" si="15"/>
        <v>210</v>
      </c>
      <c r="B212" s="256">
        <v>44831</v>
      </c>
      <c r="C212" s="257">
        <v>218.10363999999998</v>
      </c>
      <c r="D212" s="258">
        <v>123.02731730208201</v>
      </c>
      <c r="E212" s="257">
        <f t="shared" si="12"/>
        <v>123.02731730208201</v>
      </c>
      <c r="F212" s="263"/>
      <c r="G212" s="190" t="str">
        <f t="shared" si="13"/>
        <v/>
      </c>
      <c r="H212" s="259" t="str">
        <f t="shared" si="14"/>
        <v/>
      </c>
      <c r="I212" s="260"/>
    </row>
    <row r="213" spans="1:9">
      <c r="A213" s="255">
        <f t="shared" si="15"/>
        <v>211</v>
      </c>
      <c r="B213" s="256">
        <v>44832</v>
      </c>
      <c r="C213" s="257">
        <v>240.320943</v>
      </c>
      <c r="D213" s="258">
        <v>123.02731730208201</v>
      </c>
      <c r="E213" s="257">
        <f t="shared" si="12"/>
        <v>123.02731730208201</v>
      </c>
      <c r="F213" s="263"/>
      <c r="G213" s="190" t="str">
        <f t="shared" si="13"/>
        <v/>
      </c>
      <c r="H213" s="259" t="str">
        <f t="shared" si="14"/>
        <v/>
      </c>
      <c r="I213" s="260"/>
    </row>
    <row r="214" spans="1:9">
      <c r="A214" s="255">
        <f t="shared" si="15"/>
        <v>212</v>
      </c>
      <c r="B214" s="256">
        <v>44833</v>
      </c>
      <c r="C214" s="257">
        <v>260.021432</v>
      </c>
      <c r="D214" s="258">
        <v>123.02731730208201</v>
      </c>
      <c r="E214" s="257">
        <f t="shared" si="12"/>
        <v>123.02731730208201</v>
      </c>
      <c r="F214" s="263"/>
      <c r="G214" s="190" t="str">
        <f t="shared" si="13"/>
        <v/>
      </c>
      <c r="H214" s="259" t="str">
        <f t="shared" si="14"/>
        <v/>
      </c>
      <c r="I214" s="260"/>
    </row>
    <row r="215" spans="1:9">
      <c r="A215" s="255">
        <f t="shared" si="15"/>
        <v>213</v>
      </c>
      <c r="B215" s="256">
        <v>44834</v>
      </c>
      <c r="C215" s="257">
        <v>206.75080700000001</v>
      </c>
      <c r="D215" s="258">
        <v>123.02731730208201</v>
      </c>
      <c r="E215" s="257">
        <f t="shared" si="12"/>
        <v>123.02731730208201</v>
      </c>
      <c r="F215" s="263"/>
      <c r="G215" s="190" t="str">
        <f t="shared" si="13"/>
        <v/>
      </c>
      <c r="H215" s="259" t="str">
        <f t="shared" si="14"/>
        <v/>
      </c>
      <c r="I215" s="260"/>
    </row>
    <row r="216" spans="1:9">
      <c r="A216" s="255">
        <f t="shared" si="15"/>
        <v>214</v>
      </c>
      <c r="B216" s="256">
        <v>44835</v>
      </c>
      <c r="C216" s="257">
        <v>68.157316000000009</v>
      </c>
      <c r="D216" s="258">
        <v>143.55774537726487</v>
      </c>
      <c r="E216" s="257">
        <f t="shared" si="12"/>
        <v>68.157316000000009</v>
      </c>
      <c r="F216" s="260"/>
      <c r="G216" s="190" t="str">
        <f t="shared" si="13"/>
        <v/>
      </c>
      <c r="H216" s="259" t="str">
        <f t="shared" si="14"/>
        <v/>
      </c>
      <c r="I216" s="260"/>
    </row>
    <row r="217" spans="1:9">
      <c r="A217" s="255">
        <f t="shared" si="15"/>
        <v>215</v>
      </c>
      <c r="B217" s="256">
        <v>44836</v>
      </c>
      <c r="C217" s="257">
        <v>84.822161999999992</v>
      </c>
      <c r="D217" s="258">
        <v>143.55774537726487</v>
      </c>
      <c r="E217" s="257">
        <f t="shared" si="12"/>
        <v>84.822161999999992</v>
      </c>
      <c r="F217" s="263"/>
      <c r="G217" s="190" t="str">
        <f t="shared" si="13"/>
        <v/>
      </c>
      <c r="H217" s="259" t="str">
        <f t="shared" si="14"/>
        <v/>
      </c>
      <c r="I217" s="260"/>
    </row>
    <row r="218" spans="1:9">
      <c r="A218" s="255">
        <f t="shared" si="15"/>
        <v>216</v>
      </c>
      <c r="B218" s="256">
        <v>44837</v>
      </c>
      <c r="C218" s="257">
        <v>42.348008</v>
      </c>
      <c r="D218" s="258">
        <v>143.55774537726487</v>
      </c>
      <c r="E218" s="257">
        <f t="shared" si="12"/>
        <v>42.348008</v>
      </c>
      <c r="F218" s="263"/>
      <c r="G218" s="190" t="str">
        <f t="shared" si="13"/>
        <v/>
      </c>
      <c r="H218" s="259" t="str">
        <f t="shared" si="14"/>
        <v/>
      </c>
      <c r="I218" s="260"/>
    </row>
    <row r="219" spans="1:9">
      <c r="A219" s="255">
        <f t="shared" si="15"/>
        <v>217</v>
      </c>
      <c r="B219" s="256">
        <v>44838</v>
      </c>
      <c r="C219" s="257">
        <v>45.256483000000003</v>
      </c>
      <c r="D219" s="258">
        <v>143.55774537726487</v>
      </c>
      <c r="E219" s="257">
        <f t="shared" si="12"/>
        <v>45.256483000000003</v>
      </c>
      <c r="F219" s="263"/>
      <c r="G219" s="190" t="str">
        <f t="shared" si="13"/>
        <v/>
      </c>
      <c r="H219" s="259" t="str">
        <f t="shared" si="14"/>
        <v/>
      </c>
      <c r="I219" s="260"/>
    </row>
    <row r="220" spans="1:9">
      <c r="A220" s="255">
        <f t="shared" si="15"/>
        <v>218</v>
      </c>
      <c r="B220" s="256">
        <v>44839</v>
      </c>
      <c r="C220" s="257">
        <v>89.600700000000003</v>
      </c>
      <c r="D220" s="258">
        <v>143.55774537726487</v>
      </c>
      <c r="E220" s="257">
        <f t="shared" si="12"/>
        <v>89.600700000000003</v>
      </c>
      <c r="F220" s="263"/>
      <c r="G220" s="190" t="str">
        <f t="shared" si="13"/>
        <v/>
      </c>
      <c r="H220" s="259" t="str">
        <f t="shared" si="14"/>
        <v/>
      </c>
      <c r="I220" s="260"/>
    </row>
    <row r="221" spans="1:9">
      <c r="A221" s="255">
        <f t="shared" si="15"/>
        <v>219</v>
      </c>
      <c r="B221" s="256">
        <v>44840</v>
      </c>
      <c r="C221" s="257">
        <v>166.30056099999999</v>
      </c>
      <c r="D221" s="258">
        <v>143.55774537726487</v>
      </c>
      <c r="E221" s="257">
        <f t="shared" si="12"/>
        <v>143.55774537726487</v>
      </c>
      <c r="F221" s="263"/>
      <c r="G221" s="190" t="str">
        <f t="shared" si="13"/>
        <v/>
      </c>
      <c r="H221" s="259" t="str">
        <f t="shared" si="14"/>
        <v/>
      </c>
      <c r="I221" s="260"/>
    </row>
    <row r="222" spans="1:9">
      <c r="A222" s="255">
        <f t="shared" si="15"/>
        <v>220</v>
      </c>
      <c r="B222" s="256">
        <v>44841</v>
      </c>
      <c r="C222" s="257">
        <v>84.162767000000002</v>
      </c>
      <c r="D222" s="258">
        <v>143.55774537726487</v>
      </c>
      <c r="E222" s="257">
        <f t="shared" si="12"/>
        <v>84.162767000000002</v>
      </c>
      <c r="F222" s="263"/>
      <c r="G222" s="190" t="str">
        <f t="shared" si="13"/>
        <v/>
      </c>
      <c r="H222" s="259" t="str">
        <f t="shared" si="14"/>
        <v/>
      </c>
      <c r="I222" s="260"/>
    </row>
    <row r="223" spans="1:9">
      <c r="A223" s="255">
        <f t="shared" si="15"/>
        <v>221</v>
      </c>
      <c r="B223" s="256">
        <v>44842</v>
      </c>
      <c r="C223" s="257">
        <v>136.85900000000001</v>
      </c>
      <c r="D223" s="258">
        <v>143.55774537726487</v>
      </c>
      <c r="E223" s="257">
        <f t="shared" si="12"/>
        <v>136.85900000000001</v>
      </c>
      <c r="F223" s="263"/>
      <c r="G223" s="190" t="str">
        <f t="shared" si="13"/>
        <v/>
      </c>
      <c r="H223" s="259" t="str">
        <f t="shared" si="14"/>
        <v/>
      </c>
      <c r="I223" s="260"/>
    </row>
    <row r="224" spans="1:9">
      <c r="A224" s="255">
        <f t="shared" si="15"/>
        <v>222</v>
      </c>
      <c r="B224" s="256">
        <v>44843</v>
      </c>
      <c r="C224" s="257">
        <v>96.914221999999995</v>
      </c>
      <c r="D224" s="258">
        <v>143.55774537726487</v>
      </c>
      <c r="E224" s="257">
        <f t="shared" si="12"/>
        <v>96.914221999999995</v>
      </c>
      <c r="F224" s="263"/>
      <c r="G224" s="190" t="str">
        <f t="shared" si="13"/>
        <v/>
      </c>
      <c r="H224" s="259" t="str">
        <f t="shared" si="14"/>
        <v/>
      </c>
      <c r="I224" s="260"/>
    </row>
    <row r="225" spans="1:9">
      <c r="A225" s="255">
        <f t="shared" si="15"/>
        <v>223</v>
      </c>
      <c r="B225" s="256">
        <v>44844</v>
      </c>
      <c r="C225" s="257">
        <v>52.384353000000004</v>
      </c>
      <c r="D225" s="258">
        <v>143.55774537726487</v>
      </c>
      <c r="E225" s="257">
        <f t="shared" si="12"/>
        <v>52.384353000000004</v>
      </c>
      <c r="F225" s="263"/>
      <c r="G225" s="190" t="str">
        <f t="shared" si="13"/>
        <v/>
      </c>
      <c r="H225" s="259" t="str">
        <f t="shared" si="14"/>
        <v/>
      </c>
      <c r="I225" s="260"/>
    </row>
    <row r="226" spans="1:9">
      <c r="A226" s="255">
        <f t="shared" si="15"/>
        <v>224</v>
      </c>
      <c r="B226" s="256">
        <v>44845</v>
      </c>
      <c r="C226" s="257">
        <v>45.633096999999999</v>
      </c>
      <c r="D226" s="258">
        <v>143.55774537726487</v>
      </c>
      <c r="E226" s="257">
        <f t="shared" si="12"/>
        <v>45.633096999999999</v>
      </c>
      <c r="F226" s="263"/>
      <c r="G226" s="190" t="str">
        <f t="shared" si="13"/>
        <v/>
      </c>
      <c r="H226" s="259" t="str">
        <f t="shared" si="14"/>
        <v/>
      </c>
      <c r="I226" s="260"/>
    </row>
    <row r="227" spans="1:9">
      <c r="A227" s="255">
        <f t="shared" si="15"/>
        <v>225</v>
      </c>
      <c r="B227" s="256">
        <v>44846</v>
      </c>
      <c r="C227" s="257">
        <v>58.152637999999996</v>
      </c>
      <c r="D227" s="258">
        <v>143.55774537726487</v>
      </c>
      <c r="E227" s="257">
        <f t="shared" si="12"/>
        <v>58.152637999999996</v>
      </c>
      <c r="F227" s="263"/>
      <c r="G227" s="190" t="str">
        <f t="shared" si="13"/>
        <v/>
      </c>
      <c r="H227" s="259" t="str">
        <f t="shared" si="14"/>
        <v/>
      </c>
      <c r="I227" s="260"/>
    </row>
    <row r="228" spans="1:9">
      <c r="A228" s="255">
        <f t="shared" si="15"/>
        <v>226</v>
      </c>
      <c r="B228" s="256">
        <v>44847</v>
      </c>
      <c r="C228" s="257">
        <v>60.686548999999999</v>
      </c>
      <c r="D228" s="258">
        <v>143.55774537726487</v>
      </c>
      <c r="E228" s="257">
        <f t="shared" si="12"/>
        <v>60.686548999999999</v>
      </c>
      <c r="F228" s="263"/>
      <c r="G228" s="190" t="str">
        <f t="shared" si="13"/>
        <v/>
      </c>
      <c r="H228" s="259" t="str">
        <f t="shared" si="14"/>
        <v/>
      </c>
      <c r="I228" s="260"/>
    </row>
    <row r="229" spans="1:9">
      <c r="A229" s="255">
        <f t="shared" si="15"/>
        <v>227</v>
      </c>
      <c r="B229" s="256">
        <v>44848</v>
      </c>
      <c r="C229" s="257">
        <v>97.748600999999994</v>
      </c>
      <c r="D229" s="258">
        <v>143.55774537726487</v>
      </c>
      <c r="E229" s="257">
        <f t="shared" si="12"/>
        <v>97.748600999999994</v>
      </c>
      <c r="F229" s="263"/>
      <c r="G229" s="190" t="str">
        <f t="shared" si="13"/>
        <v/>
      </c>
      <c r="H229" s="259" t="str">
        <f t="shared" si="14"/>
        <v/>
      </c>
      <c r="I229" s="260"/>
    </row>
    <row r="230" spans="1:9">
      <c r="A230" s="255">
        <f t="shared" si="15"/>
        <v>228</v>
      </c>
      <c r="B230" s="256">
        <v>44849</v>
      </c>
      <c r="C230" s="257">
        <v>117.641891</v>
      </c>
      <c r="D230" s="258">
        <v>143.55774537726487</v>
      </c>
      <c r="E230" s="257">
        <f t="shared" si="12"/>
        <v>117.641891</v>
      </c>
      <c r="F230" s="260"/>
      <c r="G230" s="190" t="str">
        <f t="shared" si="13"/>
        <v>O</v>
      </c>
      <c r="H230" s="259" t="str">
        <f t="shared" si="14"/>
        <v>143,6</v>
      </c>
      <c r="I230" s="260"/>
    </row>
    <row r="231" spans="1:9">
      <c r="A231" s="255">
        <f t="shared" si="15"/>
        <v>229</v>
      </c>
      <c r="B231" s="256">
        <v>44850</v>
      </c>
      <c r="C231" s="257">
        <v>218.29753400000001</v>
      </c>
      <c r="D231" s="258">
        <v>143.55774537726487</v>
      </c>
      <c r="E231" s="257">
        <f t="shared" si="12"/>
        <v>143.55774537726487</v>
      </c>
      <c r="F231" s="263"/>
      <c r="G231" s="190" t="str">
        <f t="shared" si="13"/>
        <v/>
      </c>
      <c r="H231" s="259" t="str">
        <f t="shared" si="14"/>
        <v/>
      </c>
      <c r="I231" s="260"/>
    </row>
    <row r="232" spans="1:9">
      <c r="A232" s="255">
        <f t="shared" si="15"/>
        <v>230</v>
      </c>
      <c r="B232" s="256">
        <v>44851</v>
      </c>
      <c r="C232" s="257">
        <v>194.22833900000001</v>
      </c>
      <c r="D232" s="258">
        <v>143.55774537726487</v>
      </c>
      <c r="E232" s="257">
        <f t="shared" si="12"/>
        <v>143.55774537726487</v>
      </c>
      <c r="F232" s="263"/>
      <c r="G232" s="190" t="str">
        <f t="shared" si="13"/>
        <v/>
      </c>
      <c r="H232" s="259" t="str">
        <f t="shared" si="14"/>
        <v/>
      </c>
      <c r="I232" s="260"/>
    </row>
    <row r="233" spans="1:9">
      <c r="A233" s="255">
        <f t="shared" si="15"/>
        <v>231</v>
      </c>
      <c r="B233" s="256">
        <v>44852</v>
      </c>
      <c r="C233" s="257">
        <v>240.306713</v>
      </c>
      <c r="D233" s="258">
        <v>143.55774537726487</v>
      </c>
      <c r="E233" s="257">
        <f t="shared" si="12"/>
        <v>143.55774537726487</v>
      </c>
      <c r="F233" s="263"/>
      <c r="G233" s="190" t="str">
        <f t="shared" si="13"/>
        <v/>
      </c>
      <c r="H233" s="259" t="str">
        <f t="shared" si="14"/>
        <v/>
      </c>
      <c r="I233" s="260"/>
    </row>
    <row r="234" spans="1:9">
      <c r="A234" s="255">
        <f t="shared" si="15"/>
        <v>232</v>
      </c>
      <c r="B234" s="256">
        <v>44853</v>
      </c>
      <c r="C234" s="257">
        <v>282.31352700000002</v>
      </c>
      <c r="D234" s="258">
        <v>143.55774537726487</v>
      </c>
      <c r="E234" s="257">
        <f t="shared" si="12"/>
        <v>143.55774537726487</v>
      </c>
      <c r="F234" s="263"/>
      <c r="G234" s="190" t="str">
        <f t="shared" si="13"/>
        <v/>
      </c>
      <c r="H234" s="259" t="str">
        <f t="shared" si="14"/>
        <v/>
      </c>
      <c r="I234" s="260"/>
    </row>
    <row r="235" spans="1:9">
      <c r="A235" s="255">
        <f t="shared" si="15"/>
        <v>233</v>
      </c>
      <c r="B235" s="256">
        <v>44854</v>
      </c>
      <c r="C235" s="257">
        <v>304.10304400000001</v>
      </c>
      <c r="D235" s="258">
        <v>143.55774537726487</v>
      </c>
      <c r="E235" s="257">
        <f t="shared" si="12"/>
        <v>143.55774537726487</v>
      </c>
      <c r="F235" s="263"/>
      <c r="G235" s="190" t="str">
        <f t="shared" si="13"/>
        <v/>
      </c>
      <c r="H235" s="259" t="str">
        <f t="shared" si="14"/>
        <v/>
      </c>
      <c r="I235" s="260"/>
    </row>
    <row r="236" spans="1:9">
      <c r="A236" s="255">
        <f t="shared" si="15"/>
        <v>234</v>
      </c>
      <c r="B236" s="256">
        <v>44855</v>
      </c>
      <c r="C236" s="257">
        <v>261.83777899999995</v>
      </c>
      <c r="D236" s="258">
        <v>143.55774537726487</v>
      </c>
      <c r="E236" s="257">
        <f t="shared" si="12"/>
        <v>143.55774537726487</v>
      </c>
      <c r="F236" s="263"/>
      <c r="G236" s="190" t="str">
        <f t="shared" si="13"/>
        <v/>
      </c>
      <c r="H236" s="259" t="str">
        <f t="shared" si="14"/>
        <v/>
      </c>
      <c r="I236" s="260"/>
    </row>
    <row r="237" spans="1:9">
      <c r="A237" s="255">
        <f t="shared" si="15"/>
        <v>235</v>
      </c>
      <c r="B237" s="256">
        <v>44856</v>
      </c>
      <c r="C237" s="257">
        <v>255.16156000000001</v>
      </c>
      <c r="D237" s="258">
        <v>143.55774537726487</v>
      </c>
      <c r="E237" s="257">
        <f t="shared" si="12"/>
        <v>143.55774537726487</v>
      </c>
      <c r="F237" s="263"/>
      <c r="G237" s="190" t="str">
        <f t="shared" si="13"/>
        <v/>
      </c>
      <c r="H237" s="259" t="str">
        <f t="shared" si="14"/>
        <v/>
      </c>
      <c r="I237" s="260"/>
    </row>
    <row r="238" spans="1:9">
      <c r="A238" s="255">
        <f t="shared" si="15"/>
        <v>236</v>
      </c>
      <c r="B238" s="256">
        <v>44857</v>
      </c>
      <c r="C238" s="257">
        <v>310.99752799999999</v>
      </c>
      <c r="D238" s="258">
        <v>143.55774537726487</v>
      </c>
      <c r="E238" s="257">
        <f t="shared" si="12"/>
        <v>143.55774537726487</v>
      </c>
      <c r="F238" s="263"/>
      <c r="G238" s="190" t="str">
        <f t="shared" si="13"/>
        <v/>
      </c>
      <c r="H238" s="259" t="str">
        <f t="shared" si="14"/>
        <v/>
      </c>
      <c r="I238" s="260"/>
    </row>
    <row r="239" spans="1:9">
      <c r="A239" s="255">
        <f t="shared" si="15"/>
        <v>237</v>
      </c>
      <c r="B239" s="256">
        <v>44858</v>
      </c>
      <c r="C239" s="257">
        <v>137.70208400000001</v>
      </c>
      <c r="D239" s="258">
        <v>143.55774537726487</v>
      </c>
      <c r="E239" s="257">
        <f t="shared" si="12"/>
        <v>137.70208400000001</v>
      </c>
      <c r="F239" s="263"/>
      <c r="G239" s="190" t="str">
        <f t="shared" si="13"/>
        <v/>
      </c>
      <c r="H239" s="259" t="str">
        <f t="shared" si="14"/>
        <v/>
      </c>
      <c r="I239" s="260"/>
    </row>
    <row r="240" spans="1:9">
      <c r="A240" s="255">
        <f t="shared" si="15"/>
        <v>238</v>
      </c>
      <c r="B240" s="256">
        <v>44859</v>
      </c>
      <c r="C240" s="257">
        <v>245.12129899999999</v>
      </c>
      <c r="D240" s="258">
        <v>143.55774537726487</v>
      </c>
      <c r="E240" s="257">
        <f t="shared" si="12"/>
        <v>143.55774537726487</v>
      </c>
      <c r="F240" s="263"/>
      <c r="G240" s="190" t="str">
        <f t="shared" si="13"/>
        <v/>
      </c>
      <c r="H240" s="259" t="str">
        <f t="shared" si="14"/>
        <v/>
      </c>
      <c r="I240" s="260"/>
    </row>
    <row r="241" spans="1:9">
      <c r="A241" s="255">
        <f t="shared" si="15"/>
        <v>239</v>
      </c>
      <c r="B241" s="256">
        <v>44860</v>
      </c>
      <c r="C241" s="257">
        <v>177.019554</v>
      </c>
      <c r="D241" s="258">
        <v>143.55774537726487</v>
      </c>
      <c r="E241" s="257">
        <f t="shared" si="12"/>
        <v>143.55774537726487</v>
      </c>
      <c r="F241" s="263"/>
      <c r="G241" s="190" t="str">
        <f t="shared" si="13"/>
        <v/>
      </c>
      <c r="H241" s="259" t="str">
        <f t="shared" si="14"/>
        <v/>
      </c>
      <c r="I241" s="260"/>
    </row>
    <row r="242" spans="1:9">
      <c r="A242" s="255">
        <f t="shared" si="15"/>
        <v>240</v>
      </c>
      <c r="B242" s="256">
        <v>44861</v>
      </c>
      <c r="C242" s="257">
        <v>308.54284599999994</v>
      </c>
      <c r="D242" s="258">
        <v>143.55774537726487</v>
      </c>
      <c r="E242" s="257">
        <f t="shared" si="12"/>
        <v>143.55774537726487</v>
      </c>
      <c r="F242" s="263"/>
      <c r="G242" s="190" t="str">
        <f t="shared" si="13"/>
        <v/>
      </c>
      <c r="H242" s="259" t="str">
        <f t="shared" si="14"/>
        <v/>
      </c>
      <c r="I242" s="260"/>
    </row>
    <row r="243" spans="1:9">
      <c r="A243" s="255">
        <f t="shared" si="15"/>
        <v>241</v>
      </c>
      <c r="B243" s="256">
        <v>44862</v>
      </c>
      <c r="C243" s="257">
        <v>242.581006</v>
      </c>
      <c r="D243" s="258">
        <v>143.55774537726487</v>
      </c>
      <c r="E243" s="257">
        <f t="shared" si="12"/>
        <v>143.55774537726487</v>
      </c>
      <c r="F243" s="263"/>
      <c r="G243" s="190" t="str">
        <f t="shared" si="13"/>
        <v/>
      </c>
      <c r="H243" s="259" t="str">
        <f t="shared" si="14"/>
        <v/>
      </c>
      <c r="I243" s="260"/>
    </row>
    <row r="244" spans="1:9">
      <c r="A244" s="255">
        <f t="shared" si="15"/>
        <v>242</v>
      </c>
      <c r="B244" s="256">
        <v>44863</v>
      </c>
      <c r="C244" s="257">
        <v>249.407803</v>
      </c>
      <c r="D244" s="258">
        <v>143.55774537726487</v>
      </c>
      <c r="E244" s="257">
        <f t="shared" si="12"/>
        <v>143.55774537726487</v>
      </c>
      <c r="F244" s="263"/>
      <c r="G244" s="190" t="str">
        <f t="shared" si="13"/>
        <v/>
      </c>
      <c r="H244" s="259" t="str">
        <f t="shared" si="14"/>
        <v/>
      </c>
      <c r="I244" s="260"/>
    </row>
    <row r="245" spans="1:9">
      <c r="A245" s="255">
        <f t="shared" si="15"/>
        <v>243</v>
      </c>
      <c r="B245" s="256">
        <v>44864</v>
      </c>
      <c r="C245" s="257">
        <v>121.67089299999999</v>
      </c>
      <c r="D245" s="258">
        <v>143.55774537726487</v>
      </c>
      <c r="E245" s="257">
        <f t="shared" si="12"/>
        <v>121.67089299999999</v>
      </c>
      <c r="F245" s="263"/>
      <c r="G245" s="190" t="str">
        <f t="shared" si="13"/>
        <v/>
      </c>
      <c r="H245" s="259" t="str">
        <f t="shared" si="14"/>
        <v/>
      </c>
      <c r="I245" s="260"/>
    </row>
    <row r="246" spans="1:9">
      <c r="A246" s="255">
        <f t="shared" si="15"/>
        <v>244</v>
      </c>
      <c r="B246" s="256">
        <v>44865</v>
      </c>
      <c r="C246" s="257">
        <v>224.50160500000001</v>
      </c>
      <c r="D246" s="258">
        <v>143.55774537726487</v>
      </c>
      <c r="E246" s="257">
        <f t="shared" si="12"/>
        <v>143.55774537726487</v>
      </c>
      <c r="F246" s="263"/>
      <c r="G246" s="190" t="str">
        <f t="shared" si="13"/>
        <v/>
      </c>
      <c r="H246" s="259" t="str">
        <f t="shared" si="14"/>
        <v/>
      </c>
      <c r="I246" s="260"/>
    </row>
    <row r="247" spans="1:9">
      <c r="A247" s="255">
        <f t="shared" si="15"/>
        <v>245</v>
      </c>
      <c r="B247" s="256">
        <v>44866</v>
      </c>
      <c r="C247" s="257">
        <v>70.175501999999994</v>
      </c>
      <c r="D247" s="258">
        <v>195.90997281623723</v>
      </c>
      <c r="E247" s="257">
        <f t="shared" si="12"/>
        <v>70.175501999999994</v>
      </c>
      <c r="F247" s="260"/>
      <c r="G247" s="190" t="str">
        <f t="shared" si="13"/>
        <v/>
      </c>
      <c r="H247" s="259" t="str">
        <f t="shared" si="14"/>
        <v/>
      </c>
      <c r="I247" s="260"/>
    </row>
    <row r="248" spans="1:9">
      <c r="A248" s="255">
        <f t="shared" si="15"/>
        <v>246</v>
      </c>
      <c r="B248" s="256">
        <v>44867</v>
      </c>
      <c r="C248" s="257">
        <v>71.457744000000005</v>
      </c>
      <c r="D248" s="258">
        <v>195.90997281623723</v>
      </c>
      <c r="E248" s="257">
        <f t="shared" si="12"/>
        <v>71.457744000000005</v>
      </c>
      <c r="F248" s="263"/>
      <c r="G248" s="190" t="str">
        <f t="shared" si="13"/>
        <v/>
      </c>
      <c r="H248" s="259" t="str">
        <f t="shared" si="14"/>
        <v/>
      </c>
      <c r="I248" s="260"/>
    </row>
    <row r="249" spans="1:9">
      <c r="A249" s="255">
        <f t="shared" si="15"/>
        <v>247</v>
      </c>
      <c r="B249" s="256">
        <v>44868</v>
      </c>
      <c r="C249" s="257">
        <v>231.39367899999996</v>
      </c>
      <c r="D249" s="258">
        <v>195.90997281623723</v>
      </c>
      <c r="E249" s="257">
        <f t="shared" si="12"/>
        <v>195.90997281623723</v>
      </c>
      <c r="F249" s="263"/>
      <c r="G249" s="190" t="str">
        <f t="shared" si="13"/>
        <v/>
      </c>
      <c r="H249" s="259" t="str">
        <f t="shared" si="14"/>
        <v/>
      </c>
      <c r="I249" s="260"/>
    </row>
    <row r="250" spans="1:9">
      <c r="A250" s="255">
        <f t="shared" si="15"/>
        <v>248</v>
      </c>
      <c r="B250" s="256">
        <v>44869</v>
      </c>
      <c r="C250" s="257">
        <v>238.32268900000003</v>
      </c>
      <c r="D250" s="258">
        <v>195.90997281623723</v>
      </c>
      <c r="E250" s="257">
        <f t="shared" si="12"/>
        <v>195.90997281623723</v>
      </c>
      <c r="F250" s="263"/>
      <c r="G250" s="190" t="str">
        <f t="shared" si="13"/>
        <v/>
      </c>
      <c r="H250" s="259" t="str">
        <f t="shared" si="14"/>
        <v/>
      </c>
      <c r="I250" s="260"/>
    </row>
    <row r="251" spans="1:9">
      <c r="A251" s="255">
        <f t="shared" si="15"/>
        <v>249</v>
      </c>
      <c r="B251" s="256">
        <v>44870</v>
      </c>
      <c r="C251" s="257">
        <v>116.367098</v>
      </c>
      <c r="D251" s="258">
        <v>195.90997281623723</v>
      </c>
      <c r="E251" s="257">
        <f t="shared" si="12"/>
        <v>116.367098</v>
      </c>
      <c r="F251" s="263"/>
      <c r="G251" s="190" t="str">
        <f t="shared" si="13"/>
        <v/>
      </c>
      <c r="H251" s="259" t="str">
        <f t="shared" si="14"/>
        <v/>
      </c>
      <c r="I251" s="260"/>
    </row>
    <row r="252" spans="1:9">
      <c r="A252" s="255">
        <f t="shared" si="15"/>
        <v>250</v>
      </c>
      <c r="B252" s="256">
        <v>44871</v>
      </c>
      <c r="C252" s="257">
        <v>143.60430300000002</v>
      </c>
      <c r="D252" s="258">
        <v>195.90997281623723</v>
      </c>
      <c r="E252" s="257">
        <f t="shared" si="12"/>
        <v>143.60430300000002</v>
      </c>
      <c r="F252" s="263"/>
      <c r="G252" s="190" t="str">
        <f t="shared" si="13"/>
        <v/>
      </c>
      <c r="H252" s="259" t="str">
        <f t="shared" si="14"/>
        <v/>
      </c>
      <c r="I252" s="260"/>
    </row>
    <row r="253" spans="1:9">
      <c r="A253" s="255">
        <f t="shared" si="15"/>
        <v>251</v>
      </c>
      <c r="B253" s="256">
        <v>44872</v>
      </c>
      <c r="C253" s="257">
        <v>175.55631199999999</v>
      </c>
      <c r="D253" s="258">
        <v>195.90997281623723</v>
      </c>
      <c r="E253" s="257">
        <f t="shared" si="12"/>
        <v>175.55631199999999</v>
      </c>
      <c r="F253" s="263"/>
      <c r="G253" s="190" t="str">
        <f t="shared" si="13"/>
        <v/>
      </c>
      <c r="H253" s="259" t="str">
        <f t="shared" si="14"/>
        <v/>
      </c>
      <c r="I253" s="260"/>
    </row>
    <row r="254" spans="1:9">
      <c r="A254" s="255">
        <f t="shared" si="15"/>
        <v>252</v>
      </c>
      <c r="B254" s="256">
        <v>44873</v>
      </c>
      <c r="C254" s="257">
        <v>236.41002</v>
      </c>
      <c r="D254" s="258">
        <v>195.90997281623723</v>
      </c>
      <c r="E254" s="257">
        <f t="shared" si="12"/>
        <v>195.90997281623723</v>
      </c>
      <c r="F254" s="263"/>
      <c r="G254" s="190" t="str">
        <f t="shared" si="13"/>
        <v/>
      </c>
      <c r="H254" s="259" t="str">
        <f t="shared" si="14"/>
        <v/>
      </c>
      <c r="I254" s="260"/>
    </row>
    <row r="255" spans="1:9">
      <c r="A255" s="255">
        <f t="shared" si="15"/>
        <v>253</v>
      </c>
      <c r="B255" s="256">
        <v>44874</v>
      </c>
      <c r="C255" s="257">
        <v>141.32268500000001</v>
      </c>
      <c r="D255" s="258">
        <v>195.90997281623723</v>
      </c>
      <c r="E255" s="257">
        <f t="shared" si="12"/>
        <v>141.32268500000001</v>
      </c>
      <c r="F255" s="263"/>
      <c r="G255" s="190" t="str">
        <f t="shared" si="13"/>
        <v/>
      </c>
      <c r="H255" s="259" t="str">
        <f t="shared" si="14"/>
        <v/>
      </c>
      <c r="I255" s="260"/>
    </row>
    <row r="256" spans="1:9">
      <c r="A256" s="255">
        <f t="shared" si="15"/>
        <v>254</v>
      </c>
      <c r="B256" s="256">
        <v>44875</v>
      </c>
      <c r="C256" s="257">
        <v>72.621297000000013</v>
      </c>
      <c r="D256" s="258">
        <v>195.90997281623723</v>
      </c>
      <c r="E256" s="257">
        <f t="shared" si="12"/>
        <v>72.621297000000013</v>
      </c>
      <c r="F256" s="263"/>
      <c r="G256" s="190" t="str">
        <f t="shared" si="13"/>
        <v/>
      </c>
      <c r="H256" s="259" t="str">
        <f t="shared" si="14"/>
        <v/>
      </c>
      <c r="I256" s="260"/>
    </row>
    <row r="257" spans="1:9">
      <c r="A257" s="255">
        <f t="shared" si="15"/>
        <v>255</v>
      </c>
      <c r="B257" s="256">
        <v>44876</v>
      </c>
      <c r="C257" s="257">
        <v>180.16626399999998</v>
      </c>
      <c r="D257" s="258">
        <v>195.90997281623723</v>
      </c>
      <c r="E257" s="257">
        <f t="shared" si="12"/>
        <v>180.16626399999998</v>
      </c>
      <c r="F257" s="263"/>
      <c r="G257" s="190" t="str">
        <f t="shared" si="13"/>
        <v/>
      </c>
      <c r="H257" s="259" t="str">
        <f t="shared" si="14"/>
        <v/>
      </c>
      <c r="I257" s="260"/>
    </row>
    <row r="258" spans="1:9">
      <c r="A258" s="255">
        <f t="shared" si="15"/>
        <v>256</v>
      </c>
      <c r="B258" s="256">
        <v>44877</v>
      </c>
      <c r="C258" s="257">
        <v>250.86212799999998</v>
      </c>
      <c r="D258" s="258">
        <v>195.90997281623723</v>
      </c>
      <c r="E258" s="257">
        <f t="shared" si="12"/>
        <v>195.90997281623723</v>
      </c>
      <c r="F258" s="263"/>
      <c r="G258" s="190" t="str">
        <f t="shared" si="13"/>
        <v/>
      </c>
      <c r="H258" s="259" t="str">
        <f t="shared" si="14"/>
        <v/>
      </c>
      <c r="I258" s="260"/>
    </row>
    <row r="259" spans="1:9">
      <c r="A259" s="255">
        <f t="shared" si="15"/>
        <v>257</v>
      </c>
      <c r="B259" s="256">
        <v>44878</v>
      </c>
      <c r="C259" s="257">
        <v>146.40533600000001</v>
      </c>
      <c r="D259" s="258">
        <v>195.90997281623723</v>
      </c>
      <c r="E259" s="257">
        <f t="shared" ref="E259:E322" si="16">IF(C259&gt;D259,D259,C259)</f>
        <v>146.40533600000001</v>
      </c>
      <c r="F259" s="263"/>
      <c r="G259" s="190" t="str">
        <f t="shared" ref="G259:G322" si="17">IF(DAY(B259)=15,IF(MONTH(B259)=1,"E",IF(MONTH(B259)=2,"F",IF(MONTH(B259)=3,"M",IF(MONTH(B259)=4,"A",IF(MONTH(B259)=5,"M",IF(MONTH(B259)=6,"J",IF(MONTH(B259)=7,"J",IF(MONTH(B259)=8,"A",IF(MONTH(B259)=9,"S",IF(MONTH(B259)=10,"O",IF(MONTH(B259)=11,"N",IF(MONTH(B259)=12,"D","")))))))))))),"")</f>
        <v/>
      </c>
      <c r="H259" s="259" t="str">
        <f t="shared" ref="H259:H322" si="18">IF(DAY($B259)=15,TEXT(D259,"#,0"),"")</f>
        <v/>
      </c>
      <c r="I259" s="260"/>
    </row>
    <row r="260" spans="1:9">
      <c r="A260" s="255">
        <f t="shared" ref="A260:A323" si="19">+A259+1</f>
        <v>258</v>
      </c>
      <c r="B260" s="256">
        <v>44879</v>
      </c>
      <c r="C260" s="257">
        <v>187.89150700000002</v>
      </c>
      <c r="D260" s="258">
        <v>195.90997281623723</v>
      </c>
      <c r="E260" s="257">
        <f t="shared" si="16"/>
        <v>187.89150700000002</v>
      </c>
      <c r="F260" s="263"/>
      <c r="G260" s="190" t="str">
        <f t="shared" si="17"/>
        <v/>
      </c>
      <c r="H260" s="259" t="str">
        <f t="shared" si="18"/>
        <v/>
      </c>
      <c r="I260" s="260"/>
    </row>
    <row r="261" spans="1:9">
      <c r="A261" s="255">
        <f t="shared" si="19"/>
        <v>259</v>
      </c>
      <c r="B261" s="256">
        <v>44880</v>
      </c>
      <c r="C261" s="257">
        <v>347.40958699999999</v>
      </c>
      <c r="D261" s="258">
        <v>195.90997281623723</v>
      </c>
      <c r="E261" s="257">
        <f t="shared" si="16"/>
        <v>195.90997281623723</v>
      </c>
      <c r="G261" s="190" t="str">
        <f t="shared" si="17"/>
        <v>N</v>
      </c>
      <c r="H261" s="259" t="str">
        <f t="shared" si="18"/>
        <v>195,9</v>
      </c>
      <c r="I261" s="260"/>
    </row>
    <row r="262" spans="1:9">
      <c r="A262" s="255">
        <f t="shared" si="19"/>
        <v>260</v>
      </c>
      <c r="B262" s="256">
        <v>44881</v>
      </c>
      <c r="C262" s="257">
        <v>390.33011399999998</v>
      </c>
      <c r="D262" s="258">
        <v>195.90997281623723</v>
      </c>
      <c r="E262" s="257">
        <f t="shared" si="16"/>
        <v>195.90997281623723</v>
      </c>
      <c r="F262" s="263"/>
      <c r="G262" s="190" t="str">
        <f t="shared" si="17"/>
        <v/>
      </c>
      <c r="H262" s="259" t="str">
        <f t="shared" si="18"/>
        <v/>
      </c>
      <c r="I262" s="260"/>
    </row>
    <row r="263" spans="1:9">
      <c r="A263" s="255">
        <f t="shared" si="19"/>
        <v>261</v>
      </c>
      <c r="B263" s="256">
        <v>44882</v>
      </c>
      <c r="C263" s="257">
        <v>381.05672599999997</v>
      </c>
      <c r="D263" s="258">
        <v>195.90997281623723</v>
      </c>
      <c r="E263" s="257">
        <f t="shared" si="16"/>
        <v>195.90997281623723</v>
      </c>
      <c r="F263" s="263"/>
      <c r="G263" s="190" t="str">
        <f t="shared" si="17"/>
        <v/>
      </c>
      <c r="H263" s="259" t="str">
        <f t="shared" si="18"/>
        <v/>
      </c>
      <c r="I263" s="260"/>
    </row>
    <row r="264" spans="1:9">
      <c r="A264" s="255">
        <f t="shared" si="19"/>
        <v>262</v>
      </c>
      <c r="B264" s="256">
        <v>44883</v>
      </c>
      <c r="C264" s="257">
        <v>252.001475</v>
      </c>
      <c r="D264" s="258">
        <v>195.90997281623723</v>
      </c>
      <c r="E264" s="257">
        <f t="shared" si="16"/>
        <v>195.90997281623723</v>
      </c>
      <c r="F264" s="263"/>
      <c r="G264" s="190" t="str">
        <f t="shared" si="17"/>
        <v/>
      </c>
      <c r="H264" s="259" t="str">
        <f t="shared" si="18"/>
        <v/>
      </c>
      <c r="I264" s="260"/>
    </row>
    <row r="265" spans="1:9">
      <c r="A265" s="255">
        <f t="shared" si="19"/>
        <v>263</v>
      </c>
      <c r="B265" s="256">
        <v>44884</v>
      </c>
      <c r="C265" s="257">
        <v>333.36951799999997</v>
      </c>
      <c r="D265" s="258">
        <v>195.90997281623723</v>
      </c>
      <c r="E265" s="257">
        <f t="shared" si="16"/>
        <v>195.90997281623723</v>
      </c>
      <c r="F265" s="263"/>
      <c r="G265" s="190" t="str">
        <f t="shared" si="17"/>
        <v/>
      </c>
      <c r="H265" s="259" t="str">
        <f t="shared" si="18"/>
        <v/>
      </c>
      <c r="I265" s="260"/>
    </row>
    <row r="266" spans="1:9">
      <c r="A266" s="255">
        <f t="shared" si="19"/>
        <v>264</v>
      </c>
      <c r="B266" s="256">
        <v>44885</v>
      </c>
      <c r="C266" s="257">
        <v>241.10924499999999</v>
      </c>
      <c r="D266" s="258">
        <v>195.90997281623723</v>
      </c>
      <c r="E266" s="257">
        <f t="shared" si="16"/>
        <v>195.90997281623723</v>
      </c>
      <c r="F266" s="263"/>
      <c r="G266" s="190" t="str">
        <f t="shared" si="17"/>
        <v/>
      </c>
      <c r="H266" s="259" t="str">
        <f t="shared" si="18"/>
        <v/>
      </c>
      <c r="I266" s="260"/>
    </row>
    <row r="267" spans="1:9">
      <c r="A267" s="255">
        <f t="shared" si="19"/>
        <v>265</v>
      </c>
      <c r="B267" s="256">
        <v>44886</v>
      </c>
      <c r="C267" s="257">
        <v>407.86425400000002</v>
      </c>
      <c r="D267" s="258">
        <v>195.90997281623723</v>
      </c>
      <c r="E267" s="257">
        <f t="shared" si="16"/>
        <v>195.90997281623723</v>
      </c>
      <c r="F267" s="263"/>
      <c r="G267" s="190" t="str">
        <f t="shared" si="17"/>
        <v/>
      </c>
      <c r="H267" s="259" t="str">
        <f t="shared" si="18"/>
        <v/>
      </c>
      <c r="I267" s="260"/>
    </row>
    <row r="268" spans="1:9">
      <c r="A268" s="255">
        <f t="shared" si="19"/>
        <v>266</v>
      </c>
      <c r="B268" s="256">
        <v>44887</v>
      </c>
      <c r="C268" s="257">
        <v>415.00569100000001</v>
      </c>
      <c r="D268" s="258">
        <v>195.90997281623723</v>
      </c>
      <c r="E268" s="257">
        <f t="shared" si="16"/>
        <v>195.90997281623723</v>
      </c>
      <c r="F268" s="263"/>
      <c r="G268" s="190" t="str">
        <f t="shared" si="17"/>
        <v/>
      </c>
      <c r="H268" s="259" t="str">
        <f t="shared" si="18"/>
        <v/>
      </c>
      <c r="I268" s="260"/>
    </row>
    <row r="269" spans="1:9">
      <c r="A269" s="255">
        <f t="shared" si="19"/>
        <v>267</v>
      </c>
      <c r="B269" s="256">
        <v>44888</v>
      </c>
      <c r="C269" s="257">
        <v>355.59611600000005</v>
      </c>
      <c r="D269" s="258">
        <v>195.90997281623723</v>
      </c>
      <c r="E269" s="257">
        <f t="shared" si="16"/>
        <v>195.90997281623723</v>
      </c>
      <c r="F269" s="263"/>
      <c r="G269" s="190" t="str">
        <f t="shared" si="17"/>
        <v/>
      </c>
      <c r="H269" s="259" t="str">
        <f t="shared" si="18"/>
        <v/>
      </c>
      <c r="I269" s="260"/>
    </row>
    <row r="270" spans="1:9">
      <c r="A270" s="255">
        <f t="shared" si="19"/>
        <v>268</v>
      </c>
      <c r="B270" s="256">
        <v>44889</v>
      </c>
      <c r="C270" s="257">
        <v>176.46814900000001</v>
      </c>
      <c r="D270" s="258">
        <v>195.90997281623723</v>
      </c>
      <c r="E270" s="257">
        <f t="shared" si="16"/>
        <v>176.46814900000001</v>
      </c>
      <c r="F270" s="263"/>
      <c r="G270" s="190" t="str">
        <f t="shared" si="17"/>
        <v/>
      </c>
      <c r="H270" s="259" t="str">
        <f t="shared" si="18"/>
        <v/>
      </c>
      <c r="I270" s="260"/>
    </row>
    <row r="271" spans="1:9">
      <c r="A271" s="255">
        <f t="shared" si="19"/>
        <v>269</v>
      </c>
      <c r="B271" s="256">
        <v>44890</v>
      </c>
      <c r="C271" s="257">
        <v>211.492245</v>
      </c>
      <c r="D271" s="258">
        <v>195.90997281623723</v>
      </c>
      <c r="E271" s="257">
        <f t="shared" si="16"/>
        <v>195.90997281623723</v>
      </c>
      <c r="F271" s="263"/>
      <c r="G271" s="190" t="str">
        <f t="shared" si="17"/>
        <v/>
      </c>
      <c r="H271" s="259" t="str">
        <f t="shared" si="18"/>
        <v/>
      </c>
      <c r="I271" s="260"/>
    </row>
    <row r="272" spans="1:9">
      <c r="A272" s="255">
        <f t="shared" si="19"/>
        <v>270</v>
      </c>
      <c r="B272" s="256">
        <v>44891</v>
      </c>
      <c r="C272" s="257">
        <v>136.01001200000002</v>
      </c>
      <c r="D272" s="258">
        <v>195.90997281623723</v>
      </c>
      <c r="E272" s="257">
        <f t="shared" si="16"/>
        <v>136.01001200000002</v>
      </c>
      <c r="F272" s="263"/>
      <c r="G272" s="190" t="str">
        <f t="shared" si="17"/>
        <v/>
      </c>
      <c r="H272" s="259" t="str">
        <f t="shared" si="18"/>
        <v/>
      </c>
      <c r="I272" s="260"/>
    </row>
    <row r="273" spans="1:9">
      <c r="A273" s="255">
        <f t="shared" si="19"/>
        <v>271</v>
      </c>
      <c r="B273" s="256">
        <v>44892</v>
      </c>
      <c r="C273" s="257">
        <v>120.033357</v>
      </c>
      <c r="D273" s="258">
        <v>195.90997281623723</v>
      </c>
      <c r="E273" s="257">
        <f t="shared" si="16"/>
        <v>120.033357</v>
      </c>
      <c r="F273" s="263"/>
      <c r="G273" s="190" t="str">
        <f t="shared" si="17"/>
        <v/>
      </c>
      <c r="H273" s="259" t="str">
        <f t="shared" si="18"/>
        <v/>
      </c>
      <c r="I273" s="260"/>
    </row>
    <row r="274" spans="1:9">
      <c r="A274" s="255">
        <f t="shared" si="19"/>
        <v>272</v>
      </c>
      <c r="B274" s="256">
        <v>44893</v>
      </c>
      <c r="C274" s="257">
        <v>314.464944</v>
      </c>
      <c r="D274" s="258">
        <v>195.90997281623723</v>
      </c>
      <c r="E274" s="257">
        <f t="shared" si="16"/>
        <v>195.90997281623723</v>
      </c>
      <c r="F274" s="263"/>
      <c r="G274" s="190" t="str">
        <f t="shared" si="17"/>
        <v/>
      </c>
      <c r="H274" s="259" t="str">
        <f t="shared" si="18"/>
        <v/>
      </c>
      <c r="I274" s="260"/>
    </row>
    <row r="275" spans="1:9">
      <c r="A275" s="255">
        <f t="shared" si="19"/>
        <v>273</v>
      </c>
      <c r="B275" s="256">
        <v>44894</v>
      </c>
      <c r="C275" s="257">
        <v>185.585184</v>
      </c>
      <c r="D275" s="258">
        <v>195.90997281623723</v>
      </c>
      <c r="E275" s="257">
        <f t="shared" si="16"/>
        <v>185.585184</v>
      </c>
      <c r="F275" s="263"/>
      <c r="G275" s="190" t="str">
        <f t="shared" si="17"/>
        <v/>
      </c>
      <c r="H275" s="259" t="str">
        <f t="shared" si="18"/>
        <v/>
      </c>
      <c r="I275" s="260"/>
    </row>
    <row r="276" spans="1:9">
      <c r="A276" s="255">
        <f t="shared" si="19"/>
        <v>274</v>
      </c>
      <c r="B276" s="256">
        <v>44895</v>
      </c>
      <c r="C276" s="257">
        <v>56.089641</v>
      </c>
      <c r="D276" s="258">
        <v>195.90997281623723</v>
      </c>
      <c r="E276" s="257">
        <f t="shared" si="16"/>
        <v>56.089641</v>
      </c>
      <c r="F276" s="263"/>
      <c r="G276" s="190" t="str">
        <f t="shared" si="17"/>
        <v/>
      </c>
      <c r="H276" s="259" t="str">
        <f t="shared" si="18"/>
        <v/>
      </c>
      <c r="I276" s="260"/>
    </row>
    <row r="277" spans="1:9">
      <c r="A277" s="255">
        <f t="shared" si="19"/>
        <v>275</v>
      </c>
      <c r="B277" s="256">
        <v>44896</v>
      </c>
      <c r="C277" s="257">
        <v>155.51653300000001</v>
      </c>
      <c r="D277" s="258">
        <v>189.59029627377797</v>
      </c>
      <c r="E277" s="257">
        <f t="shared" si="16"/>
        <v>155.51653300000001</v>
      </c>
      <c r="F277" s="260"/>
      <c r="G277" s="190" t="str">
        <f t="shared" si="17"/>
        <v/>
      </c>
      <c r="H277" s="259" t="str">
        <f t="shared" si="18"/>
        <v/>
      </c>
      <c r="I277" s="260"/>
    </row>
    <row r="278" spans="1:9">
      <c r="A278" s="255">
        <f t="shared" si="19"/>
        <v>276</v>
      </c>
      <c r="B278" s="256">
        <v>44897</v>
      </c>
      <c r="C278" s="257">
        <v>79.187899999999999</v>
      </c>
      <c r="D278" s="258">
        <v>191.2799990143146</v>
      </c>
      <c r="E278" s="257">
        <f t="shared" si="16"/>
        <v>79.187899999999999</v>
      </c>
      <c r="F278" s="263"/>
      <c r="G278" s="190" t="str">
        <f t="shared" si="17"/>
        <v/>
      </c>
      <c r="H278" s="259" t="str">
        <f t="shared" si="18"/>
        <v/>
      </c>
      <c r="I278" s="260"/>
    </row>
    <row r="279" spans="1:9">
      <c r="A279" s="255">
        <f t="shared" si="19"/>
        <v>277</v>
      </c>
      <c r="B279" s="256">
        <v>44898</v>
      </c>
      <c r="C279" s="257">
        <v>66.065214000000012</v>
      </c>
      <c r="D279" s="258">
        <v>191.2799990143146</v>
      </c>
      <c r="E279" s="257">
        <f t="shared" si="16"/>
        <v>66.065214000000012</v>
      </c>
      <c r="F279" s="263"/>
      <c r="G279" s="190" t="str">
        <f t="shared" si="17"/>
        <v/>
      </c>
      <c r="H279" s="259" t="str">
        <f t="shared" si="18"/>
        <v/>
      </c>
      <c r="I279" s="260"/>
    </row>
    <row r="280" spans="1:9">
      <c r="A280" s="255">
        <f t="shared" si="19"/>
        <v>278</v>
      </c>
      <c r="B280" s="256">
        <v>44899</v>
      </c>
      <c r="C280" s="257">
        <v>52.734241000000004</v>
      </c>
      <c r="D280" s="258">
        <v>191.2799990143146</v>
      </c>
      <c r="E280" s="257">
        <f t="shared" si="16"/>
        <v>52.734241000000004</v>
      </c>
      <c r="F280" s="263"/>
      <c r="G280" s="190" t="str">
        <f t="shared" si="17"/>
        <v/>
      </c>
      <c r="H280" s="259" t="str">
        <f t="shared" si="18"/>
        <v/>
      </c>
      <c r="I280" s="260"/>
    </row>
    <row r="281" spans="1:9">
      <c r="A281" s="255">
        <f t="shared" si="19"/>
        <v>279</v>
      </c>
      <c r="B281" s="256">
        <v>44900</v>
      </c>
      <c r="C281" s="257">
        <v>129.03492500000002</v>
      </c>
      <c r="D281" s="258">
        <v>191.2799990143146</v>
      </c>
      <c r="E281" s="257">
        <f t="shared" si="16"/>
        <v>129.03492500000002</v>
      </c>
      <c r="F281" s="263"/>
      <c r="G281" s="190" t="str">
        <f t="shared" si="17"/>
        <v/>
      </c>
      <c r="H281" s="259" t="str">
        <f t="shared" si="18"/>
        <v/>
      </c>
      <c r="I281" s="260"/>
    </row>
    <row r="282" spans="1:9">
      <c r="A282" s="255">
        <f t="shared" si="19"/>
        <v>280</v>
      </c>
      <c r="B282" s="256">
        <v>44901</v>
      </c>
      <c r="C282" s="257">
        <v>29.196757000000002</v>
      </c>
      <c r="D282" s="258">
        <v>191.2799990143146</v>
      </c>
      <c r="E282" s="257">
        <f t="shared" si="16"/>
        <v>29.196757000000002</v>
      </c>
      <c r="F282" s="263"/>
      <c r="G282" s="190" t="str">
        <f t="shared" si="17"/>
        <v/>
      </c>
      <c r="H282" s="259" t="str">
        <f t="shared" si="18"/>
        <v/>
      </c>
      <c r="I282" s="260"/>
    </row>
    <row r="283" spans="1:9">
      <c r="A283" s="255">
        <f t="shared" si="19"/>
        <v>281</v>
      </c>
      <c r="B283" s="256">
        <v>44902</v>
      </c>
      <c r="C283" s="257">
        <v>42.074168</v>
      </c>
      <c r="D283" s="258">
        <v>191.2799990143146</v>
      </c>
      <c r="E283" s="257">
        <f t="shared" si="16"/>
        <v>42.074168</v>
      </c>
      <c r="F283" s="263"/>
      <c r="G283" s="190" t="str">
        <f t="shared" si="17"/>
        <v/>
      </c>
      <c r="H283" s="259" t="str">
        <f t="shared" si="18"/>
        <v/>
      </c>
      <c r="I283" s="260"/>
    </row>
    <row r="284" spans="1:9">
      <c r="A284" s="255">
        <f t="shared" si="19"/>
        <v>282</v>
      </c>
      <c r="B284" s="256">
        <v>44903</v>
      </c>
      <c r="C284" s="257">
        <v>177.85182599999999</v>
      </c>
      <c r="D284" s="258">
        <v>191.2799990143146</v>
      </c>
      <c r="E284" s="257">
        <f t="shared" si="16"/>
        <v>177.85182599999999</v>
      </c>
      <c r="F284" s="263"/>
      <c r="G284" s="190" t="str">
        <f t="shared" si="17"/>
        <v/>
      </c>
      <c r="H284" s="259" t="str">
        <f t="shared" si="18"/>
        <v/>
      </c>
      <c r="I284" s="260"/>
    </row>
    <row r="285" spans="1:9">
      <c r="A285" s="255">
        <f t="shared" si="19"/>
        <v>283</v>
      </c>
      <c r="B285" s="256">
        <v>44904</v>
      </c>
      <c r="C285" s="257">
        <v>178.00170900000001</v>
      </c>
      <c r="D285" s="258">
        <v>191.2799990143146</v>
      </c>
      <c r="E285" s="257">
        <f t="shared" si="16"/>
        <v>178.00170900000001</v>
      </c>
      <c r="F285" s="263"/>
      <c r="G285" s="190" t="str">
        <f t="shared" si="17"/>
        <v/>
      </c>
      <c r="H285" s="259" t="str">
        <f t="shared" si="18"/>
        <v/>
      </c>
      <c r="I285" s="260"/>
    </row>
    <row r="286" spans="1:9">
      <c r="A286" s="255">
        <f t="shared" si="19"/>
        <v>284</v>
      </c>
      <c r="B286" s="256">
        <v>44905</v>
      </c>
      <c r="C286" s="257">
        <v>250.73025799999999</v>
      </c>
      <c r="D286" s="258">
        <v>191.2799990143146</v>
      </c>
      <c r="E286" s="257">
        <f t="shared" si="16"/>
        <v>191.2799990143146</v>
      </c>
      <c r="F286" s="263"/>
      <c r="G286" s="190" t="str">
        <f t="shared" si="17"/>
        <v/>
      </c>
      <c r="H286" s="259" t="str">
        <f t="shared" si="18"/>
        <v/>
      </c>
      <c r="I286" s="260"/>
    </row>
    <row r="287" spans="1:9">
      <c r="A287" s="255">
        <f t="shared" si="19"/>
        <v>285</v>
      </c>
      <c r="B287" s="256">
        <v>44906</v>
      </c>
      <c r="C287" s="257">
        <v>140.70862700000001</v>
      </c>
      <c r="D287" s="258">
        <v>191.2799990143146</v>
      </c>
      <c r="E287" s="257">
        <f t="shared" si="16"/>
        <v>140.70862700000001</v>
      </c>
      <c r="F287" s="263"/>
      <c r="G287" s="190" t="str">
        <f t="shared" si="17"/>
        <v/>
      </c>
      <c r="H287" s="259" t="str">
        <f t="shared" si="18"/>
        <v/>
      </c>
      <c r="I287" s="260"/>
    </row>
    <row r="288" spans="1:9">
      <c r="A288" s="255">
        <f t="shared" si="19"/>
        <v>286</v>
      </c>
      <c r="B288" s="256">
        <v>44907</v>
      </c>
      <c r="C288" s="257">
        <v>343.04378199999996</v>
      </c>
      <c r="D288" s="258">
        <v>191.2799990143146</v>
      </c>
      <c r="E288" s="257">
        <f t="shared" si="16"/>
        <v>191.2799990143146</v>
      </c>
      <c r="F288" s="263"/>
      <c r="G288" s="190" t="str">
        <f t="shared" si="17"/>
        <v/>
      </c>
      <c r="H288" s="259" t="str">
        <f t="shared" si="18"/>
        <v/>
      </c>
      <c r="I288" s="260"/>
    </row>
    <row r="289" spans="1:9">
      <c r="A289" s="255">
        <f t="shared" si="19"/>
        <v>287</v>
      </c>
      <c r="B289" s="256">
        <v>44908</v>
      </c>
      <c r="C289" s="257">
        <v>284.69132999999999</v>
      </c>
      <c r="D289" s="258">
        <v>191.2799990143146</v>
      </c>
      <c r="E289" s="257">
        <f t="shared" si="16"/>
        <v>191.2799990143146</v>
      </c>
      <c r="F289" s="263"/>
      <c r="G289" s="190" t="str">
        <f t="shared" si="17"/>
        <v/>
      </c>
      <c r="H289" s="259" t="str">
        <f t="shared" si="18"/>
        <v/>
      </c>
      <c r="I289" s="260"/>
    </row>
    <row r="290" spans="1:9">
      <c r="A290" s="255">
        <f t="shared" si="19"/>
        <v>288</v>
      </c>
      <c r="B290" s="256">
        <v>44909</v>
      </c>
      <c r="C290" s="257">
        <v>243.12623400000001</v>
      </c>
      <c r="D290" s="258">
        <v>191.2799990143146</v>
      </c>
      <c r="E290" s="257">
        <f t="shared" si="16"/>
        <v>191.2799990143146</v>
      </c>
      <c r="F290" s="263"/>
      <c r="G290" s="190" t="str">
        <f t="shared" si="17"/>
        <v/>
      </c>
      <c r="H290" s="259" t="str">
        <f t="shared" si="18"/>
        <v/>
      </c>
      <c r="I290" s="260"/>
    </row>
    <row r="291" spans="1:9">
      <c r="A291" s="255">
        <f t="shared" si="19"/>
        <v>289</v>
      </c>
      <c r="B291" s="256">
        <v>44910</v>
      </c>
      <c r="C291" s="257">
        <v>189.77288799999999</v>
      </c>
      <c r="D291" s="258">
        <v>191.2799990143146</v>
      </c>
      <c r="E291" s="257">
        <f t="shared" si="16"/>
        <v>189.77288799999999</v>
      </c>
      <c r="F291" s="260"/>
      <c r="G291" s="190" t="str">
        <f t="shared" si="17"/>
        <v>D</v>
      </c>
      <c r="H291" s="259" t="str">
        <f t="shared" si="18"/>
        <v>191,3</v>
      </c>
      <c r="I291" s="260"/>
    </row>
    <row r="292" spans="1:9">
      <c r="A292" s="255">
        <f t="shared" si="19"/>
        <v>290</v>
      </c>
      <c r="B292" s="256">
        <v>44911</v>
      </c>
      <c r="C292" s="257">
        <v>139.390693</v>
      </c>
      <c r="D292" s="258">
        <v>191.2799990143146</v>
      </c>
      <c r="E292" s="257">
        <f t="shared" si="16"/>
        <v>139.390693</v>
      </c>
      <c r="F292" s="263"/>
      <c r="G292" s="190" t="str">
        <f t="shared" si="17"/>
        <v/>
      </c>
      <c r="H292" s="259" t="str">
        <f t="shared" si="18"/>
        <v/>
      </c>
      <c r="I292" s="260"/>
    </row>
    <row r="293" spans="1:9">
      <c r="A293" s="255">
        <f t="shared" si="19"/>
        <v>291</v>
      </c>
      <c r="B293" s="256">
        <v>44912</v>
      </c>
      <c r="C293" s="257">
        <v>58.323466000000003</v>
      </c>
      <c r="D293" s="258">
        <v>191.2799990143146</v>
      </c>
      <c r="E293" s="257">
        <f t="shared" si="16"/>
        <v>58.323466000000003</v>
      </c>
      <c r="F293" s="263"/>
      <c r="G293" s="190" t="str">
        <f t="shared" si="17"/>
        <v/>
      </c>
      <c r="H293" s="259" t="str">
        <f t="shared" si="18"/>
        <v/>
      </c>
      <c r="I293" s="260"/>
    </row>
    <row r="294" spans="1:9">
      <c r="A294" s="255">
        <f t="shared" si="19"/>
        <v>292</v>
      </c>
      <c r="B294" s="256">
        <v>44913</v>
      </c>
      <c r="C294" s="257">
        <v>185.34718100000001</v>
      </c>
      <c r="D294" s="258">
        <v>191.2799990143146</v>
      </c>
      <c r="E294" s="257">
        <f t="shared" si="16"/>
        <v>185.34718100000001</v>
      </c>
      <c r="F294" s="263"/>
      <c r="G294" s="190" t="str">
        <f t="shared" si="17"/>
        <v/>
      </c>
      <c r="H294" s="259" t="str">
        <f t="shared" si="18"/>
        <v/>
      </c>
      <c r="I294" s="260"/>
    </row>
    <row r="295" spans="1:9">
      <c r="A295" s="255">
        <f t="shared" si="19"/>
        <v>293</v>
      </c>
      <c r="B295" s="256">
        <v>44914</v>
      </c>
      <c r="C295" s="257">
        <v>251.11472800000001</v>
      </c>
      <c r="D295" s="258">
        <v>191.2799990143146</v>
      </c>
      <c r="E295" s="257">
        <f t="shared" si="16"/>
        <v>191.2799990143146</v>
      </c>
      <c r="F295" s="263"/>
      <c r="G295" s="190" t="str">
        <f t="shared" si="17"/>
        <v/>
      </c>
      <c r="H295" s="259" t="str">
        <f t="shared" si="18"/>
        <v/>
      </c>
      <c r="I295" s="260"/>
    </row>
    <row r="296" spans="1:9">
      <c r="A296" s="255">
        <f t="shared" si="19"/>
        <v>294</v>
      </c>
      <c r="B296" s="256">
        <v>44915</v>
      </c>
      <c r="C296" s="257">
        <v>283.64104100000003</v>
      </c>
      <c r="D296" s="258">
        <v>191.2799990143146</v>
      </c>
      <c r="E296" s="257">
        <f t="shared" si="16"/>
        <v>191.2799990143146</v>
      </c>
      <c r="F296" s="263"/>
      <c r="G296" s="190" t="str">
        <f t="shared" si="17"/>
        <v/>
      </c>
      <c r="H296" s="259" t="str">
        <f t="shared" si="18"/>
        <v/>
      </c>
      <c r="I296" s="260"/>
    </row>
    <row r="297" spans="1:9">
      <c r="A297" s="255">
        <f t="shared" si="19"/>
        <v>295</v>
      </c>
      <c r="B297" s="256">
        <v>44916</v>
      </c>
      <c r="C297" s="257">
        <v>319.57085000000001</v>
      </c>
      <c r="D297" s="258">
        <v>191.2799990143146</v>
      </c>
      <c r="E297" s="257">
        <f t="shared" si="16"/>
        <v>191.2799990143146</v>
      </c>
      <c r="F297" s="263"/>
      <c r="G297" s="190" t="str">
        <f t="shared" si="17"/>
        <v/>
      </c>
      <c r="H297" s="259" t="str">
        <f t="shared" si="18"/>
        <v/>
      </c>
      <c r="I297" s="260"/>
    </row>
    <row r="298" spans="1:9">
      <c r="A298" s="255">
        <f t="shared" si="19"/>
        <v>296</v>
      </c>
      <c r="B298" s="256">
        <v>44917</v>
      </c>
      <c r="C298" s="257">
        <v>298.98524900000001</v>
      </c>
      <c r="D298" s="258">
        <v>191.2799990143146</v>
      </c>
      <c r="E298" s="257">
        <f t="shared" si="16"/>
        <v>191.2799990143146</v>
      </c>
      <c r="F298" s="263"/>
      <c r="G298" s="190" t="str">
        <f t="shared" si="17"/>
        <v/>
      </c>
      <c r="H298" s="259" t="str">
        <f t="shared" si="18"/>
        <v/>
      </c>
      <c r="I298" s="260"/>
    </row>
    <row r="299" spans="1:9">
      <c r="A299" s="255">
        <f t="shared" si="19"/>
        <v>297</v>
      </c>
      <c r="B299" s="256">
        <v>44918</v>
      </c>
      <c r="C299" s="257">
        <v>261.61560499999996</v>
      </c>
      <c r="D299" s="258">
        <v>191.2799990143146</v>
      </c>
      <c r="E299" s="257">
        <f t="shared" si="16"/>
        <v>191.2799990143146</v>
      </c>
      <c r="F299" s="263"/>
      <c r="G299" s="190" t="str">
        <f t="shared" si="17"/>
        <v/>
      </c>
      <c r="H299" s="259" t="str">
        <f t="shared" si="18"/>
        <v/>
      </c>
      <c r="I299" s="260"/>
    </row>
    <row r="300" spans="1:9">
      <c r="A300" s="255">
        <f t="shared" si="19"/>
        <v>298</v>
      </c>
      <c r="B300" s="256">
        <v>44919</v>
      </c>
      <c r="C300" s="257">
        <v>173.962073</v>
      </c>
      <c r="D300" s="258">
        <v>191.2799990143146</v>
      </c>
      <c r="E300" s="257">
        <f t="shared" si="16"/>
        <v>173.962073</v>
      </c>
      <c r="F300" s="263"/>
      <c r="G300" s="190" t="str">
        <f t="shared" si="17"/>
        <v/>
      </c>
      <c r="H300" s="259" t="str">
        <f t="shared" si="18"/>
        <v/>
      </c>
      <c r="I300" s="260"/>
    </row>
    <row r="301" spans="1:9">
      <c r="A301" s="255">
        <f t="shared" si="19"/>
        <v>299</v>
      </c>
      <c r="B301" s="256">
        <v>44920</v>
      </c>
      <c r="C301" s="257">
        <v>170.491027</v>
      </c>
      <c r="D301" s="258">
        <v>191.2799990143146</v>
      </c>
      <c r="E301" s="257">
        <f t="shared" si="16"/>
        <v>170.491027</v>
      </c>
      <c r="F301" s="263"/>
      <c r="G301" s="190" t="str">
        <f t="shared" si="17"/>
        <v/>
      </c>
      <c r="H301" s="259" t="str">
        <f t="shared" si="18"/>
        <v/>
      </c>
      <c r="I301" s="260"/>
    </row>
    <row r="302" spans="1:9">
      <c r="A302" s="255">
        <f t="shared" si="19"/>
        <v>300</v>
      </c>
      <c r="B302" s="256">
        <v>44921</v>
      </c>
      <c r="C302" s="257">
        <v>56.465977000000002</v>
      </c>
      <c r="D302" s="258">
        <v>191.2799990143146</v>
      </c>
      <c r="E302" s="257">
        <f t="shared" si="16"/>
        <v>56.465977000000002</v>
      </c>
      <c r="F302" s="263"/>
      <c r="G302" s="190" t="str">
        <f t="shared" si="17"/>
        <v/>
      </c>
      <c r="H302" s="259" t="str">
        <f t="shared" si="18"/>
        <v/>
      </c>
      <c r="I302" s="260"/>
    </row>
    <row r="303" spans="1:9">
      <c r="A303" s="255">
        <f t="shared" si="19"/>
        <v>301</v>
      </c>
      <c r="B303" s="256">
        <v>44922</v>
      </c>
      <c r="C303" s="257">
        <v>66.91897800000001</v>
      </c>
      <c r="D303" s="258">
        <v>191.2799990143146</v>
      </c>
      <c r="E303" s="257">
        <f t="shared" si="16"/>
        <v>66.91897800000001</v>
      </c>
      <c r="F303" s="263"/>
      <c r="G303" s="190" t="str">
        <f t="shared" si="17"/>
        <v/>
      </c>
      <c r="H303" s="259" t="str">
        <f t="shared" si="18"/>
        <v/>
      </c>
      <c r="I303" s="260"/>
    </row>
    <row r="304" spans="1:9">
      <c r="A304" s="255">
        <f t="shared" si="19"/>
        <v>302</v>
      </c>
      <c r="B304" s="256">
        <v>44923</v>
      </c>
      <c r="C304" s="257">
        <v>198.117152</v>
      </c>
      <c r="D304" s="258">
        <v>191.2799990143146</v>
      </c>
      <c r="E304" s="257">
        <f t="shared" si="16"/>
        <v>191.2799990143146</v>
      </c>
      <c r="F304" s="263"/>
      <c r="G304" s="190" t="str">
        <f t="shared" si="17"/>
        <v/>
      </c>
      <c r="H304" s="259" t="str">
        <f t="shared" si="18"/>
        <v/>
      </c>
      <c r="I304" s="260"/>
    </row>
    <row r="305" spans="1:9">
      <c r="A305" s="255">
        <f t="shared" si="19"/>
        <v>303</v>
      </c>
      <c r="B305" s="256">
        <v>44924</v>
      </c>
      <c r="C305" s="257">
        <v>237.439018</v>
      </c>
      <c r="D305" s="258">
        <v>191.2799990143146</v>
      </c>
      <c r="E305" s="257">
        <f t="shared" si="16"/>
        <v>191.2799990143146</v>
      </c>
      <c r="F305" s="263"/>
      <c r="G305" s="190" t="str">
        <f t="shared" si="17"/>
        <v/>
      </c>
      <c r="H305" s="259" t="str">
        <f t="shared" si="18"/>
        <v/>
      </c>
      <c r="I305" s="260"/>
    </row>
    <row r="306" spans="1:9">
      <c r="A306" s="255">
        <f t="shared" si="19"/>
        <v>304</v>
      </c>
      <c r="B306" s="256">
        <v>44925</v>
      </c>
      <c r="C306" s="257">
        <v>315.19385</v>
      </c>
      <c r="D306" s="258">
        <v>191.2799990143146</v>
      </c>
      <c r="E306" s="257">
        <f t="shared" si="16"/>
        <v>191.2799990143146</v>
      </c>
      <c r="F306" s="263"/>
      <c r="G306" s="190" t="str">
        <f t="shared" si="17"/>
        <v/>
      </c>
      <c r="H306" s="259" t="str">
        <f t="shared" si="18"/>
        <v/>
      </c>
      <c r="I306" s="260"/>
    </row>
    <row r="307" spans="1:9">
      <c r="A307" s="255">
        <f t="shared" si="19"/>
        <v>305</v>
      </c>
      <c r="B307" s="256">
        <v>44926</v>
      </c>
      <c r="C307" s="257">
        <v>168.84421799999998</v>
      </c>
      <c r="D307" s="258">
        <v>191.2799990143146</v>
      </c>
      <c r="E307" s="257">
        <f t="shared" si="16"/>
        <v>168.84421799999998</v>
      </c>
      <c r="F307" s="263"/>
      <c r="G307" s="190" t="str">
        <f t="shared" si="17"/>
        <v/>
      </c>
      <c r="H307" s="259" t="str">
        <f t="shared" si="18"/>
        <v/>
      </c>
      <c r="I307" s="260"/>
    </row>
    <row r="308" spans="1:9">
      <c r="A308" s="255">
        <f t="shared" si="19"/>
        <v>306</v>
      </c>
      <c r="B308" s="256">
        <v>44927</v>
      </c>
      <c r="C308" s="257">
        <v>160.935801</v>
      </c>
      <c r="D308" s="258">
        <v>225.3691466531568</v>
      </c>
      <c r="E308" s="257">
        <f t="shared" si="16"/>
        <v>160.935801</v>
      </c>
      <c r="F308" s="260">
        <f>YEAR(B308)</f>
        <v>2023</v>
      </c>
      <c r="G308" s="190" t="str">
        <f t="shared" si="17"/>
        <v/>
      </c>
      <c r="H308" s="259" t="str">
        <f t="shared" si="18"/>
        <v/>
      </c>
      <c r="I308" s="260"/>
    </row>
    <row r="309" spans="1:9">
      <c r="A309" s="255">
        <f t="shared" si="19"/>
        <v>307</v>
      </c>
      <c r="B309" s="256">
        <v>44928</v>
      </c>
      <c r="C309" s="257">
        <v>96.966331999999994</v>
      </c>
      <c r="D309" s="258">
        <v>225.3691466531568</v>
      </c>
      <c r="E309" s="257">
        <f t="shared" si="16"/>
        <v>96.966331999999994</v>
      </c>
      <c r="F309" s="263"/>
      <c r="G309" s="190" t="str">
        <f t="shared" si="17"/>
        <v/>
      </c>
      <c r="H309" s="259" t="str">
        <f t="shared" si="18"/>
        <v/>
      </c>
      <c r="I309" s="260"/>
    </row>
    <row r="310" spans="1:9">
      <c r="A310" s="255">
        <f t="shared" si="19"/>
        <v>308</v>
      </c>
      <c r="B310" s="256">
        <v>44929</v>
      </c>
      <c r="C310" s="257">
        <v>69.069948999999994</v>
      </c>
      <c r="D310" s="258">
        <v>225.3691466531568</v>
      </c>
      <c r="E310" s="257">
        <f t="shared" si="16"/>
        <v>69.069948999999994</v>
      </c>
      <c r="F310" s="263"/>
      <c r="G310" s="190" t="str">
        <f t="shared" si="17"/>
        <v/>
      </c>
      <c r="H310" s="259" t="str">
        <f t="shared" si="18"/>
        <v/>
      </c>
      <c r="I310" s="260"/>
    </row>
    <row r="311" spans="1:9">
      <c r="A311" s="255">
        <f t="shared" si="19"/>
        <v>309</v>
      </c>
      <c r="B311" s="256">
        <v>44930</v>
      </c>
      <c r="C311" s="257">
        <v>65.706111000000007</v>
      </c>
      <c r="D311" s="258">
        <v>225.3691466531568</v>
      </c>
      <c r="E311" s="257">
        <f t="shared" si="16"/>
        <v>65.706111000000007</v>
      </c>
      <c r="F311" s="263"/>
      <c r="G311" s="190" t="str">
        <f t="shared" si="17"/>
        <v/>
      </c>
      <c r="H311" s="259" t="str">
        <f t="shared" si="18"/>
        <v/>
      </c>
      <c r="I311" s="260"/>
    </row>
    <row r="312" spans="1:9">
      <c r="A312" s="255">
        <f t="shared" si="19"/>
        <v>310</v>
      </c>
      <c r="B312" s="256">
        <v>44931</v>
      </c>
      <c r="C312" s="257">
        <v>43.798284000000002</v>
      </c>
      <c r="D312" s="258">
        <v>225.3691466531568</v>
      </c>
      <c r="E312" s="257">
        <f t="shared" si="16"/>
        <v>43.798284000000002</v>
      </c>
      <c r="F312" s="263"/>
      <c r="G312" s="190" t="str">
        <f t="shared" si="17"/>
        <v/>
      </c>
      <c r="H312" s="259" t="str">
        <f t="shared" si="18"/>
        <v/>
      </c>
      <c r="I312" s="260"/>
    </row>
    <row r="313" spans="1:9">
      <c r="A313" s="255">
        <f t="shared" si="19"/>
        <v>311</v>
      </c>
      <c r="B313" s="256">
        <v>44932</v>
      </c>
      <c r="C313" s="257">
        <v>84.453948999999994</v>
      </c>
      <c r="D313" s="258">
        <v>225.3691466531568</v>
      </c>
      <c r="E313" s="257">
        <f t="shared" si="16"/>
        <v>84.453948999999994</v>
      </c>
      <c r="F313" s="263"/>
      <c r="G313" s="190" t="str">
        <f t="shared" si="17"/>
        <v/>
      </c>
      <c r="H313" s="259" t="str">
        <f t="shared" si="18"/>
        <v/>
      </c>
      <c r="I313" s="260"/>
    </row>
    <row r="314" spans="1:9">
      <c r="A314" s="255">
        <f t="shared" si="19"/>
        <v>312</v>
      </c>
      <c r="B314" s="256">
        <v>44933</v>
      </c>
      <c r="C314" s="257">
        <v>304.92775300000005</v>
      </c>
      <c r="D314" s="258">
        <v>225.3691466531568</v>
      </c>
      <c r="E314" s="257">
        <f t="shared" si="16"/>
        <v>225.3691466531568</v>
      </c>
      <c r="F314" s="263"/>
      <c r="G314" s="190" t="str">
        <f t="shared" si="17"/>
        <v/>
      </c>
      <c r="H314" s="259" t="str">
        <f t="shared" si="18"/>
        <v/>
      </c>
      <c r="I314" s="260"/>
    </row>
    <row r="315" spans="1:9">
      <c r="A315" s="255">
        <f t="shared" si="19"/>
        <v>313</v>
      </c>
      <c r="B315" s="256">
        <v>44934</v>
      </c>
      <c r="C315" s="257">
        <v>373.82909100000001</v>
      </c>
      <c r="D315" s="258">
        <v>225.3691466531568</v>
      </c>
      <c r="E315" s="257">
        <f t="shared" si="16"/>
        <v>225.3691466531568</v>
      </c>
      <c r="F315" s="263"/>
      <c r="G315" s="190" t="str">
        <f t="shared" si="17"/>
        <v/>
      </c>
      <c r="H315" s="259" t="str">
        <f t="shared" si="18"/>
        <v/>
      </c>
      <c r="I315" s="260"/>
    </row>
    <row r="316" spans="1:9">
      <c r="A316" s="255">
        <f t="shared" si="19"/>
        <v>314</v>
      </c>
      <c r="B316" s="256">
        <v>44935</v>
      </c>
      <c r="C316" s="257">
        <v>299.40650099999999</v>
      </c>
      <c r="D316" s="258">
        <v>225.3691466531568</v>
      </c>
      <c r="E316" s="257">
        <f t="shared" si="16"/>
        <v>225.3691466531568</v>
      </c>
      <c r="F316" s="263"/>
      <c r="G316" s="190" t="str">
        <f t="shared" si="17"/>
        <v/>
      </c>
      <c r="H316" s="259" t="str">
        <f t="shared" si="18"/>
        <v/>
      </c>
      <c r="I316" s="260"/>
    </row>
    <row r="317" spans="1:9">
      <c r="A317" s="255">
        <f t="shared" si="19"/>
        <v>315</v>
      </c>
      <c r="B317" s="256">
        <v>44936</v>
      </c>
      <c r="C317" s="257">
        <v>208.80787000000004</v>
      </c>
      <c r="D317" s="258">
        <v>225.3691466531568</v>
      </c>
      <c r="E317" s="257">
        <f t="shared" si="16"/>
        <v>208.80787000000004</v>
      </c>
      <c r="F317" s="263"/>
      <c r="G317" s="190" t="str">
        <f t="shared" si="17"/>
        <v/>
      </c>
      <c r="H317" s="259" t="str">
        <f t="shared" si="18"/>
        <v/>
      </c>
      <c r="I317" s="260"/>
    </row>
    <row r="318" spans="1:9">
      <c r="A318" s="255">
        <f t="shared" si="19"/>
        <v>316</v>
      </c>
      <c r="B318" s="256">
        <v>44937</v>
      </c>
      <c r="C318" s="257">
        <v>197.88169099999999</v>
      </c>
      <c r="D318" s="258">
        <v>225.3691466531568</v>
      </c>
      <c r="E318" s="257">
        <f t="shared" si="16"/>
        <v>197.88169099999999</v>
      </c>
      <c r="F318" s="263"/>
      <c r="G318" s="190" t="str">
        <f t="shared" si="17"/>
        <v/>
      </c>
      <c r="H318" s="259" t="str">
        <f t="shared" si="18"/>
        <v/>
      </c>
      <c r="I318" s="260"/>
    </row>
    <row r="319" spans="1:9">
      <c r="A319" s="255">
        <f t="shared" si="19"/>
        <v>317</v>
      </c>
      <c r="B319" s="256">
        <v>44938</v>
      </c>
      <c r="C319" s="257">
        <v>148.073992</v>
      </c>
      <c r="D319" s="258">
        <v>225.3691466531568</v>
      </c>
      <c r="E319" s="257">
        <f t="shared" si="16"/>
        <v>148.073992</v>
      </c>
      <c r="F319" s="263"/>
      <c r="G319" s="190" t="str">
        <f t="shared" si="17"/>
        <v/>
      </c>
      <c r="H319" s="259" t="str">
        <f t="shared" si="18"/>
        <v/>
      </c>
      <c r="I319" s="260"/>
    </row>
    <row r="320" spans="1:9">
      <c r="A320" s="255">
        <f t="shared" si="19"/>
        <v>318</v>
      </c>
      <c r="B320" s="256">
        <v>44939</v>
      </c>
      <c r="C320" s="257">
        <v>150.789468</v>
      </c>
      <c r="D320" s="258">
        <v>225.3691466531568</v>
      </c>
      <c r="E320" s="257">
        <f t="shared" si="16"/>
        <v>150.789468</v>
      </c>
      <c r="F320" s="263"/>
      <c r="G320" s="190" t="str">
        <f t="shared" si="17"/>
        <v/>
      </c>
      <c r="H320" s="259" t="str">
        <f t="shared" si="18"/>
        <v/>
      </c>
      <c r="I320" s="260"/>
    </row>
    <row r="321" spans="1:9">
      <c r="A321" s="255">
        <f t="shared" si="19"/>
        <v>319</v>
      </c>
      <c r="B321" s="256">
        <v>44940</v>
      </c>
      <c r="C321" s="257">
        <v>180.418012</v>
      </c>
      <c r="D321" s="258">
        <v>225.3691466531568</v>
      </c>
      <c r="E321" s="257">
        <f t="shared" si="16"/>
        <v>180.418012</v>
      </c>
      <c r="F321" s="263"/>
      <c r="G321" s="190" t="str">
        <f t="shared" si="17"/>
        <v/>
      </c>
      <c r="H321" s="259" t="str">
        <f t="shared" si="18"/>
        <v/>
      </c>
      <c r="I321" s="260"/>
    </row>
    <row r="322" spans="1:9">
      <c r="A322" s="255">
        <f t="shared" si="19"/>
        <v>320</v>
      </c>
      <c r="B322" s="256">
        <v>44941</v>
      </c>
      <c r="C322" s="257">
        <v>286.82453100000004</v>
      </c>
      <c r="D322" s="258">
        <v>225.3691466531568</v>
      </c>
      <c r="E322" s="257">
        <f t="shared" si="16"/>
        <v>225.3691466531568</v>
      </c>
      <c r="F322" s="260"/>
      <c r="G322" s="190" t="str">
        <f t="shared" si="17"/>
        <v>E</v>
      </c>
      <c r="H322" s="259" t="str">
        <f t="shared" si="18"/>
        <v>225,4</v>
      </c>
      <c r="I322" s="260"/>
    </row>
    <row r="323" spans="1:9">
      <c r="A323" s="255">
        <f t="shared" si="19"/>
        <v>321</v>
      </c>
      <c r="B323" s="256">
        <v>44942</v>
      </c>
      <c r="C323" s="257">
        <v>399.92026299999998</v>
      </c>
      <c r="D323" s="258">
        <v>225.3691466531568</v>
      </c>
      <c r="E323" s="257">
        <f t="shared" ref="E323:E381" si="20">IF(C323&gt;D323,D323,C323)</f>
        <v>225.3691466531568</v>
      </c>
      <c r="F323" s="263"/>
      <c r="G323" s="190" t="str">
        <f t="shared" ref="G323:G386" si="21">IF(DAY(B323)=15,IF(MONTH(B323)=1,"E",IF(MONTH(B323)=2,"F",IF(MONTH(B323)=3,"M",IF(MONTH(B323)=4,"A",IF(MONTH(B323)=5,"M",IF(MONTH(B323)=6,"J",IF(MONTH(B323)=7,"J",IF(MONTH(B323)=8,"A",IF(MONTH(B323)=9,"S",IF(MONTH(B323)=10,"O",IF(MONTH(B323)=11,"N",IF(MONTH(B323)=12,"D","")))))))))))),"")</f>
        <v/>
      </c>
      <c r="H323" s="259" t="str">
        <f t="shared" ref="H323:H386" si="22">IF(DAY($B323)=15,TEXT(D323,"#,0"),"")</f>
        <v/>
      </c>
      <c r="I323" s="260"/>
    </row>
    <row r="324" spans="1:9">
      <c r="A324" s="255">
        <f t="shared" ref="A324:A387" si="23">+A323+1</f>
        <v>322</v>
      </c>
      <c r="B324" s="256">
        <v>44943</v>
      </c>
      <c r="C324" s="257">
        <v>390.49647299999998</v>
      </c>
      <c r="D324" s="258">
        <v>225.3691466531568</v>
      </c>
      <c r="E324" s="257">
        <f t="shared" si="20"/>
        <v>225.3691466531568</v>
      </c>
      <c r="F324" s="263"/>
      <c r="G324" s="190" t="str">
        <f t="shared" si="21"/>
        <v/>
      </c>
      <c r="H324" s="259" t="str">
        <f t="shared" si="22"/>
        <v/>
      </c>
      <c r="I324" s="260"/>
    </row>
    <row r="325" spans="1:9">
      <c r="A325" s="255">
        <f t="shared" si="23"/>
        <v>323</v>
      </c>
      <c r="B325" s="256">
        <v>44944</v>
      </c>
      <c r="C325" s="257">
        <v>357.39378199999999</v>
      </c>
      <c r="D325" s="258">
        <v>225.3691466531568</v>
      </c>
      <c r="E325" s="257">
        <f t="shared" si="20"/>
        <v>225.3691466531568</v>
      </c>
      <c r="F325" s="263"/>
      <c r="G325" s="190" t="str">
        <f t="shared" si="21"/>
        <v/>
      </c>
      <c r="H325" s="259" t="str">
        <f t="shared" si="22"/>
        <v/>
      </c>
      <c r="I325" s="260"/>
    </row>
    <row r="326" spans="1:9">
      <c r="A326" s="255">
        <f t="shared" si="23"/>
        <v>324</v>
      </c>
      <c r="B326" s="256">
        <v>44945</v>
      </c>
      <c r="C326" s="257">
        <v>371.03471000000002</v>
      </c>
      <c r="D326" s="258">
        <v>225.3691466531568</v>
      </c>
      <c r="E326" s="257">
        <f t="shared" si="20"/>
        <v>225.3691466531568</v>
      </c>
      <c r="F326" s="263"/>
      <c r="G326" s="190" t="str">
        <f t="shared" si="21"/>
        <v/>
      </c>
      <c r="H326" s="259" t="str">
        <f t="shared" si="22"/>
        <v/>
      </c>
      <c r="I326" s="260"/>
    </row>
    <row r="327" spans="1:9">
      <c r="A327" s="255">
        <f t="shared" si="23"/>
        <v>325</v>
      </c>
      <c r="B327" s="256">
        <v>44946</v>
      </c>
      <c r="C327" s="257">
        <v>271.803315</v>
      </c>
      <c r="D327" s="258">
        <v>225.3691466531568</v>
      </c>
      <c r="E327" s="257">
        <f t="shared" si="20"/>
        <v>225.3691466531568</v>
      </c>
      <c r="F327" s="263"/>
      <c r="G327" s="190" t="str">
        <f t="shared" si="21"/>
        <v/>
      </c>
      <c r="H327" s="259" t="str">
        <f t="shared" si="22"/>
        <v/>
      </c>
      <c r="I327" s="260"/>
    </row>
    <row r="328" spans="1:9">
      <c r="A328" s="255">
        <f t="shared" si="23"/>
        <v>326</v>
      </c>
      <c r="B328" s="256">
        <v>44947</v>
      </c>
      <c r="C328" s="257">
        <v>270.59378500000003</v>
      </c>
      <c r="D328" s="258">
        <v>225.3691466531568</v>
      </c>
      <c r="E328" s="257">
        <f t="shared" si="20"/>
        <v>225.3691466531568</v>
      </c>
      <c r="F328" s="263"/>
      <c r="G328" s="190" t="str">
        <f t="shared" si="21"/>
        <v/>
      </c>
      <c r="H328" s="259" t="str">
        <f t="shared" si="22"/>
        <v/>
      </c>
      <c r="I328" s="260"/>
    </row>
    <row r="329" spans="1:9">
      <c r="A329" s="255">
        <f t="shared" si="23"/>
        <v>327</v>
      </c>
      <c r="B329" s="256">
        <v>44948</v>
      </c>
      <c r="C329" s="257">
        <v>289.447138</v>
      </c>
      <c r="D329" s="258">
        <v>225.3691466531568</v>
      </c>
      <c r="E329" s="257">
        <f t="shared" si="20"/>
        <v>225.3691466531568</v>
      </c>
      <c r="F329" s="263"/>
      <c r="G329" s="190" t="str">
        <f t="shared" si="21"/>
        <v/>
      </c>
      <c r="H329" s="259" t="str">
        <f t="shared" si="22"/>
        <v/>
      </c>
      <c r="I329" s="260"/>
    </row>
    <row r="330" spans="1:9">
      <c r="A330" s="255">
        <f t="shared" si="23"/>
        <v>328</v>
      </c>
      <c r="B330" s="256">
        <v>44949</v>
      </c>
      <c r="C330" s="257">
        <v>311.17062600000003</v>
      </c>
      <c r="D330" s="258">
        <v>225.3691466531568</v>
      </c>
      <c r="E330" s="257">
        <f t="shared" si="20"/>
        <v>225.3691466531568</v>
      </c>
      <c r="F330" s="263"/>
      <c r="G330" s="190" t="str">
        <f t="shared" si="21"/>
        <v/>
      </c>
      <c r="H330" s="259" t="str">
        <f t="shared" si="22"/>
        <v/>
      </c>
      <c r="I330" s="260"/>
    </row>
    <row r="331" spans="1:9">
      <c r="A331" s="255">
        <f t="shared" si="23"/>
        <v>329</v>
      </c>
      <c r="B331" s="256">
        <v>44950</v>
      </c>
      <c r="C331" s="257">
        <v>235.11200200000002</v>
      </c>
      <c r="D331" s="258">
        <v>225.3691466531568</v>
      </c>
      <c r="E331" s="257">
        <f t="shared" si="20"/>
        <v>225.3691466531568</v>
      </c>
      <c r="F331" s="263"/>
      <c r="G331" s="190" t="str">
        <f t="shared" si="21"/>
        <v/>
      </c>
      <c r="H331" s="259" t="str">
        <f t="shared" si="22"/>
        <v/>
      </c>
      <c r="I331" s="260"/>
    </row>
    <row r="332" spans="1:9">
      <c r="A332" s="255">
        <f t="shared" si="23"/>
        <v>330</v>
      </c>
      <c r="B332" s="256">
        <v>44951</v>
      </c>
      <c r="C332" s="257">
        <v>219.82315800000001</v>
      </c>
      <c r="D332" s="258">
        <v>225.3691466531568</v>
      </c>
      <c r="E332" s="257">
        <f t="shared" si="20"/>
        <v>219.82315800000001</v>
      </c>
      <c r="F332" s="263"/>
      <c r="G332" s="190" t="str">
        <f t="shared" si="21"/>
        <v/>
      </c>
      <c r="H332" s="259" t="str">
        <f t="shared" si="22"/>
        <v/>
      </c>
      <c r="I332" s="260"/>
    </row>
    <row r="333" spans="1:9">
      <c r="A333" s="255">
        <f t="shared" si="23"/>
        <v>331</v>
      </c>
      <c r="B333" s="256">
        <v>44952</v>
      </c>
      <c r="C333" s="257">
        <v>314.12311499999998</v>
      </c>
      <c r="D333" s="258">
        <v>225.3691466531568</v>
      </c>
      <c r="E333" s="257">
        <f t="shared" si="20"/>
        <v>225.3691466531568</v>
      </c>
      <c r="F333" s="263"/>
      <c r="G333" s="190" t="str">
        <f t="shared" si="21"/>
        <v/>
      </c>
      <c r="H333" s="259" t="str">
        <f t="shared" si="22"/>
        <v/>
      </c>
      <c r="I333" s="260"/>
    </row>
    <row r="334" spans="1:9">
      <c r="A334" s="255">
        <f t="shared" si="23"/>
        <v>332</v>
      </c>
      <c r="B334" s="256">
        <v>44953</v>
      </c>
      <c r="C334" s="257">
        <v>340.81228999999996</v>
      </c>
      <c r="D334" s="258">
        <v>225.3691466531568</v>
      </c>
      <c r="E334" s="257">
        <f t="shared" si="20"/>
        <v>225.3691466531568</v>
      </c>
      <c r="F334" s="263"/>
      <c r="G334" s="190" t="str">
        <f t="shared" si="21"/>
        <v/>
      </c>
      <c r="H334" s="259" t="str">
        <f t="shared" si="22"/>
        <v/>
      </c>
      <c r="I334" s="260"/>
    </row>
    <row r="335" spans="1:9">
      <c r="A335" s="255">
        <f t="shared" si="23"/>
        <v>333</v>
      </c>
      <c r="B335" s="256">
        <v>44954</v>
      </c>
      <c r="C335" s="257">
        <v>304.66285800000003</v>
      </c>
      <c r="D335" s="258">
        <v>225.3691466531568</v>
      </c>
      <c r="E335" s="257">
        <f>IF(C335&gt;D335,D335,C335)</f>
        <v>225.3691466531568</v>
      </c>
      <c r="F335" s="263"/>
      <c r="G335" s="190" t="str">
        <f t="shared" si="21"/>
        <v/>
      </c>
      <c r="H335" s="259" t="str">
        <f t="shared" si="22"/>
        <v/>
      </c>
      <c r="I335" s="260"/>
    </row>
    <row r="336" spans="1:9">
      <c r="A336" s="255">
        <f t="shared" si="23"/>
        <v>334</v>
      </c>
      <c r="B336" s="256">
        <v>44955</v>
      </c>
      <c r="C336" s="257">
        <v>230.62103900000002</v>
      </c>
      <c r="D336" s="258">
        <v>225.3691466531568</v>
      </c>
      <c r="E336" s="257">
        <f t="shared" si="20"/>
        <v>225.3691466531568</v>
      </c>
      <c r="F336" s="260"/>
      <c r="G336" s="190" t="str">
        <f t="shared" si="21"/>
        <v/>
      </c>
      <c r="H336" s="259" t="str">
        <f t="shared" si="22"/>
        <v/>
      </c>
      <c r="I336" s="260"/>
    </row>
    <row r="337" spans="1:9">
      <c r="A337" s="255">
        <f t="shared" si="23"/>
        <v>335</v>
      </c>
      <c r="B337" s="256">
        <v>44956</v>
      </c>
      <c r="C337" s="257">
        <v>154.95181599999998</v>
      </c>
      <c r="D337" s="258">
        <v>225.3691466531568</v>
      </c>
      <c r="E337" s="257">
        <f t="shared" si="20"/>
        <v>154.95181599999998</v>
      </c>
      <c r="F337" s="260"/>
      <c r="G337" s="190" t="str">
        <f t="shared" si="21"/>
        <v/>
      </c>
      <c r="H337" s="259" t="str">
        <f t="shared" si="22"/>
        <v/>
      </c>
      <c r="I337" s="260"/>
    </row>
    <row r="338" spans="1:9">
      <c r="A338" s="255">
        <f t="shared" si="23"/>
        <v>336</v>
      </c>
      <c r="B338" s="256">
        <v>44957</v>
      </c>
      <c r="C338" s="257">
        <v>209.53903200000002</v>
      </c>
      <c r="D338" s="258">
        <v>225.3691466531568</v>
      </c>
      <c r="E338" s="257">
        <f t="shared" si="20"/>
        <v>209.53903200000002</v>
      </c>
      <c r="F338" s="263"/>
      <c r="G338" s="190" t="str">
        <f t="shared" si="21"/>
        <v/>
      </c>
      <c r="H338" s="259" t="str">
        <f t="shared" si="22"/>
        <v/>
      </c>
      <c r="I338" s="260"/>
    </row>
    <row r="339" spans="1:9">
      <c r="A339" s="255">
        <f t="shared" si="23"/>
        <v>337</v>
      </c>
      <c r="B339" s="256">
        <v>44958</v>
      </c>
      <c r="C339" s="257">
        <v>214.66819099999998</v>
      </c>
      <c r="D339" s="258">
        <v>228.61213933920766</v>
      </c>
      <c r="E339" s="257">
        <f t="shared" si="20"/>
        <v>214.66819099999998</v>
      </c>
      <c r="F339" s="263"/>
      <c r="G339" s="190" t="str">
        <f t="shared" si="21"/>
        <v/>
      </c>
      <c r="H339" s="259" t="str">
        <f t="shared" si="22"/>
        <v/>
      </c>
      <c r="I339" s="260"/>
    </row>
    <row r="340" spans="1:9">
      <c r="A340" s="255">
        <f t="shared" si="23"/>
        <v>338</v>
      </c>
      <c r="B340" s="256">
        <v>44959</v>
      </c>
      <c r="C340" s="257">
        <v>113.531948</v>
      </c>
      <c r="D340" s="258">
        <v>228.61213933920766</v>
      </c>
      <c r="E340" s="257">
        <f t="shared" si="20"/>
        <v>113.531948</v>
      </c>
      <c r="F340" s="263"/>
      <c r="G340" s="190" t="str">
        <f t="shared" si="21"/>
        <v/>
      </c>
      <c r="H340" s="259" t="str">
        <f t="shared" si="22"/>
        <v/>
      </c>
      <c r="I340" s="260"/>
    </row>
    <row r="341" spans="1:9">
      <c r="A341" s="255">
        <f t="shared" si="23"/>
        <v>339</v>
      </c>
      <c r="B341" s="256">
        <v>44960</v>
      </c>
      <c r="C341" s="257">
        <v>62.026834000000001</v>
      </c>
      <c r="D341" s="258">
        <v>228.61213933920766</v>
      </c>
      <c r="E341" s="257">
        <f t="shared" si="20"/>
        <v>62.026834000000001</v>
      </c>
      <c r="F341" s="263"/>
      <c r="G341" s="190" t="str">
        <f t="shared" si="21"/>
        <v/>
      </c>
      <c r="H341" s="259" t="str">
        <f t="shared" si="22"/>
        <v/>
      </c>
      <c r="I341" s="260"/>
    </row>
    <row r="342" spans="1:9">
      <c r="A342" s="255">
        <f t="shared" si="23"/>
        <v>340</v>
      </c>
      <c r="B342" s="256">
        <v>44961</v>
      </c>
      <c r="C342" s="257">
        <v>186.65705500000001</v>
      </c>
      <c r="D342" s="258">
        <v>228.61213933920766</v>
      </c>
      <c r="E342" s="257">
        <f t="shared" si="20"/>
        <v>186.65705500000001</v>
      </c>
      <c r="F342" s="263"/>
      <c r="G342" s="190" t="str">
        <f t="shared" si="21"/>
        <v/>
      </c>
      <c r="H342" s="259" t="str">
        <f t="shared" si="22"/>
        <v/>
      </c>
      <c r="I342" s="260"/>
    </row>
    <row r="343" spans="1:9">
      <c r="A343" s="255">
        <f t="shared" si="23"/>
        <v>341</v>
      </c>
      <c r="B343" s="256">
        <v>44962</v>
      </c>
      <c r="C343" s="257">
        <v>282.58626600000002</v>
      </c>
      <c r="D343" s="258">
        <v>228.61213933920766</v>
      </c>
      <c r="E343" s="257">
        <f t="shared" si="20"/>
        <v>228.61213933920766</v>
      </c>
      <c r="F343" s="263"/>
      <c r="G343" s="190" t="str">
        <f t="shared" si="21"/>
        <v/>
      </c>
      <c r="H343" s="259" t="str">
        <f t="shared" si="22"/>
        <v/>
      </c>
      <c r="I343" s="260"/>
    </row>
    <row r="344" spans="1:9">
      <c r="A344" s="255">
        <f t="shared" si="23"/>
        <v>342</v>
      </c>
      <c r="B344" s="256">
        <v>44963</v>
      </c>
      <c r="C344" s="257">
        <v>276.83534900000001</v>
      </c>
      <c r="D344" s="258">
        <v>228.61213933920766</v>
      </c>
      <c r="E344" s="257">
        <f t="shared" si="20"/>
        <v>228.61213933920766</v>
      </c>
      <c r="F344" s="263"/>
      <c r="G344" s="190" t="str">
        <f t="shared" si="21"/>
        <v/>
      </c>
      <c r="H344" s="259" t="str">
        <f t="shared" si="22"/>
        <v/>
      </c>
      <c r="I344" s="260"/>
    </row>
    <row r="345" spans="1:9">
      <c r="A345" s="255">
        <f t="shared" si="23"/>
        <v>343</v>
      </c>
      <c r="B345" s="256">
        <v>44964</v>
      </c>
      <c r="C345" s="257">
        <v>188.20928000000001</v>
      </c>
      <c r="D345" s="258">
        <v>228.61213933920766</v>
      </c>
      <c r="E345" s="257">
        <f t="shared" si="20"/>
        <v>188.20928000000001</v>
      </c>
      <c r="F345" s="263"/>
      <c r="G345" s="190" t="str">
        <f t="shared" si="21"/>
        <v/>
      </c>
      <c r="H345" s="259" t="str">
        <f t="shared" si="22"/>
        <v/>
      </c>
      <c r="I345" s="260"/>
    </row>
    <row r="346" spans="1:9">
      <c r="A346" s="255">
        <f t="shared" si="23"/>
        <v>344</v>
      </c>
      <c r="B346" s="256">
        <v>44965</v>
      </c>
      <c r="C346" s="257">
        <v>171.25630999999998</v>
      </c>
      <c r="D346" s="258">
        <v>228.61213933920766</v>
      </c>
      <c r="E346" s="257">
        <f t="shared" si="20"/>
        <v>171.25630999999998</v>
      </c>
      <c r="F346" s="263"/>
      <c r="G346" s="190" t="str">
        <f t="shared" si="21"/>
        <v/>
      </c>
      <c r="H346" s="259" t="str">
        <f t="shared" si="22"/>
        <v/>
      </c>
      <c r="I346" s="260"/>
    </row>
    <row r="347" spans="1:9">
      <c r="A347" s="255">
        <f t="shared" si="23"/>
        <v>345</v>
      </c>
      <c r="B347" s="256">
        <v>44966</v>
      </c>
      <c r="C347" s="257">
        <v>137.45270300000001</v>
      </c>
      <c r="D347" s="258">
        <v>228.61213933920766</v>
      </c>
      <c r="E347" s="257">
        <f t="shared" si="20"/>
        <v>137.45270300000001</v>
      </c>
      <c r="F347" s="263"/>
      <c r="G347" s="190" t="str">
        <f t="shared" si="21"/>
        <v/>
      </c>
      <c r="H347" s="259" t="str">
        <f t="shared" si="22"/>
        <v/>
      </c>
      <c r="I347" s="260"/>
    </row>
    <row r="348" spans="1:9">
      <c r="A348" s="255">
        <f t="shared" si="23"/>
        <v>346</v>
      </c>
      <c r="B348" s="256">
        <v>44967</v>
      </c>
      <c r="C348" s="257">
        <v>127.43710400000001</v>
      </c>
      <c r="D348" s="258">
        <v>228.61213933920766</v>
      </c>
      <c r="E348" s="257">
        <f t="shared" si="20"/>
        <v>127.43710400000001</v>
      </c>
      <c r="F348" s="263"/>
      <c r="G348" s="190" t="str">
        <f t="shared" si="21"/>
        <v/>
      </c>
      <c r="H348" s="259" t="str">
        <f t="shared" si="22"/>
        <v/>
      </c>
      <c r="I348" s="260"/>
    </row>
    <row r="349" spans="1:9">
      <c r="A349" s="255">
        <f t="shared" si="23"/>
        <v>347</v>
      </c>
      <c r="B349" s="256">
        <v>44968</v>
      </c>
      <c r="C349" s="257">
        <v>156.803438</v>
      </c>
      <c r="D349" s="258">
        <v>228.61213933920766</v>
      </c>
      <c r="E349" s="257">
        <f t="shared" si="20"/>
        <v>156.803438</v>
      </c>
      <c r="F349" s="263"/>
      <c r="G349" s="190" t="str">
        <f t="shared" si="21"/>
        <v/>
      </c>
      <c r="H349" s="259" t="str">
        <f t="shared" si="22"/>
        <v/>
      </c>
      <c r="I349" s="260"/>
    </row>
    <row r="350" spans="1:9">
      <c r="A350" s="255">
        <f t="shared" si="23"/>
        <v>348</v>
      </c>
      <c r="B350" s="256">
        <v>44969</v>
      </c>
      <c r="C350" s="257">
        <v>146.98482899999999</v>
      </c>
      <c r="D350" s="258">
        <v>228.61213933920766</v>
      </c>
      <c r="E350" s="257">
        <f t="shared" si="20"/>
        <v>146.98482899999999</v>
      </c>
      <c r="F350" s="263"/>
      <c r="G350" s="190" t="str">
        <f t="shared" si="21"/>
        <v/>
      </c>
      <c r="H350" s="259" t="str">
        <f t="shared" si="22"/>
        <v/>
      </c>
      <c r="I350" s="260"/>
    </row>
    <row r="351" spans="1:9">
      <c r="A351" s="255">
        <f t="shared" si="23"/>
        <v>349</v>
      </c>
      <c r="B351" s="256">
        <v>44970</v>
      </c>
      <c r="C351" s="257">
        <v>153.12428299999999</v>
      </c>
      <c r="D351" s="258">
        <v>228.61213933920766</v>
      </c>
      <c r="E351" s="257">
        <f t="shared" si="20"/>
        <v>153.12428299999999</v>
      </c>
      <c r="F351" s="260"/>
      <c r="G351" s="190" t="str">
        <f t="shared" si="21"/>
        <v/>
      </c>
      <c r="H351" s="259" t="str">
        <f t="shared" si="22"/>
        <v/>
      </c>
      <c r="I351" s="260"/>
    </row>
    <row r="352" spans="1:9">
      <c r="A352" s="255">
        <f t="shared" si="23"/>
        <v>350</v>
      </c>
      <c r="B352" s="256">
        <v>44971</v>
      </c>
      <c r="C352" s="257">
        <v>216.527355</v>
      </c>
      <c r="D352" s="258">
        <v>228.61213933920766</v>
      </c>
      <c r="E352" s="257">
        <f t="shared" si="20"/>
        <v>216.527355</v>
      </c>
      <c r="F352" s="263"/>
      <c r="G352" s="190" t="str">
        <f t="shared" si="21"/>
        <v/>
      </c>
      <c r="H352" s="259" t="str">
        <f t="shared" si="22"/>
        <v/>
      </c>
      <c r="I352" s="260"/>
    </row>
    <row r="353" spans="1:9">
      <c r="A353" s="255">
        <f t="shared" si="23"/>
        <v>351</v>
      </c>
      <c r="B353" s="256">
        <v>44972</v>
      </c>
      <c r="C353" s="257">
        <v>116.140531</v>
      </c>
      <c r="D353" s="258">
        <v>228.61213933920766</v>
      </c>
      <c r="E353" s="257">
        <f t="shared" si="20"/>
        <v>116.140531</v>
      </c>
      <c r="F353" s="263"/>
      <c r="G353" s="190" t="str">
        <f t="shared" si="21"/>
        <v>F</v>
      </c>
      <c r="H353" s="259" t="str">
        <f t="shared" si="22"/>
        <v>228,6</v>
      </c>
      <c r="I353" s="260"/>
    </row>
    <row r="354" spans="1:9">
      <c r="A354" s="255">
        <f t="shared" si="23"/>
        <v>352</v>
      </c>
      <c r="B354" s="256">
        <v>44973</v>
      </c>
      <c r="C354" s="257">
        <v>58.767522</v>
      </c>
      <c r="D354" s="258">
        <v>228.61213933920766</v>
      </c>
      <c r="E354" s="257">
        <f t="shared" si="20"/>
        <v>58.767522</v>
      </c>
      <c r="F354" s="263"/>
      <c r="G354" s="190" t="str">
        <f t="shared" si="21"/>
        <v/>
      </c>
      <c r="H354" s="259" t="str">
        <f t="shared" si="22"/>
        <v/>
      </c>
      <c r="I354" s="260"/>
    </row>
    <row r="355" spans="1:9">
      <c r="A355" s="255">
        <f t="shared" si="23"/>
        <v>353</v>
      </c>
      <c r="B355" s="256">
        <v>44974</v>
      </c>
      <c r="C355" s="257">
        <v>135.07408600000002</v>
      </c>
      <c r="D355" s="258">
        <v>228.61213933920766</v>
      </c>
      <c r="E355" s="257">
        <f t="shared" si="20"/>
        <v>135.07408600000002</v>
      </c>
      <c r="F355" s="263"/>
      <c r="G355" s="190" t="str">
        <f t="shared" si="21"/>
        <v/>
      </c>
      <c r="H355" s="259" t="str">
        <f t="shared" si="22"/>
        <v/>
      </c>
      <c r="I355" s="260"/>
    </row>
    <row r="356" spans="1:9">
      <c r="A356" s="255">
        <f t="shared" si="23"/>
        <v>354</v>
      </c>
      <c r="B356" s="256">
        <v>44975</v>
      </c>
      <c r="C356" s="257">
        <v>108.783957</v>
      </c>
      <c r="D356" s="258">
        <v>228.61213933920766</v>
      </c>
      <c r="E356" s="257">
        <f t="shared" si="20"/>
        <v>108.783957</v>
      </c>
      <c r="F356" s="263"/>
      <c r="G356" s="190" t="str">
        <f t="shared" si="21"/>
        <v/>
      </c>
      <c r="H356" s="259" t="str">
        <f t="shared" si="22"/>
        <v/>
      </c>
      <c r="I356" s="260"/>
    </row>
    <row r="357" spans="1:9">
      <c r="A357" s="255">
        <f t="shared" si="23"/>
        <v>355</v>
      </c>
      <c r="B357" s="256">
        <v>44976</v>
      </c>
      <c r="C357" s="257">
        <v>119.477476</v>
      </c>
      <c r="D357" s="258">
        <v>228.61213933920766</v>
      </c>
      <c r="E357" s="257">
        <f t="shared" si="20"/>
        <v>119.477476</v>
      </c>
      <c r="F357" s="263"/>
      <c r="G357" s="190" t="str">
        <f t="shared" si="21"/>
        <v/>
      </c>
      <c r="H357" s="259" t="str">
        <f t="shared" si="22"/>
        <v/>
      </c>
      <c r="I357" s="260"/>
    </row>
    <row r="358" spans="1:9">
      <c r="A358" s="255">
        <f t="shared" si="23"/>
        <v>356</v>
      </c>
      <c r="B358" s="256">
        <v>44977</v>
      </c>
      <c r="C358" s="257">
        <v>140.929328</v>
      </c>
      <c r="D358" s="258">
        <v>228.61213933920766</v>
      </c>
      <c r="E358" s="257">
        <f t="shared" si="20"/>
        <v>140.929328</v>
      </c>
      <c r="F358" s="263"/>
      <c r="G358" s="190" t="str">
        <f t="shared" si="21"/>
        <v/>
      </c>
      <c r="H358" s="259" t="str">
        <f t="shared" si="22"/>
        <v/>
      </c>
      <c r="I358" s="260"/>
    </row>
    <row r="359" spans="1:9">
      <c r="A359" s="255">
        <f t="shared" si="23"/>
        <v>357</v>
      </c>
      <c r="B359" s="256">
        <v>44978</v>
      </c>
      <c r="C359" s="257">
        <v>71.582761000000005</v>
      </c>
      <c r="D359" s="258">
        <v>228.61213933920766</v>
      </c>
      <c r="E359" s="257">
        <f t="shared" si="20"/>
        <v>71.582761000000005</v>
      </c>
      <c r="F359" s="263"/>
      <c r="G359" s="190" t="str">
        <f t="shared" si="21"/>
        <v/>
      </c>
      <c r="H359" s="259" t="str">
        <f t="shared" si="22"/>
        <v/>
      </c>
      <c r="I359" s="260"/>
    </row>
    <row r="360" spans="1:9">
      <c r="A360" s="255">
        <f t="shared" si="23"/>
        <v>358</v>
      </c>
      <c r="B360" s="256">
        <v>44979</v>
      </c>
      <c r="C360" s="257">
        <v>61.505489999999995</v>
      </c>
      <c r="D360" s="258">
        <v>228.61213933920766</v>
      </c>
      <c r="E360" s="257">
        <f t="shared" si="20"/>
        <v>61.505489999999995</v>
      </c>
      <c r="F360" s="263"/>
      <c r="G360" s="190" t="str">
        <f t="shared" si="21"/>
        <v/>
      </c>
      <c r="H360" s="259" t="str">
        <f t="shared" si="22"/>
        <v/>
      </c>
      <c r="I360" s="260"/>
    </row>
    <row r="361" spans="1:9">
      <c r="A361" s="255">
        <f t="shared" si="23"/>
        <v>359</v>
      </c>
      <c r="B361" s="256">
        <v>44980</v>
      </c>
      <c r="C361" s="257">
        <v>149.07123499999997</v>
      </c>
      <c r="D361" s="258">
        <v>228.61213933920766</v>
      </c>
      <c r="E361" s="257">
        <f t="shared" si="20"/>
        <v>149.07123499999997</v>
      </c>
      <c r="F361" s="263"/>
      <c r="G361" s="190" t="str">
        <f t="shared" si="21"/>
        <v/>
      </c>
      <c r="H361" s="259" t="str">
        <f t="shared" si="22"/>
        <v/>
      </c>
      <c r="I361" s="260"/>
    </row>
    <row r="362" spans="1:9">
      <c r="A362" s="255">
        <f t="shared" si="23"/>
        <v>360</v>
      </c>
      <c r="B362" s="256">
        <v>44981</v>
      </c>
      <c r="C362" s="257">
        <v>73.495833000000005</v>
      </c>
      <c r="D362" s="258">
        <v>228.61213933920766</v>
      </c>
      <c r="E362" s="257">
        <f t="shared" si="20"/>
        <v>73.495833000000005</v>
      </c>
      <c r="F362" s="263"/>
      <c r="G362" s="190" t="str">
        <f t="shared" si="21"/>
        <v/>
      </c>
      <c r="H362" s="259" t="str">
        <f t="shared" si="22"/>
        <v/>
      </c>
      <c r="I362" s="260"/>
    </row>
    <row r="363" spans="1:9">
      <c r="A363" s="255">
        <f t="shared" si="23"/>
        <v>361</v>
      </c>
      <c r="B363" s="256">
        <v>44982</v>
      </c>
      <c r="C363" s="257">
        <v>106.81062300000001</v>
      </c>
      <c r="D363" s="258">
        <v>228.61213933920766</v>
      </c>
      <c r="E363" s="257">
        <f t="shared" si="20"/>
        <v>106.81062300000001</v>
      </c>
      <c r="F363" s="263"/>
      <c r="G363" s="190" t="str">
        <f t="shared" si="21"/>
        <v/>
      </c>
      <c r="H363" s="259" t="str">
        <f t="shared" si="22"/>
        <v/>
      </c>
      <c r="I363" s="260"/>
    </row>
    <row r="364" spans="1:9">
      <c r="A364" s="255">
        <f t="shared" si="23"/>
        <v>362</v>
      </c>
      <c r="B364" s="256">
        <v>44983</v>
      </c>
      <c r="C364" s="257">
        <v>348.68088700000004</v>
      </c>
      <c r="D364" s="258">
        <v>228.61213933920766</v>
      </c>
      <c r="E364" s="257">
        <f t="shared" si="20"/>
        <v>228.61213933920766</v>
      </c>
      <c r="F364" s="263"/>
      <c r="G364" s="190" t="str">
        <f t="shared" si="21"/>
        <v/>
      </c>
      <c r="H364" s="259" t="str">
        <f t="shared" si="22"/>
        <v/>
      </c>
      <c r="I364" s="260"/>
    </row>
    <row r="365" spans="1:9">
      <c r="A365" s="255">
        <f t="shared" si="23"/>
        <v>363</v>
      </c>
      <c r="B365" s="256">
        <v>44984</v>
      </c>
      <c r="C365" s="257">
        <v>400.084452</v>
      </c>
      <c r="D365" s="258">
        <v>228.61213933920766</v>
      </c>
      <c r="E365" s="257">
        <f t="shared" si="20"/>
        <v>228.61213933920766</v>
      </c>
      <c r="F365" s="263"/>
      <c r="G365" s="190" t="str">
        <f t="shared" si="21"/>
        <v/>
      </c>
      <c r="H365" s="259" t="str">
        <f t="shared" si="22"/>
        <v/>
      </c>
      <c r="I365" s="260"/>
    </row>
    <row r="366" spans="1:9">
      <c r="A366" s="255">
        <f t="shared" si="23"/>
        <v>364</v>
      </c>
      <c r="B366" s="256">
        <v>44985</v>
      </c>
      <c r="C366" s="257">
        <v>323.71440899999999</v>
      </c>
      <c r="D366" s="258">
        <v>228.61213933920766</v>
      </c>
      <c r="E366" s="257">
        <f t="shared" si="20"/>
        <v>228.61213933920766</v>
      </c>
      <c r="F366" s="263"/>
      <c r="G366" s="190" t="str">
        <f t="shared" si="21"/>
        <v/>
      </c>
      <c r="H366" s="259" t="str">
        <f t="shared" si="22"/>
        <v/>
      </c>
      <c r="I366" s="260"/>
    </row>
    <row r="367" spans="1:9">
      <c r="A367" s="255">
        <f t="shared" si="23"/>
        <v>365</v>
      </c>
      <c r="B367" s="256">
        <v>44986</v>
      </c>
      <c r="C367" s="257">
        <v>185.51078700000002</v>
      </c>
      <c r="D367" s="258">
        <v>223.09192557104552</v>
      </c>
      <c r="E367" s="257">
        <f t="shared" si="20"/>
        <v>185.51078700000002</v>
      </c>
      <c r="F367" s="260"/>
      <c r="G367" s="190" t="str">
        <f t="shared" si="21"/>
        <v/>
      </c>
      <c r="H367" s="259" t="str">
        <f t="shared" si="22"/>
        <v/>
      </c>
      <c r="I367" s="260"/>
    </row>
    <row r="368" spans="1:9">
      <c r="A368" s="255">
        <f t="shared" si="23"/>
        <v>366</v>
      </c>
      <c r="B368" s="256">
        <v>44987</v>
      </c>
      <c r="C368" s="257">
        <v>213.27336600000001</v>
      </c>
      <c r="D368" s="258">
        <v>223.09192557104552</v>
      </c>
      <c r="E368" s="257">
        <f t="shared" si="20"/>
        <v>213.27336600000001</v>
      </c>
      <c r="F368" s="260"/>
      <c r="G368" s="190" t="str">
        <f t="shared" si="21"/>
        <v/>
      </c>
      <c r="H368" s="259" t="str">
        <f t="shared" si="22"/>
        <v/>
      </c>
      <c r="I368" s="260"/>
    </row>
    <row r="369" spans="1:9">
      <c r="A369" s="255">
        <f t="shared" si="23"/>
        <v>367</v>
      </c>
      <c r="B369" s="256">
        <v>44988</v>
      </c>
      <c r="C369" s="257">
        <v>186.28090899999998</v>
      </c>
      <c r="D369" s="258">
        <v>223.09192557104552</v>
      </c>
      <c r="E369" s="257">
        <f t="shared" si="20"/>
        <v>186.28090899999998</v>
      </c>
      <c r="F369" s="263"/>
      <c r="G369" s="190" t="str">
        <f t="shared" si="21"/>
        <v/>
      </c>
      <c r="H369" s="259" t="str">
        <f t="shared" si="22"/>
        <v/>
      </c>
      <c r="I369" s="260"/>
    </row>
    <row r="370" spans="1:9">
      <c r="A370" s="255">
        <f t="shared" si="23"/>
        <v>368</v>
      </c>
      <c r="B370" s="256">
        <v>44989</v>
      </c>
      <c r="C370" s="257">
        <v>100.62124899999999</v>
      </c>
      <c r="D370" s="258">
        <v>223.09192557104552</v>
      </c>
      <c r="E370" s="257">
        <f t="shared" si="20"/>
        <v>100.62124899999999</v>
      </c>
      <c r="F370" s="263"/>
      <c r="G370" s="190" t="str">
        <f t="shared" si="21"/>
        <v/>
      </c>
      <c r="H370" s="259" t="str">
        <f t="shared" si="22"/>
        <v/>
      </c>
      <c r="I370" s="260"/>
    </row>
    <row r="371" spans="1:9">
      <c r="A371" s="255">
        <f t="shared" si="23"/>
        <v>369</v>
      </c>
      <c r="B371" s="256">
        <v>44990</v>
      </c>
      <c r="C371" s="257">
        <v>62.971556</v>
      </c>
      <c r="D371" s="258">
        <v>223.09192557104552</v>
      </c>
      <c r="E371" s="257">
        <f t="shared" si="20"/>
        <v>62.971556</v>
      </c>
      <c r="F371" s="263"/>
      <c r="G371" s="190" t="str">
        <f t="shared" si="21"/>
        <v/>
      </c>
      <c r="H371" s="259" t="str">
        <f t="shared" si="22"/>
        <v/>
      </c>
      <c r="I371" s="260"/>
    </row>
    <row r="372" spans="1:9">
      <c r="A372" s="255">
        <f t="shared" si="23"/>
        <v>370</v>
      </c>
      <c r="B372" s="256">
        <v>44991</v>
      </c>
      <c r="C372" s="257">
        <v>150.92666299999999</v>
      </c>
      <c r="D372" s="258">
        <v>223.09192557104552</v>
      </c>
      <c r="E372" s="257">
        <f t="shared" si="20"/>
        <v>150.92666299999999</v>
      </c>
      <c r="F372" s="263"/>
      <c r="G372" s="190" t="str">
        <f t="shared" si="21"/>
        <v/>
      </c>
      <c r="H372" s="259" t="str">
        <f t="shared" si="22"/>
        <v/>
      </c>
      <c r="I372" s="260"/>
    </row>
    <row r="373" spans="1:9">
      <c r="A373" s="255">
        <f t="shared" si="23"/>
        <v>371</v>
      </c>
      <c r="B373" s="256">
        <v>44992</v>
      </c>
      <c r="C373" s="257">
        <v>337.30533299999996</v>
      </c>
      <c r="D373" s="258">
        <v>223.09192557104552</v>
      </c>
      <c r="E373" s="257">
        <f t="shared" si="20"/>
        <v>223.09192557104552</v>
      </c>
      <c r="F373" s="263"/>
      <c r="G373" s="190" t="str">
        <f t="shared" si="21"/>
        <v/>
      </c>
      <c r="H373" s="259" t="str">
        <f t="shared" si="22"/>
        <v/>
      </c>
      <c r="I373" s="260"/>
    </row>
    <row r="374" spans="1:9">
      <c r="A374" s="255">
        <f t="shared" si="23"/>
        <v>372</v>
      </c>
      <c r="B374" s="256">
        <v>44993</v>
      </c>
      <c r="C374" s="257">
        <v>391.77536400000002</v>
      </c>
      <c r="D374" s="258">
        <v>223.09192557104552</v>
      </c>
      <c r="E374" s="257">
        <f t="shared" si="20"/>
        <v>223.09192557104552</v>
      </c>
      <c r="F374" s="263"/>
      <c r="G374" s="190" t="str">
        <f t="shared" si="21"/>
        <v/>
      </c>
      <c r="H374" s="259" t="str">
        <f t="shared" si="22"/>
        <v/>
      </c>
      <c r="I374" s="260"/>
    </row>
    <row r="375" spans="1:9">
      <c r="A375" s="255">
        <f t="shared" si="23"/>
        <v>373</v>
      </c>
      <c r="B375" s="256">
        <v>44994</v>
      </c>
      <c r="C375" s="257">
        <v>411.17823099999998</v>
      </c>
      <c r="D375" s="258">
        <v>223.09192557104552</v>
      </c>
      <c r="E375" s="257">
        <f t="shared" si="20"/>
        <v>223.09192557104552</v>
      </c>
      <c r="F375" s="263"/>
      <c r="G375" s="190" t="str">
        <f t="shared" si="21"/>
        <v/>
      </c>
      <c r="H375" s="259" t="str">
        <f t="shared" si="22"/>
        <v/>
      </c>
      <c r="I375" s="260"/>
    </row>
    <row r="376" spans="1:9">
      <c r="A376" s="255">
        <f t="shared" si="23"/>
        <v>374</v>
      </c>
      <c r="B376" s="256">
        <v>44995</v>
      </c>
      <c r="C376" s="257">
        <v>388.94542300000001</v>
      </c>
      <c r="D376" s="258">
        <v>223.09192557104552</v>
      </c>
      <c r="E376" s="257">
        <f t="shared" si="20"/>
        <v>223.09192557104552</v>
      </c>
      <c r="F376" s="263"/>
      <c r="G376" s="190" t="str">
        <f t="shared" si="21"/>
        <v/>
      </c>
      <c r="H376" s="259" t="str">
        <f t="shared" si="22"/>
        <v/>
      </c>
      <c r="I376" s="260"/>
    </row>
    <row r="377" spans="1:9">
      <c r="A377" s="255">
        <f t="shared" si="23"/>
        <v>375</v>
      </c>
      <c r="B377" s="256">
        <v>44996</v>
      </c>
      <c r="C377" s="257">
        <v>345.72032299999995</v>
      </c>
      <c r="D377" s="258">
        <v>223.09192557104552</v>
      </c>
      <c r="E377" s="257">
        <f t="shared" si="20"/>
        <v>223.09192557104552</v>
      </c>
      <c r="F377" s="263"/>
      <c r="G377" s="190" t="str">
        <f t="shared" si="21"/>
        <v/>
      </c>
      <c r="H377" s="259" t="str">
        <f t="shared" si="22"/>
        <v/>
      </c>
      <c r="I377" s="260"/>
    </row>
    <row r="378" spans="1:9">
      <c r="A378" s="255">
        <f t="shared" si="23"/>
        <v>376</v>
      </c>
      <c r="B378" s="256">
        <v>44997</v>
      </c>
      <c r="C378" s="257">
        <v>178.25108700000001</v>
      </c>
      <c r="D378" s="258">
        <v>223.09192557104552</v>
      </c>
      <c r="E378" s="257">
        <f t="shared" si="20"/>
        <v>178.25108700000001</v>
      </c>
      <c r="F378" s="263"/>
      <c r="G378" s="190" t="str">
        <f t="shared" si="21"/>
        <v/>
      </c>
      <c r="H378" s="259" t="str">
        <f t="shared" si="22"/>
        <v/>
      </c>
      <c r="I378" s="260"/>
    </row>
    <row r="379" spans="1:9">
      <c r="A379" s="255">
        <f t="shared" si="23"/>
        <v>377</v>
      </c>
      <c r="B379" s="256">
        <v>44998</v>
      </c>
      <c r="C379" s="257">
        <v>287.552235</v>
      </c>
      <c r="D379" s="258">
        <v>223.09192557104552</v>
      </c>
      <c r="E379" s="257">
        <f t="shared" si="20"/>
        <v>223.09192557104552</v>
      </c>
      <c r="F379" s="263"/>
      <c r="G379" s="190" t="str">
        <f t="shared" si="21"/>
        <v/>
      </c>
      <c r="H379" s="259" t="str">
        <f t="shared" si="22"/>
        <v/>
      </c>
      <c r="I379" s="260"/>
    </row>
    <row r="380" spans="1:9">
      <c r="A380" s="255">
        <f t="shared" si="23"/>
        <v>378</v>
      </c>
      <c r="B380" s="256">
        <v>44999</v>
      </c>
      <c r="C380" s="257">
        <v>257.378918</v>
      </c>
      <c r="D380" s="258">
        <v>223.09192557104552</v>
      </c>
      <c r="E380" s="257">
        <f t="shared" si="20"/>
        <v>223.09192557104552</v>
      </c>
      <c r="F380" s="263"/>
      <c r="G380" s="190" t="str">
        <f t="shared" si="21"/>
        <v/>
      </c>
      <c r="H380" s="259" t="str">
        <f t="shared" si="22"/>
        <v/>
      </c>
      <c r="I380" s="260"/>
    </row>
    <row r="381" spans="1:9">
      <c r="A381" s="255">
        <f t="shared" si="23"/>
        <v>379</v>
      </c>
      <c r="B381" s="256">
        <v>45000</v>
      </c>
      <c r="C381" s="257">
        <v>90.627562000000012</v>
      </c>
      <c r="D381" s="258">
        <v>223.09192557104552</v>
      </c>
      <c r="E381" s="257">
        <f t="shared" si="20"/>
        <v>90.627562000000012</v>
      </c>
      <c r="F381" s="263"/>
      <c r="G381" s="190" t="str">
        <f t="shared" si="21"/>
        <v>M</v>
      </c>
      <c r="H381" s="259" t="str">
        <f t="shared" si="22"/>
        <v>223,1</v>
      </c>
      <c r="I381" s="260"/>
    </row>
    <row r="382" spans="1:9">
      <c r="A382" s="255">
        <f t="shared" si="23"/>
        <v>380</v>
      </c>
      <c r="B382" s="256">
        <v>45001</v>
      </c>
      <c r="C382" s="257">
        <v>230.26651500000003</v>
      </c>
      <c r="D382" s="258">
        <v>223.09192557104552</v>
      </c>
      <c r="E382" s="257">
        <f t="shared" ref="E382:E390" si="24">IF(C382&gt;D382,D382,C382)</f>
        <v>223.09192557104552</v>
      </c>
      <c r="F382" s="263"/>
      <c r="G382" s="190" t="str">
        <f t="shared" si="21"/>
        <v/>
      </c>
      <c r="H382" s="259" t="str">
        <f t="shared" si="22"/>
        <v/>
      </c>
      <c r="I382" s="260"/>
    </row>
    <row r="383" spans="1:9">
      <c r="A383" s="255">
        <f t="shared" si="23"/>
        <v>381</v>
      </c>
      <c r="B383" s="256">
        <v>45002</v>
      </c>
      <c r="C383" s="257">
        <v>279.31890199999998</v>
      </c>
      <c r="D383" s="258">
        <v>223.09192557104552</v>
      </c>
      <c r="E383" s="257">
        <f t="shared" si="24"/>
        <v>223.09192557104552</v>
      </c>
      <c r="F383" s="263"/>
      <c r="G383" s="190" t="str">
        <f t="shared" si="21"/>
        <v/>
      </c>
      <c r="H383" s="259" t="str">
        <f t="shared" si="22"/>
        <v/>
      </c>
      <c r="I383" s="260"/>
    </row>
    <row r="384" spans="1:9">
      <c r="A384" s="255">
        <f t="shared" si="23"/>
        <v>382</v>
      </c>
      <c r="B384" s="256">
        <v>45003</v>
      </c>
      <c r="C384" s="257">
        <v>180.768044</v>
      </c>
      <c r="D384" s="258">
        <v>223.09192557104552</v>
      </c>
      <c r="E384" s="257">
        <f t="shared" si="24"/>
        <v>180.768044</v>
      </c>
      <c r="F384" s="263"/>
      <c r="G384" s="190" t="str">
        <f t="shared" si="21"/>
        <v/>
      </c>
      <c r="H384" s="259" t="str">
        <f t="shared" si="22"/>
        <v/>
      </c>
      <c r="I384" s="260"/>
    </row>
    <row r="385" spans="1:9">
      <c r="A385" s="255">
        <f t="shared" si="23"/>
        <v>383</v>
      </c>
      <c r="B385" s="256">
        <v>45004</v>
      </c>
      <c r="C385" s="257">
        <v>86.936888999999994</v>
      </c>
      <c r="D385" s="258">
        <v>223.09192557104552</v>
      </c>
      <c r="E385" s="257">
        <f t="shared" si="24"/>
        <v>86.936888999999994</v>
      </c>
      <c r="F385" s="263"/>
      <c r="G385" s="190" t="str">
        <f t="shared" si="21"/>
        <v/>
      </c>
      <c r="H385" s="259" t="str">
        <f t="shared" si="22"/>
        <v/>
      </c>
      <c r="I385" s="260"/>
    </row>
    <row r="386" spans="1:9">
      <c r="A386" s="255">
        <f t="shared" si="23"/>
        <v>384</v>
      </c>
      <c r="B386" s="256">
        <v>45005</v>
      </c>
      <c r="C386" s="257">
        <v>70.575761</v>
      </c>
      <c r="D386" s="258">
        <v>223.09192557104552</v>
      </c>
      <c r="E386" s="257">
        <f t="shared" si="24"/>
        <v>70.575761</v>
      </c>
      <c r="F386" s="263"/>
      <c r="G386" s="190" t="str">
        <f t="shared" si="21"/>
        <v/>
      </c>
      <c r="H386" s="259" t="str">
        <f t="shared" si="22"/>
        <v/>
      </c>
      <c r="I386" s="260"/>
    </row>
    <row r="387" spans="1:9">
      <c r="A387" s="255">
        <f t="shared" si="23"/>
        <v>385</v>
      </c>
      <c r="B387" s="256">
        <v>45006</v>
      </c>
      <c r="C387" s="257">
        <v>55.322572000000001</v>
      </c>
      <c r="D387" s="258">
        <v>223.09192557104552</v>
      </c>
      <c r="E387" s="257">
        <f t="shared" si="24"/>
        <v>55.322572000000001</v>
      </c>
      <c r="F387" s="263"/>
      <c r="G387" s="190" t="str">
        <f t="shared" ref="G387:G450" si="25">IF(DAY(B387)=15,IF(MONTH(B387)=1,"E",IF(MONTH(B387)=2,"F",IF(MONTH(B387)=3,"M",IF(MONTH(B387)=4,"A",IF(MONTH(B387)=5,"M",IF(MONTH(B387)=6,"J",IF(MONTH(B387)=7,"J",IF(MONTH(B387)=8,"A",IF(MONTH(B387)=9,"S",IF(MONTH(B387)=10,"O",IF(MONTH(B387)=11,"N",IF(MONTH(B387)=12,"D","")))))))))))),"")</f>
        <v/>
      </c>
      <c r="H387" s="259" t="str">
        <f t="shared" ref="H387:H450" si="26">IF(DAY($B387)=15,TEXT(D387,"#,0"),"")</f>
        <v/>
      </c>
      <c r="I387" s="260"/>
    </row>
    <row r="388" spans="1:9">
      <c r="A388" s="255">
        <f t="shared" ref="A388:A451" si="27">+A387+1</f>
        <v>386</v>
      </c>
      <c r="B388" s="256">
        <v>45007</v>
      </c>
      <c r="C388" s="257">
        <v>123.57921499999999</v>
      </c>
      <c r="D388" s="258">
        <v>223.09192557104552</v>
      </c>
      <c r="E388" s="257">
        <f t="shared" si="24"/>
        <v>123.57921499999999</v>
      </c>
      <c r="F388" s="263"/>
      <c r="G388" s="190" t="str">
        <f t="shared" si="25"/>
        <v/>
      </c>
      <c r="H388" s="259" t="str">
        <f t="shared" si="26"/>
        <v/>
      </c>
      <c r="I388" s="260"/>
    </row>
    <row r="389" spans="1:9">
      <c r="A389" s="255">
        <f t="shared" si="27"/>
        <v>387</v>
      </c>
      <c r="B389" s="256">
        <v>45008</v>
      </c>
      <c r="C389" s="257">
        <v>202.28049599999997</v>
      </c>
      <c r="D389" s="258">
        <v>223.09192557104552</v>
      </c>
      <c r="E389" s="257">
        <f t="shared" si="24"/>
        <v>202.28049599999997</v>
      </c>
      <c r="F389" s="263"/>
      <c r="G389" s="190" t="str">
        <f t="shared" si="25"/>
        <v/>
      </c>
      <c r="H389" s="259" t="str">
        <f t="shared" si="26"/>
        <v/>
      </c>
      <c r="I389" s="260"/>
    </row>
    <row r="390" spans="1:9">
      <c r="A390" s="255">
        <f t="shared" si="27"/>
        <v>388</v>
      </c>
      <c r="B390" s="256">
        <v>45009</v>
      </c>
      <c r="C390" s="257">
        <v>251.90721599999998</v>
      </c>
      <c r="D390" s="258">
        <v>223.09192557104552</v>
      </c>
      <c r="E390" s="257">
        <f t="shared" si="24"/>
        <v>223.09192557104552</v>
      </c>
      <c r="F390" s="263"/>
      <c r="G390" s="190" t="str">
        <f t="shared" si="25"/>
        <v/>
      </c>
      <c r="H390" s="259" t="str">
        <f t="shared" si="26"/>
        <v/>
      </c>
      <c r="I390" s="260"/>
    </row>
    <row r="391" spans="1:9">
      <c r="A391" s="255">
        <f t="shared" si="27"/>
        <v>389</v>
      </c>
      <c r="B391" s="256">
        <v>45010</v>
      </c>
      <c r="C391" s="257">
        <v>161.71668300000002</v>
      </c>
      <c r="D391" s="258">
        <v>223.09192557104552</v>
      </c>
      <c r="E391" s="257">
        <f t="shared" ref="E391:E454" si="28">IF(C391&gt;D391,D391,C391)</f>
        <v>161.71668300000002</v>
      </c>
      <c r="F391" s="263"/>
      <c r="G391" s="190" t="str">
        <f t="shared" si="25"/>
        <v/>
      </c>
      <c r="H391" s="259" t="str">
        <f t="shared" si="26"/>
        <v/>
      </c>
      <c r="I391" s="260"/>
    </row>
    <row r="392" spans="1:9">
      <c r="A392" s="255">
        <f t="shared" si="27"/>
        <v>390</v>
      </c>
      <c r="B392" s="256">
        <v>45011</v>
      </c>
      <c r="C392" s="257">
        <v>252.652513</v>
      </c>
      <c r="D392" s="258">
        <v>223.09192557104552</v>
      </c>
      <c r="E392" s="257">
        <f t="shared" si="28"/>
        <v>223.09192557104552</v>
      </c>
      <c r="F392" s="263"/>
      <c r="G392" s="190" t="str">
        <f t="shared" si="25"/>
        <v/>
      </c>
      <c r="H392" s="259" t="str">
        <f t="shared" si="26"/>
        <v/>
      </c>
      <c r="I392" s="260"/>
    </row>
    <row r="393" spans="1:9">
      <c r="A393" s="255">
        <f t="shared" si="27"/>
        <v>391</v>
      </c>
      <c r="B393" s="256">
        <v>45012</v>
      </c>
      <c r="C393" s="257">
        <v>167.026746</v>
      </c>
      <c r="D393" s="258">
        <v>223.09192557104552</v>
      </c>
      <c r="E393" s="257">
        <f t="shared" si="28"/>
        <v>167.026746</v>
      </c>
      <c r="F393" s="263"/>
      <c r="G393" s="190" t="str">
        <f t="shared" si="25"/>
        <v/>
      </c>
      <c r="H393" s="259" t="str">
        <f t="shared" si="26"/>
        <v/>
      </c>
      <c r="I393" s="260"/>
    </row>
    <row r="394" spans="1:9">
      <c r="A394" s="255">
        <f t="shared" si="27"/>
        <v>392</v>
      </c>
      <c r="B394" s="256">
        <v>45013</v>
      </c>
      <c r="C394" s="257">
        <v>105.001492</v>
      </c>
      <c r="D394" s="258">
        <v>223.09192557104552</v>
      </c>
      <c r="E394" s="257">
        <f t="shared" si="28"/>
        <v>105.001492</v>
      </c>
      <c r="F394" s="263"/>
      <c r="G394" s="190" t="str">
        <f t="shared" si="25"/>
        <v/>
      </c>
      <c r="H394" s="259" t="str">
        <f t="shared" si="26"/>
        <v/>
      </c>
      <c r="I394" s="260"/>
    </row>
    <row r="395" spans="1:9">
      <c r="A395" s="255">
        <f t="shared" si="27"/>
        <v>393</v>
      </c>
      <c r="B395" s="256">
        <v>45014</v>
      </c>
      <c r="C395" s="257">
        <v>205.62717900000001</v>
      </c>
      <c r="D395" s="258">
        <v>223.09192557104552</v>
      </c>
      <c r="E395" s="257">
        <f t="shared" si="28"/>
        <v>205.62717900000001</v>
      </c>
      <c r="F395" s="263"/>
      <c r="G395" s="190" t="str">
        <f t="shared" si="25"/>
        <v/>
      </c>
      <c r="H395" s="259" t="str">
        <f t="shared" si="26"/>
        <v/>
      </c>
      <c r="I395" s="260"/>
    </row>
    <row r="396" spans="1:9">
      <c r="A396" s="255">
        <f t="shared" si="27"/>
        <v>394</v>
      </c>
      <c r="B396" s="256">
        <v>45015</v>
      </c>
      <c r="C396" s="257">
        <v>255.42212700000002</v>
      </c>
      <c r="D396" s="258">
        <v>223.09192557104552</v>
      </c>
      <c r="E396" s="257">
        <f t="shared" si="28"/>
        <v>223.09192557104552</v>
      </c>
      <c r="F396" s="263"/>
      <c r="G396" s="190" t="str">
        <f t="shared" si="25"/>
        <v/>
      </c>
      <c r="H396" s="259" t="str">
        <f t="shared" si="26"/>
        <v/>
      </c>
      <c r="I396" s="260"/>
    </row>
    <row r="397" spans="1:9">
      <c r="A397" s="255">
        <f t="shared" si="27"/>
        <v>395</v>
      </c>
      <c r="B397" s="256">
        <v>45016</v>
      </c>
      <c r="C397" s="257">
        <v>369.47750099999996</v>
      </c>
      <c r="D397" s="258">
        <v>223.09192557104552</v>
      </c>
      <c r="E397" s="257">
        <f t="shared" si="28"/>
        <v>223.09192557104552</v>
      </c>
      <c r="F397" s="263"/>
      <c r="G397" s="190" t="str">
        <f t="shared" si="25"/>
        <v/>
      </c>
      <c r="H397" s="259" t="str">
        <f t="shared" si="26"/>
        <v/>
      </c>
      <c r="I397" s="260"/>
    </row>
    <row r="398" spans="1:9">
      <c r="A398" s="255">
        <f t="shared" si="27"/>
        <v>396</v>
      </c>
      <c r="B398" s="256">
        <v>45017</v>
      </c>
      <c r="C398" s="257">
        <v>277.52818700000006</v>
      </c>
      <c r="D398" s="258">
        <v>178.27413072131017</v>
      </c>
      <c r="E398" s="257">
        <f t="shared" si="28"/>
        <v>178.27413072131017</v>
      </c>
      <c r="F398" s="260"/>
      <c r="G398" s="190" t="str">
        <f t="shared" si="25"/>
        <v/>
      </c>
      <c r="H398" s="259" t="str">
        <f t="shared" si="26"/>
        <v/>
      </c>
      <c r="I398" s="260"/>
    </row>
    <row r="399" spans="1:9">
      <c r="A399" s="255">
        <f t="shared" si="27"/>
        <v>397</v>
      </c>
      <c r="B399" s="256">
        <v>45018</v>
      </c>
      <c r="C399" s="257">
        <v>236.83952899999997</v>
      </c>
      <c r="D399" s="258">
        <v>178.27413072131017</v>
      </c>
      <c r="E399" s="257">
        <f t="shared" si="28"/>
        <v>178.27413072131017</v>
      </c>
      <c r="F399" s="263"/>
      <c r="G399" s="190" t="str">
        <f t="shared" si="25"/>
        <v/>
      </c>
      <c r="H399" s="259" t="str">
        <f t="shared" si="26"/>
        <v/>
      </c>
      <c r="I399" s="260"/>
    </row>
    <row r="400" spans="1:9">
      <c r="A400" s="255">
        <f t="shared" si="27"/>
        <v>398</v>
      </c>
      <c r="B400" s="256">
        <v>45019</v>
      </c>
      <c r="C400" s="257">
        <v>168.990081</v>
      </c>
      <c r="D400" s="258">
        <v>178.27413072131017</v>
      </c>
      <c r="E400" s="257">
        <f t="shared" si="28"/>
        <v>168.990081</v>
      </c>
      <c r="F400" s="263"/>
      <c r="G400" s="190" t="str">
        <f t="shared" si="25"/>
        <v/>
      </c>
      <c r="H400" s="259" t="str">
        <f t="shared" si="26"/>
        <v/>
      </c>
      <c r="I400" s="260"/>
    </row>
    <row r="401" spans="1:9">
      <c r="A401" s="255">
        <f t="shared" si="27"/>
        <v>399</v>
      </c>
      <c r="B401" s="256">
        <v>45020</v>
      </c>
      <c r="C401" s="257">
        <v>252.24863399999998</v>
      </c>
      <c r="D401" s="258">
        <v>178.27413072131017</v>
      </c>
      <c r="E401" s="257">
        <f t="shared" si="28"/>
        <v>178.27413072131017</v>
      </c>
      <c r="F401" s="263"/>
      <c r="G401" s="190" t="str">
        <f t="shared" si="25"/>
        <v/>
      </c>
      <c r="H401" s="259" t="str">
        <f t="shared" si="26"/>
        <v/>
      </c>
      <c r="I401" s="260"/>
    </row>
    <row r="402" spans="1:9">
      <c r="A402" s="255">
        <f t="shared" si="27"/>
        <v>400</v>
      </c>
      <c r="B402" s="256">
        <v>45021</v>
      </c>
      <c r="C402" s="257">
        <v>133.22213300000001</v>
      </c>
      <c r="D402" s="258">
        <v>178.27413072131017</v>
      </c>
      <c r="E402" s="257">
        <f t="shared" si="28"/>
        <v>133.22213300000001</v>
      </c>
      <c r="F402" s="263"/>
      <c r="G402" s="190" t="str">
        <f t="shared" si="25"/>
        <v/>
      </c>
      <c r="H402" s="259" t="str">
        <f t="shared" si="26"/>
        <v/>
      </c>
      <c r="I402" s="260"/>
    </row>
    <row r="403" spans="1:9">
      <c r="A403" s="255">
        <f t="shared" si="27"/>
        <v>401</v>
      </c>
      <c r="B403" s="256">
        <v>45022</v>
      </c>
      <c r="C403" s="257">
        <v>123.136791</v>
      </c>
      <c r="D403" s="258">
        <v>178.27413072131017</v>
      </c>
      <c r="E403" s="257">
        <f t="shared" si="28"/>
        <v>123.136791</v>
      </c>
      <c r="F403" s="263"/>
      <c r="G403" s="190" t="str">
        <f t="shared" si="25"/>
        <v/>
      </c>
      <c r="H403" s="259" t="str">
        <f t="shared" si="26"/>
        <v/>
      </c>
      <c r="I403" s="260"/>
    </row>
    <row r="404" spans="1:9">
      <c r="A404" s="255">
        <f t="shared" si="27"/>
        <v>402</v>
      </c>
      <c r="B404" s="256">
        <v>45023</v>
      </c>
      <c r="C404" s="257">
        <v>72.104573000000002</v>
      </c>
      <c r="D404" s="258">
        <v>178.27413072131017</v>
      </c>
      <c r="E404" s="257">
        <f t="shared" si="28"/>
        <v>72.104573000000002</v>
      </c>
      <c r="F404" s="263"/>
      <c r="G404" s="190" t="str">
        <f t="shared" si="25"/>
        <v/>
      </c>
      <c r="H404" s="259" t="str">
        <f t="shared" si="26"/>
        <v/>
      </c>
      <c r="I404" s="260"/>
    </row>
    <row r="405" spans="1:9">
      <c r="A405" s="255">
        <f t="shared" si="27"/>
        <v>403</v>
      </c>
      <c r="B405" s="256">
        <v>45024</v>
      </c>
      <c r="C405" s="257">
        <v>63.974471999999999</v>
      </c>
      <c r="D405" s="258">
        <v>178.27413072131017</v>
      </c>
      <c r="E405" s="257">
        <f t="shared" si="28"/>
        <v>63.974471999999999</v>
      </c>
      <c r="F405" s="263"/>
      <c r="G405" s="190" t="str">
        <f t="shared" si="25"/>
        <v/>
      </c>
      <c r="H405" s="259" t="str">
        <f t="shared" si="26"/>
        <v/>
      </c>
      <c r="I405" s="260"/>
    </row>
    <row r="406" spans="1:9">
      <c r="A406" s="255">
        <f t="shared" si="27"/>
        <v>404</v>
      </c>
      <c r="B406" s="256">
        <v>45025</v>
      </c>
      <c r="C406" s="257">
        <v>58.373131000000001</v>
      </c>
      <c r="D406" s="258">
        <v>178.27413072131017</v>
      </c>
      <c r="E406" s="257">
        <f t="shared" si="28"/>
        <v>58.373131000000001</v>
      </c>
      <c r="F406" s="263"/>
      <c r="G406" s="190" t="str">
        <f t="shared" si="25"/>
        <v/>
      </c>
      <c r="H406" s="259" t="str">
        <f t="shared" si="26"/>
        <v/>
      </c>
      <c r="I406" s="260"/>
    </row>
    <row r="407" spans="1:9">
      <c r="A407" s="255">
        <f t="shared" si="27"/>
        <v>405</v>
      </c>
      <c r="B407" s="256">
        <v>45026</v>
      </c>
      <c r="C407" s="257">
        <v>105.38276399999999</v>
      </c>
      <c r="D407" s="258">
        <v>178.27413072131017</v>
      </c>
      <c r="E407" s="257">
        <f t="shared" si="28"/>
        <v>105.38276399999999</v>
      </c>
      <c r="F407" s="263"/>
      <c r="G407" s="190" t="str">
        <f t="shared" si="25"/>
        <v/>
      </c>
      <c r="H407" s="259" t="str">
        <f t="shared" si="26"/>
        <v/>
      </c>
      <c r="I407" s="260"/>
    </row>
    <row r="408" spans="1:9">
      <c r="A408" s="255">
        <f t="shared" si="27"/>
        <v>406</v>
      </c>
      <c r="B408" s="256">
        <v>45027</v>
      </c>
      <c r="C408" s="257">
        <v>129.31162900000001</v>
      </c>
      <c r="D408" s="258">
        <v>178.27413072131017</v>
      </c>
      <c r="E408" s="257">
        <f t="shared" si="28"/>
        <v>129.31162900000001</v>
      </c>
      <c r="F408" s="263"/>
      <c r="G408" s="190" t="str">
        <f t="shared" si="25"/>
        <v/>
      </c>
      <c r="H408" s="259" t="str">
        <f t="shared" si="26"/>
        <v/>
      </c>
      <c r="I408" s="260"/>
    </row>
    <row r="409" spans="1:9">
      <c r="A409" s="255">
        <f t="shared" si="27"/>
        <v>407</v>
      </c>
      <c r="B409" s="256">
        <v>45028</v>
      </c>
      <c r="C409" s="257">
        <v>306.45508899999999</v>
      </c>
      <c r="D409" s="258">
        <v>178.27413072131017</v>
      </c>
      <c r="E409" s="257">
        <f t="shared" si="28"/>
        <v>178.27413072131017</v>
      </c>
      <c r="F409" s="263"/>
      <c r="G409" s="190" t="str">
        <f t="shared" si="25"/>
        <v/>
      </c>
      <c r="H409" s="259" t="str">
        <f t="shared" si="26"/>
        <v/>
      </c>
      <c r="I409" s="260"/>
    </row>
    <row r="410" spans="1:9">
      <c r="A410" s="255">
        <f t="shared" si="27"/>
        <v>408</v>
      </c>
      <c r="B410" s="256">
        <v>45029</v>
      </c>
      <c r="C410" s="257">
        <v>254.44940800000001</v>
      </c>
      <c r="D410" s="258">
        <v>178.27413072131017</v>
      </c>
      <c r="E410" s="257">
        <f t="shared" si="28"/>
        <v>178.27413072131017</v>
      </c>
      <c r="F410" s="263"/>
      <c r="G410" s="190" t="str">
        <f t="shared" si="25"/>
        <v/>
      </c>
      <c r="H410" s="259" t="str">
        <f t="shared" si="26"/>
        <v/>
      </c>
      <c r="I410" s="260"/>
    </row>
    <row r="411" spans="1:9">
      <c r="A411" s="255">
        <f t="shared" si="27"/>
        <v>409</v>
      </c>
      <c r="B411" s="256">
        <v>45030</v>
      </c>
      <c r="C411" s="257">
        <v>295.77617600000002</v>
      </c>
      <c r="D411" s="258">
        <v>178.27413072131017</v>
      </c>
      <c r="E411" s="257">
        <f t="shared" si="28"/>
        <v>178.27413072131017</v>
      </c>
      <c r="F411" s="263"/>
      <c r="G411" s="190" t="str">
        <f t="shared" si="25"/>
        <v/>
      </c>
      <c r="H411" s="259" t="str">
        <f t="shared" si="26"/>
        <v/>
      </c>
      <c r="I411" s="260"/>
    </row>
    <row r="412" spans="1:9">
      <c r="A412" s="255">
        <f t="shared" si="27"/>
        <v>410</v>
      </c>
      <c r="B412" s="256">
        <v>45031</v>
      </c>
      <c r="C412" s="257">
        <v>265.71310599999998</v>
      </c>
      <c r="D412" s="258">
        <v>178.27413072131017</v>
      </c>
      <c r="E412" s="257">
        <f t="shared" si="28"/>
        <v>178.27413072131017</v>
      </c>
      <c r="F412" s="263"/>
      <c r="G412" s="190" t="str">
        <f t="shared" si="25"/>
        <v>A</v>
      </c>
      <c r="H412" s="259" t="str">
        <f t="shared" si="26"/>
        <v>178,3</v>
      </c>
      <c r="I412" s="260"/>
    </row>
    <row r="413" spans="1:9">
      <c r="A413" s="255">
        <f t="shared" si="27"/>
        <v>411</v>
      </c>
      <c r="B413" s="256">
        <v>45032</v>
      </c>
      <c r="C413" s="257">
        <v>186.81022300000004</v>
      </c>
      <c r="D413" s="258">
        <v>178.27413072131017</v>
      </c>
      <c r="E413" s="257">
        <f t="shared" si="28"/>
        <v>178.27413072131017</v>
      </c>
      <c r="F413" s="263"/>
      <c r="G413" s="190" t="str">
        <f t="shared" si="25"/>
        <v/>
      </c>
      <c r="H413" s="259" t="str">
        <f t="shared" si="26"/>
        <v/>
      </c>
      <c r="I413" s="260"/>
    </row>
    <row r="414" spans="1:9">
      <c r="A414" s="255">
        <f t="shared" si="27"/>
        <v>412</v>
      </c>
      <c r="B414" s="256">
        <v>45033</v>
      </c>
      <c r="C414" s="257">
        <v>209.35979900000001</v>
      </c>
      <c r="D414" s="258">
        <v>178.27413072131017</v>
      </c>
      <c r="E414" s="257">
        <f t="shared" si="28"/>
        <v>178.27413072131017</v>
      </c>
      <c r="F414" s="263"/>
      <c r="G414" s="190" t="str">
        <f t="shared" si="25"/>
        <v/>
      </c>
      <c r="H414" s="259" t="str">
        <f t="shared" si="26"/>
        <v/>
      </c>
      <c r="I414" s="260"/>
    </row>
    <row r="415" spans="1:9">
      <c r="A415" s="255">
        <f t="shared" si="27"/>
        <v>413</v>
      </c>
      <c r="B415" s="256">
        <v>45034</v>
      </c>
      <c r="C415" s="257">
        <v>191.565023</v>
      </c>
      <c r="D415" s="258">
        <v>178.27413072131017</v>
      </c>
      <c r="E415" s="257">
        <f t="shared" si="28"/>
        <v>178.27413072131017</v>
      </c>
      <c r="F415" s="263"/>
      <c r="G415" s="190" t="str">
        <f t="shared" si="25"/>
        <v/>
      </c>
      <c r="H415" s="259" t="str">
        <f t="shared" si="26"/>
        <v/>
      </c>
      <c r="I415" s="260"/>
    </row>
    <row r="416" spans="1:9">
      <c r="A416" s="255">
        <f t="shared" si="27"/>
        <v>414</v>
      </c>
      <c r="B416" s="256">
        <v>45035</v>
      </c>
      <c r="C416" s="257">
        <v>124.69744100000001</v>
      </c>
      <c r="D416" s="258">
        <v>178.27413072131017</v>
      </c>
      <c r="E416" s="257">
        <f t="shared" si="28"/>
        <v>124.69744100000001</v>
      </c>
      <c r="F416" s="263"/>
      <c r="G416" s="190" t="str">
        <f t="shared" si="25"/>
        <v/>
      </c>
      <c r="H416" s="259" t="str">
        <f t="shared" si="26"/>
        <v/>
      </c>
      <c r="I416" s="260"/>
    </row>
    <row r="417" spans="1:9">
      <c r="A417" s="255">
        <f t="shared" si="27"/>
        <v>415</v>
      </c>
      <c r="B417" s="256">
        <v>45036</v>
      </c>
      <c r="C417" s="257">
        <v>75.424515999999997</v>
      </c>
      <c r="D417" s="258">
        <v>178.27413072131017</v>
      </c>
      <c r="E417" s="257">
        <f t="shared" si="28"/>
        <v>75.424515999999997</v>
      </c>
      <c r="F417" s="263"/>
      <c r="G417" s="190" t="str">
        <f t="shared" si="25"/>
        <v/>
      </c>
      <c r="H417" s="259" t="str">
        <f t="shared" si="26"/>
        <v/>
      </c>
      <c r="I417" s="260"/>
    </row>
    <row r="418" spans="1:9">
      <c r="A418" s="255">
        <f t="shared" si="27"/>
        <v>416</v>
      </c>
      <c r="B418" s="256">
        <v>45037</v>
      </c>
      <c r="C418" s="257">
        <v>149.416954</v>
      </c>
      <c r="D418" s="258">
        <v>178.27413072131017</v>
      </c>
      <c r="E418" s="257">
        <f t="shared" si="28"/>
        <v>149.416954</v>
      </c>
      <c r="F418" s="263"/>
      <c r="G418" s="190" t="str">
        <f t="shared" si="25"/>
        <v/>
      </c>
      <c r="H418" s="259" t="str">
        <f t="shared" si="26"/>
        <v/>
      </c>
      <c r="I418" s="260"/>
    </row>
    <row r="419" spans="1:9">
      <c r="A419" s="255">
        <f t="shared" si="27"/>
        <v>417</v>
      </c>
      <c r="B419" s="256">
        <v>45038</v>
      </c>
      <c r="C419" s="257">
        <v>155.21762700000002</v>
      </c>
      <c r="D419" s="258">
        <v>178.27413072131017</v>
      </c>
      <c r="E419" s="257">
        <f t="shared" si="28"/>
        <v>155.21762700000002</v>
      </c>
      <c r="F419" s="263"/>
      <c r="G419" s="190" t="str">
        <f t="shared" si="25"/>
        <v/>
      </c>
      <c r="H419" s="259" t="str">
        <f t="shared" si="26"/>
        <v/>
      </c>
      <c r="I419" s="260"/>
    </row>
    <row r="420" spans="1:9">
      <c r="A420" s="255">
        <f t="shared" si="27"/>
        <v>418</v>
      </c>
      <c r="B420" s="256">
        <v>45039</v>
      </c>
      <c r="C420" s="257">
        <v>182.71385899999999</v>
      </c>
      <c r="D420" s="258">
        <v>178.27413072131017</v>
      </c>
      <c r="E420" s="257">
        <f t="shared" si="28"/>
        <v>178.27413072131017</v>
      </c>
      <c r="F420" s="263"/>
      <c r="G420" s="190" t="str">
        <f t="shared" si="25"/>
        <v/>
      </c>
      <c r="H420" s="259" t="str">
        <f t="shared" si="26"/>
        <v/>
      </c>
      <c r="I420" s="260"/>
    </row>
    <row r="421" spans="1:9">
      <c r="A421" s="255">
        <f t="shared" si="27"/>
        <v>419</v>
      </c>
      <c r="B421" s="256">
        <v>45040</v>
      </c>
      <c r="C421" s="257">
        <v>112.95561899999998</v>
      </c>
      <c r="D421" s="258">
        <v>178.27413072131017</v>
      </c>
      <c r="E421" s="257">
        <f t="shared" si="28"/>
        <v>112.95561899999998</v>
      </c>
      <c r="F421" s="263"/>
      <c r="G421" s="190" t="str">
        <f t="shared" si="25"/>
        <v/>
      </c>
      <c r="H421" s="259" t="str">
        <f t="shared" si="26"/>
        <v/>
      </c>
      <c r="I421" s="260"/>
    </row>
    <row r="422" spans="1:9">
      <c r="A422" s="255">
        <f t="shared" si="27"/>
        <v>420</v>
      </c>
      <c r="B422" s="256">
        <v>45041</v>
      </c>
      <c r="C422" s="257">
        <v>128.05893700000001</v>
      </c>
      <c r="D422" s="258">
        <v>178.27413072131017</v>
      </c>
      <c r="E422" s="257">
        <f t="shared" si="28"/>
        <v>128.05893700000001</v>
      </c>
      <c r="F422" s="263"/>
      <c r="G422" s="190" t="str">
        <f t="shared" si="25"/>
        <v/>
      </c>
      <c r="H422" s="259" t="str">
        <f t="shared" si="26"/>
        <v/>
      </c>
      <c r="I422" s="260"/>
    </row>
    <row r="423" spans="1:9">
      <c r="A423" s="255">
        <f t="shared" si="27"/>
        <v>421</v>
      </c>
      <c r="B423" s="256">
        <v>45042</v>
      </c>
      <c r="C423" s="257">
        <v>61.149663000000004</v>
      </c>
      <c r="D423" s="258">
        <v>178.27413072131017</v>
      </c>
      <c r="E423" s="257">
        <f t="shared" si="28"/>
        <v>61.149663000000004</v>
      </c>
      <c r="F423" s="263"/>
      <c r="G423" s="190" t="str">
        <f t="shared" si="25"/>
        <v/>
      </c>
      <c r="H423" s="259" t="str">
        <f t="shared" si="26"/>
        <v/>
      </c>
      <c r="I423" s="260"/>
    </row>
    <row r="424" spans="1:9">
      <c r="A424" s="255">
        <f t="shared" si="27"/>
        <v>422</v>
      </c>
      <c r="B424" s="256">
        <v>45043</v>
      </c>
      <c r="C424" s="257">
        <v>58.789270999999999</v>
      </c>
      <c r="D424" s="258">
        <v>178.27413072131017</v>
      </c>
      <c r="E424" s="257">
        <f t="shared" si="28"/>
        <v>58.789270999999999</v>
      </c>
      <c r="F424" s="263"/>
      <c r="G424" s="190" t="str">
        <f t="shared" si="25"/>
        <v/>
      </c>
      <c r="H424" s="259" t="str">
        <f t="shared" si="26"/>
        <v/>
      </c>
      <c r="I424" s="260"/>
    </row>
    <row r="425" spans="1:9">
      <c r="A425" s="255">
        <f t="shared" si="27"/>
        <v>423</v>
      </c>
      <c r="B425" s="256">
        <v>45044</v>
      </c>
      <c r="C425" s="257">
        <v>123.81271000000001</v>
      </c>
      <c r="D425" s="258">
        <v>178.27413072131017</v>
      </c>
      <c r="E425" s="257">
        <f t="shared" si="28"/>
        <v>123.81271000000001</v>
      </c>
      <c r="F425" s="263"/>
      <c r="G425" s="190" t="str">
        <f t="shared" si="25"/>
        <v/>
      </c>
      <c r="H425" s="259" t="str">
        <f t="shared" si="26"/>
        <v/>
      </c>
      <c r="I425" s="260"/>
    </row>
    <row r="426" spans="1:9">
      <c r="A426" s="255">
        <f t="shared" si="27"/>
        <v>424</v>
      </c>
      <c r="B426" s="256">
        <v>45045</v>
      </c>
      <c r="C426" s="257">
        <v>159.585734</v>
      </c>
      <c r="D426" s="258">
        <v>178.27413072131017</v>
      </c>
      <c r="E426" s="257">
        <f t="shared" si="28"/>
        <v>159.585734</v>
      </c>
      <c r="F426" s="263"/>
      <c r="G426" s="190" t="str">
        <f t="shared" si="25"/>
        <v/>
      </c>
      <c r="H426" s="259" t="str">
        <f t="shared" si="26"/>
        <v/>
      </c>
      <c r="I426" s="260"/>
    </row>
    <row r="427" spans="1:9">
      <c r="A427" s="255">
        <f t="shared" si="27"/>
        <v>425</v>
      </c>
      <c r="B427" s="256">
        <v>45046</v>
      </c>
      <c r="C427" s="257">
        <v>181.31912</v>
      </c>
      <c r="D427" s="258">
        <v>178.27413072131017</v>
      </c>
      <c r="E427" s="257">
        <f t="shared" si="28"/>
        <v>178.27413072131017</v>
      </c>
      <c r="F427" s="263"/>
      <c r="G427" s="190" t="str">
        <f t="shared" si="25"/>
        <v/>
      </c>
      <c r="H427" s="259" t="str">
        <f t="shared" si="26"/>
        <v/>
      </c>
      <c r="I427" s="260"/>
    </row>
    <row r="428" spans="1:9">
      <c r="A428" s="255">
        <f t="shared" si="27"/>
        <v>426</v>
      </c>
      <c r="B428" s="256">
        <v>45047</v>
      </c>
      <c r="C428" s="257">
        <v>130.874887</v>
      </c>
      <c r="D428" s="258">
        <v>162.70626060639816</v>
      </c>
      <c r="E428" s="257">
        <f t="shared" si="28"/>
        <v>130.874887</v>
      </c>
      <c r="F428" s="260"/>
      <c r="G428" s="190" t="str">
        <f t="shared" si="25"/>
        <v/>
      </c>
      <c r="H428" s="259" t="str">
        <f t="shared" si="26"/>
        <v/>
      </c>
      <c r="I428" s="260"/>
    </row>
    <row r="429" spans="1:9">
      <c r="A429" s="255">
        <f t="shared" si="27"/>
        <v>427</v>
      </c>
      <c r="B429" s="256">
        <v>45048</v>
      </c>
      <c r="C429" s="257">
        <v>97.244559999999993</v>
      </c>
      <c r="D429" s="258">
        <v>162.70626060639816</v>
      </c>
      <c r="E429" s="257">
        <f t="shared" si="28"/>
        <v>97.244559999999993</v>
      </c>
      <c r="F429" s="263"/>
      <c r="G429" s="190" t="str">
        <f t="shared" si="25"/>
        <v/>
      </c>
      <c r="H429" s="259" t="str">
        <f t="shared" si="26"/>
        <v/>
      </c>
      <c r="I429" s="260"/>
    </row>
    <row r="430" spans="1:9">
      <c r="A430" s="255">
        <f t="shared" si="27"/>
        <v>428</v>
      </c>
      <c r="B430" s="256">
        <v>45049</v>
      </c>
      <c r="C430" s="257">
        <v>205.86509000000004</v>
      </c>
      <c r="D430" s="258">
        <v>162.70626060639816</v>
      </c>
      <c r="E430" s="257">
        <f t="shared" si="28"/>
        <v>162.70626060639816</v>
      </c>
      <c r="F430" s="263"/>
      <c r="G430" s="190" t="str">
        <f t="shared" si="25"/>
        <v/>
      </c>
      <c r="H430" s="259" t="str">
        <f t="shared" si="26"/>
        <v/>
      </c>
      <c r="I430" s="260"/>
    </row>
    <row r="431" spans="1:9">
      <c r="A431" s="255">
        <f t="shared" si="27"/>
        <v>429</v>
      </c>
      <c r="B431" s="256">
        <v>45050</v>
      </c>
      <c r="C431" s="257">
        <v>169.57292799999999</v>
      </c>
      <c r="D431" s="258">
        <v>162.70626060639816</v>
      </c>
      <c r="E431" s="257">
        <f t="shared" si="28"/>
        <v>162.70626060639816</v>
      </c>
      <c r="F431" s="263"/>
      <c r="G431" s="190" t="str">
        <f t="shared" si="25"/>
        <v/>
      </c>
      <c r="H431" s="259" t="str">
        <f t="shared" si="26"/>
        <v/>
      </c>
      <c r="I431" s="260"/>
    </row>
    <row r="432" spans="1:9">
      <c r="A432" s="255">
        <f t="shared" si="27"/>
        <v>430</v>
      </c>
      <c r="B432" s="256">
        <v>45051</v>
      </c>
      <c r="C432" s="257">
        <v>92.116522000000003</v>
      </c>
      <c r="D432" s="258">
        <v>162.70626060639816</v>
      </c>
      <c r="E432" s="257">
        <f t="shared" si="28"/>
        <v>92.116522000000003</v>
      </c>
      <c r="F432" s="263"/>
      <c r="G432" s="190" t="str">
        <f t="shared" si="25"/>
        <v/>
      </c>
      <c r="H432" s="259" t="str">
        <f t="shared" si="26"/>
        <v/>
      </c>
      <c r="I432" s="260"/>
    </row>
    <row r="433" spans="1:9">
      <c r="A433" s="255">
        <f t="shared" si="27"/>
        <v>431</v>
      </c>
      <c r="B433" s="256">
        <v>45052</v>
      </c>
      <c r="C433" s="257">
        <v>107.07831</v>
      </c>
      <c r="D433" s="258">
        <v>162.70626060639816</v>
      </c>
      <c r="E433" s="257">
        <f t="shared" si="28"/>
        <v>107.07831</v>
      </c>
      <c r="F433" s="263"/>
      <c r="G433" s="190" t="str">
        <f t="shared" si="25"/>
        <v/>
      </c>
      <c r="H433" s="259" t="str">
        <f t="shared" si="26"/>
        <v/>
      </c>
      <c r="I433" s="260"/>
    </row>
    <row r="434" spans="1:9">
      <c r="A434" s="255">
        <f t="shared" si="27"/>
        <v>432</v>
      </c>
      <c r="B434" s="256">
        <v>45053</v>
      </c>
      <c r="C434" s="257">
        <v>128.00228100000001</v>
      </c>
      <c r="D434" s="258">
        <v>162.70626060639816</v>
      </c>
      <c r="E434" s="257">
        <f t="shared" si="28"/>
        <v>128.00228100000001</v>
      </c>
      <c r="F434" s="263"/>
      <c r="G434" s="190" t="str">
        <f t="shared" si="25"/>
        <v/>
      </c>
      <c r="H434" s="259" t="str">
        <f t="shared" si="26"/>
        <v/>
      </c>
      <c r="I434" s="260"/>
    </row>
    <row r="435" spans="1:9">
      <c r="A435" s="255">
        <f t="shared" si="27"/>
        <v>433</v>
      </c>
      <c r="B435" s="256">
        <v>45054</v>
      </c>
      <c r="C435" s="257">
        <v>116.596884</v>
      </c>
      <c r="D435" s="258">
        <v>162.70626060639816</v>
      </c>
      <c r="E435" s="257">
        <f t="shared" si="28"/>
        <v>116.596884</v>
      </c>
      <c r="F435" s="263"/>
      <c r="G435" s="190" t="str">
        <f t="shared" si="25"/>
        <v/>
      </c>
      <c r="H435" s="259" t="str">
        <f t="shared" si="26"/>
        <v/>
      </c>
      <c r="I435" s="260"/>
    </row>
    <row r="436" spans="1:9">
      <c r="A436" s="255">
        <f t="shared" si="27"/>
        <v>434</v>
      </c>
      <c r="B436" s="256">
        <v>45055</v>
      </c>
      <c r="C436" s="257">
        <v>178.56637400000002</v>
      </c>
      <c r="D436" s="258">
        <v>162.70626060639816</v>
      </c>
      <c r="E436" s="257">
        <f t="shared" si="28"/>
        <v>162.70626060639816</v>
      </c>
      <c r="F436" s="263"/>
      <c r="G436" s="190" t="str">
        <f t="shared" si="25"/>
        <v/>
      </c>
      <c r="H436" s="259" t="str">
        <f t="shared" si="26"/>
        <v/>
      </c>
      <c r="I436" s="260"/>
    </row>
    <row r="437" spans="1:9">
      <c r="A437" s="255">
        <f t="shared" si="27"/>
        <v>435</v>
      </c>
      <c r="B437" s="256">
        <v>45056</v>
      </c>
      <c r="C437" s="257">
        <v>202.93521299999998</v>
      </c>
      <c r="D437" s="258">
        <v>162.70626060639816</v>
      </c>
      <c r="E437" s="257">
        <f t="shared" si="28"/>
        <v>162.70626060639816</v>
      </c>
      <c r="F437" s="263"/>
      <c r="G437" s="190" t="str">
        <f t="shared" si="25"/>
        <v/>
      </c>
      <c r="H437" s="259" t="str">
        <f t="shared" si="26"/>
        <v/>
      </c>
      <c r="I437" s="260"/>
    </row>
    <row r="438" spans="1:9">
      <c r="A438" s="255">
        <f t="shared" si="27"/>
        <v>436</v>
      </c>
      <c r="B438" s="256">
        <v>45057</v>
      </c>
      <c r="C438" s="257">
        <v>211.15833800000001</v>
      </c>
      <c r="D438" s="258">
        <v>162.70626060639816</v>
      </c>
      <c r="E438" s="257">
        <f t="shared" si="28"/>
        <v>162.70626060639816</v>
      </c>
      <c r="F438" s="263"/>
      <c r="G438" s="190" t="str">
        <f t="shared" si="25"/>
        <v/>
      </c>
      <c r="H438" s="259" t="str">
        <f t="shared" si="26"/>
        <v/>
      </c>
      <c r="I438" s="260"/>
    </row>
    <row r="439" spans="1:9">
      <c r="A439" s="255">
        <f t="shared" si="27"/>
        <v>437</v>
      </c>
      <c r="B439" s="256">
        <v>45058</v>
      </c>
      <c r="C439" s="257">
        <v>206.79888299999999</v>
      </c>
      <c r="D439" s="258">
        <v>162.70626060639816</v>
      </c>
      <c r="E439" s="257">
        <f t="shared" si="28"/>
        <v>162.70626060639816</v>
      </c>
      <c r="F439" s="263"/>
      <c r="G439" s="190" t="str">
        <f t="shared" si="25"/>
        <v/>
      </c>
      <c r="H439" s="259" t="str">
        <f t="shared" si="26"/>
        <v/>
      </c>
      <c r="I439" s="260"/>
    </row>
    <row r="440" spans="1:9">
      <c r="A440" s="255">
        <f t="shared" si="27"/>
        <v>438</v>
      </c>
      <c r="B440" s="256">
        <v>45059</v>
      </c>
      <c r="C440" s="257">
        <v>213.33485300000001</v>
      </c>
      <c r="D440" s="258">
        <v>162.70626060639816</v>
      </c>
      <c r="E440" s="257">
        <f t="shared" si="28"/>
        <v>162.70626060639816</v>
      </c>
      <c r="F440" s="263"/>
      <c r="G440" s="190" t="str">
        <f t="shared" si="25"/>
        <v/>
      </c>
      <c r="H440" s="259" t="str">
        <f t="shared" si="26"/>
        <v/>
      </c>
      <c r="I440" s="260"/>
    </row>
    <row r="441" spans="1:9">
      <c r="A441" s="255">
        <f t="shared" si="27"/>
        <v>439</v>
      </c>
      <c r="B441" s="256">
        <v>45060</v>
      </c>
      <c r="C441" s="257">
        <v>193.91825699999998</v>
      </c>
      <c r="D441" s="258">
        <v>162.70626060639816</v>
      </c>
      <c r="E441" s="257">
        <f t="shared" si="28"/>
        <v>162.70626060639816</v>
      </c>
      <c r="F441" s="263"/>
      <c r="G441" s="190" t="str">
        <f t="shared" si="25"/>
        <v/>
      </c>
      <c r="H441" s="259" t="str">
        <f t="shared" si="26"/>
        <v/>
      </c>
      <c r="I441" s="260"/>
    </row>
    <row r="442" spans="1:9">
      <c r="A442" s="255">
        <f t="shared" si="27"/>
        <v>440</v>
      </c>
      <c r="B442" s="256">
        <v>45061</v>
      </c>
      <c r="C442" s="257">
        <v>252.77925200000001</v>
      </c>
      <c r="D442" s="258">
        <v>162.70626060639816</v>
      </c>
      <c r="E442" s="257">
        <f t="shared" si="28"/>
        <v>162.70626060639816</v>
      </c>
      <c r="F442" s="263"/>
      <c r="G442" s="190" t="str">
        <f t="shared" si="25"/>
        <v>M</v>
      </c>
      <c r="H442" s="259" t="str">
        <f t="shared" si="26"/>
        <v>162,7</v>
      </c>
      <c r="I442" s="260"/>
    </row>
    <row r="443" spans="1:9">
      <c r="A443" s="255">
        <f t="shared" si="27"/>
        <v>441</v>
      </c>
      <c r="B443" s="256">
        <v>45062</v>
      </c>
      <c r="C443" s="257">
        <v>309.913184</v>
      </c>
      <c r="D443" s="258">
        <v>162.70626060639816</v>
      </c>
      <c r="E443" s="257">
        <f t="shared" si="28"/>
        <v>162.70626060639816</v>
      </c>
      <c r="F443" s="263"/>
      <c r="G443" s="190" t="str">
        <f t="shared" si="25"/>
        <v/>
      </c>
      <c r="H443" s="259" t="str">
        <f t="shared" si="26"/>
        <v/>
      </c>
      <c r="I443" s="260"/>
    </row>
    <row r="444" spans="1:9">
      <c r="A444" s="255">
        <f t="shared" si="27"/>
        <v>442</v>
      </c>
      <c r="B444" s="256">
        <v>45063</v>
      </c>
      <c r="C444" s="257">
        <v>332.06808300000006</v>
      </c>
      <c r="D444" s="258">
        <v>162.70626060639816</v>
      </c>
      <c r="E444" s="257">
        <f t="shared" si="28"/>
        <v>162.70626060639816</v>
      </c>
      <c r="F444" s="263"/>
      <c r="G444" s="190" t="str">
        <f t="shared" si="25"/>
        <v/>
      </c>
      <c r="H444" s="259" t="str">
        <f t="shared" si="26"/>
        <v/>
      </c>
      <c r="I444" s="260"/>
    </row>
    <row r="445" spans="1:9">
      <c r="A445" s="255">
        <f t="shared" si="27"/>
        <v>443</v>
      </c>
      <c r="B445" s="256">
        <v>45064</v>
      </c>
      <c r="C445" s="257">
        <v>300.85811099999995</v>
      </c>
      <c r="D445" s="258">
        <v>162.70626060639816</v>
      </c>
      <c r="E445" s="257">
        <f t="shared" si="28"/>
        <v>162.70626060639816</v>
      </c>
      <c r="F445" s="263"/>
      <c r="G445" s="190" t="str">
        <f t="shared" si="25"/>
        <v/>
      </c>
      <c r="H445" s="259" t="str">
        <f t="shared" si="26"/>
        <v/>
      </c>
      <c r="I445" s="260"/>
    </row>
    <row r="446" spans="1:9">
      <c r="A446" s="255">
        <f t="shared" si="27"/>
        <v>444</v>
      </c>
      <c r="B446" s="256">
        <v>45065</v>
      </c>
      <c r="C446" s="257">
        <v>275.81912399999999</v>
      </c>
      <c r="D446" s="258">
        <v>162.70626060639816</v>
      </c>
      <c r="E446" s="257">
        <f t="shared" si="28"/>
        <v>162.70626060639816</v>
      </c>
      <c r="F446" s="263"/>
      <c r="G446" s="190" t="str">
        <f t="shared" si="25"/>
        <v/>
      </c>
      <c r="H446" s="259" t="str">
        <f t="shared" si="26"/>
        <v/>
      </c>
      <c r="I446" s="260"/>
    </row>
    <row r="447" spans="1:9">
      <c r="A447" s="255">
        <f t="shared" si="27"/>
        <v>445</v>
      </c>
      <c r="B447" s="256">
        <v>45066</v>
      </c>
      <c r="C447" s="257">
        <v>206.87100699999999</v>
      </c>
      <c r="D447" s="258">
        <v>162.70626060639816</v>
      </c>
      <c r="E447" s="257">
        <f t="shared" si="28"/>
        <v>162.70626060639816</v>
      </c>
      <c r="F447" s="263"/>
      <c r="G447" s="190" t="str">
        <f t="shared" si="25"/>
        <v/>
      </c>
      <c r="H447" s="259" t="str">
        <f t="shared" si="26"/>
        <v/>
      </c>
      <c r="I447" s="260"/>
    </row>
    <row r="448" spans="1:9">
      <c r="A448" s="255">
        <f t="shared" si="27"/>
        <v>446</v>
      </c>
      <c r="B448" s="256">
        <v>45067</v>
      </c>
      <c r="C448" s="257">
        <v>175.73118399999998</v>
      </c>
      <c r="D448" s="258">
        <v>162.70626060639816</v>
      </c>
      <c r="E448" s="257">
        <f t="shared" si="28"/>
        <v>162.70626060639816</v>
      </c>
      <c r="F448" s="263"/>
      <c r="G448" s="190" t="str">
        <f t="shared" si="25"/>
        <v/>
      </c>
      <c r="H448" s="259" t="str">
        <f t="shared" si="26"/>
        <v/>
      </c>
      <c r="I448" s="260"/>
    </row>
    <row r="449" spans="1:9">
      <c r="A449" s="255">
        <f t="shared" si="27"/>
        <v>447</v>
      </c>
      <c r="B449" s="256">
        <v>45068</v>
      </c>
      <c r="C449" s="257">
        <v>166.430431</v>
      </c>
      <c r="D449" s="258">
        <v>162.70626060639816</v>
      </c>
      <c r="E449" s="257">
        <f t="shared" si="28"/>
        <v>162.70626060639816</v>
      </c>
      <c r="F449" s="263"/>
      <c r="G449" s="190" t="str">
        <f t="shared" si="25"/>
        <v/>
      </c>
      <c r="H449" s="259" t="str">
        <f t="shared" si="26"/>
        <v/>
      </c>
      <c r="I449" s="260"/>
    </row>
    <row r="450" spans="1:9">
      <c r="A450" s="255">
        <f t="shared" si="27"/>
        <v>448</v>
      </c>
      <c r="B450" s="256">
        <v>45069</v>
      </c>
      <c r="C450" s="257">
        <v>187.75610499999999</v>
      </c>
      <c r="D450" s="258">
        <v>162.70626060639816</v>
      </c>
      <c r="E450" s="257">
        <f t="shared" si="28"/>
        <v>162.70626060639816</v>
      </c>
      <c r="F450" s="263"/>
      <c r="G450" s="190" t="str">
        <f t="shared" si="25"/>
        <v/>
      </c>
      <c r="H450" s="259" t="str">
        <f t="shared" si="26"/>
        <v/>
      </c>
      <c r="I450" s="260"/>
    </row>
    <row r="451" spans="1:9">
      <c r="A451" s="255">
        <f t="shared" si="27"/>
        <v>449</v>
      </c>
      <c r="B451" s="256">
        <v>45070</v>
      </c>
      <c r="C451" s="257">
        <v>153.51276999999999</v>
      </c>
      <c r="D451" s="258">
        <v>162.70626060639816</v>
      </c>
      <c r="E451" s="257">
        <f t="shared" si="28"/>
        <v>153.51276999999999</v>
      </c>
      <c r="F451" s="263"/>
      <c r="G451" s="190" t="str">
        <f t="shared" ref="G451:G514" si="29">IF(DAY(B451)=15,IF(MONTH(B451)=1,"E",IF(MONTH(B451)=2,"F",IF(MONTH(B451)=3,"M",IF(MONTH(B451)=4,"A",IF(MONTH(B451)=5,"M",IF(MONTH(B451)=6,"J",IF(MONTH(B451)=7,"J",IF(MONTH(B451)=8,"A",IF(MONTH(B451)=9,"S",IF(MONTH(B451)=10,"O",IF(MONTH(B451)=11,"N",IF(MONTH(B451)=12,"D","")))))))))))),"")</f>
        <v/>
      </c>
      <c r="H451" s="259" t="str">
        <f t="shared" ref="H451:H514" si="30">IF(DAY($B451)=15,TEXT(D451,"#,0"),"")</f>
        <v/>
      </c>
      <c r="I451" s="260"/>
    </row>
    <row r="452" spans="1:9">
      <c r="A452" s="255">
        <f t="shared" ref="A452:A515" si="31">+A451+1</f>
        <v>450</v>
      </c>
      <c r="B452" s="256">
        <v>45071</v>
      </c>
      <c r="C452" s="257">
        <v>213.521951</v>
      </c>
      <c r="D452" s="258">
        <v>162.70626060639816</v>
      </c>
      <c r="E452" s="257">
        <f t="shared" si="28"/>
        <v>162.70626060639816</v>
      </c>
      <c r="F452" s="263"/>
      <c r="G452" s="190" t="str">
        <f t="shared" si="29"/>
        <v/>
      </c>
      <c r="H452" s="259" t="str">
        <f t="shared" si="30"/>
        <v/>
      </c>
      <c r="I452" s="260"/>
    </row>
    <row r="453" spans="1:9">
      <c r="A453" s="255">
        <f t="shared" si="31"/>
        <v>451</v>
      </c>
      <c r="B453" s="256">
        <v>45072</v>
      </c>
      <c r="C453" s="257">
        <v>217.44183800000002</v>
      </c>
      <c r="D453" s="258">
        <v>162.70626060639816</v>
      </c>
      <c r="E453" s="257">
        <f t="shared" si="28"/>
        <v>162.70626060639816</v>
      </c>
      <c r="F453" s="263"/>
      <c r="G453" s="190" t="str">
        <f t="shared" si="29"/>
        <v/>
      </c>
      <c r="H453" s="259" t="str">
        <f t="shared" si="30"/>
        <v/>
      </c>
      <c r="I453" s="260"/>
    </row>
    <row r="454" spans="1:9">
      <c r="A454" s="255">
        <f t="shared" si="31"/>
        <v>452</v>
      </c>
      <c r="B454" s="256">
        <v>45073</v>
      </c>
      <c r="C454" s="257">
        <v>92.437781000000001</v>
      </c>
      <c r="D454" s="258">
        <v>162.70626060639816</v>
      </c>
      <c r="E454" s="257">
        <f t="shared" si="28"/>
        <v>92.437781000000001</v>
      </c>
      <c r="F454" s="263"/>
      <c r="G454" s="190" t="str">
        <f t="shared" si="29"/>
        <v/>
      </c>
      <c r="H454" s="259" t="str">
        <f t="shared" si="30"/>
        <v/>
      </c>
      <c r="I454" s="260"/>
    </row>
    <row r="455" spans="1:9">
      <c r="A455" s="255">
        <f t="shared" si="31"/>
        <v>453</v>
      </c>
      <c r="B455" s="256">
        <v>45074</v>
      </c>
      <c r="C455" s="257">
        <v>60.719230000000003</v>
      </c>
      <c r="D455" s="258">
        <v>162.70626060639816</v>
      </c>
      <c r="E455" s="257">
        <f t="shared" ref="E455:E518" si="32">IF(C455&gt;D455,D455,C455)</f>
        <v>60.719230000000003</v>
      </c>
      <c r="F455" s="263"/>
      <c r="G455" s="190" t="str">
        <f t="shared" si="29"/>
        <v/>
      </c>
      <c r="H455" s="259" t="str">
        <f t="shared" si="30"/>
        <v/>
      </c>
      <c r="I455" s="260"/>
    </row>
    <row r="456" spans="1:9">
      <c r="A456" s="255">
        <f t="shared" si="31"/>
        <v>454</v>
      </c>
      <c r="B456" s="256">
        <v>45075</v>
      </c>
      <c r="C456" s="257">
        <v>77.339371999999997</v>
      </c>
      <c r="D456" s="258">
        <v>162.70626060639816</v>
      </c>
      <c r="E456" s="257">
        <f t="shared" si="32"/>
        <v>77.339371999999997</v>
      </c>
      <c r="F456" s="263"/>
      <c r="G456" s="190" t="str">
        <f t="shared" si="29"/>
        <v/>
      </c>
      <c r="H456" s="259" t="str">
        <f t="shared" si="30"/>
        <v/>
      </c>
      <c r="I456" s="260"/>
    </row>
    <row r="457" spans="1:9">
      <c r="A457" s="255">
        <f t="shared" si="31"/>
        <v>455</v>
      </c>
      <c r="B457" s="256">
        <v>45076</v>
      </c>
      <c r="C457" s="257">
        <v>48.226339999999993</v>
      </c>
      <c r="D457" s="258">
        <v>162.70626060639816</v>
      </c>
      <c r="E457" s="257">
        <f t="shared" si="32"/>
        <v>48.226339999999993</v>
      </c>
      <c r="F457" s="263"/>
      <c r="G457" s="190" t="str">
        <f t="shared" si="29"/>
        <v/>
      </c>
      <c r="H457" s="259" t="str">
        <f t="shared" si="30"/>
        <v/>
      </c>
      <c r="I457" s="260"/>
    </row>
    <row r="458" spans="1:9">
      <c r="A458" s="255">
        <f t="shared" si="31"/>
        <v>456</v>
      </c>
      <c r="B458" s="256">
        <v>45077</v>
      </c>
      <c r="C458" s="257">
        <v>39.278343999999997</v>
      </c>
      <c r="D458" s="258">
        <v>162.70626060639816</v>
      </c>
      <c r="E458" s="257">
        <f t="shared" si="32"/>
        <v>39.278343999999997</v>
      </c>
      <c r="F458" s="263"/>
      <c r="G458" s="190" t="str">
        <f t="shared" si="29"/>
        <v/>
      </c>
      <c r="H458" s="259" t="str">
        <f t="shared" si="30"/>
        <v/>
      </c>
      <c r="I458" s="260"/>
    </row>
    <row r="459" spans="1:9">
      <c r="A459" s="255">
        <f t="shared" si="31"/>
        <v>457</v>
      </c>
      <c r="B459" s="256">
        <v>45078</v>
      </c>
      <c r="C459" s="257">
        <v>65.043498999999997</v>
      </c>
      <c r="D459" s="258">
        <v>132.97977590111603</v>
      </c>
      <c r="E459" s="257">
        <f t="shared" si="32"/>
        <v>65.043498999999997</v>
      </c>
      <c r="F459" s="263"/>
      <c r="G459" s="190" t="str">
        <f t="shared" si="29"/>
        <v/>
      </c>
      <c r="H459" s="259" t="str">
        <f t="shared" si="30"/>
        <v/>
      </c>
      <c r="I459" s="260"/>
    </row>
    <row r="460" spans="1:9">
      <c r="A460" s="255">
        <f t="shared" si="31"/>
        <v>458</v>
      </c>
      <c r="B460" s="256">
        <v>45079</v>
      </c>
      <c r="C460" s="257">
        <v>59.870453000000005</v>
      </c>
      <c r="D460" s="258">
        <v>132.97977590111603</v>
      </c>
      <c r="E460" s="257">
        <f t="shared" si="32"/>
        <v>59.870453000000005</v>
      </c>
      <c r="F460" s="263"/>
      <c r="G460" s="190" t="str">
        <f t="shared" si="29"/>
        <v/>
      </c>
      <c r="H460" s="259" t="str">
        <f t="shared" si="30"/>
        <v/>
      </c>
      <c r="I460" s="260"/>
    </row>
    <row r="461" spans="1:9">
      <c r="A461" s="255">
        <f t="shared" si="31"/>
        <v>459</v>
      </c>
      <c r="B461" s="256">
        <v>45080</v>
      </c>
      <c r="C461" s="257">
        <v>36.766540999999997</v>
      </c>
      <c r="D461" s="258">
        <v>132.97977590111603</v>
      </c>
      <c r="E461" s="257">
        <f t="shared" si="32"/>
        <v>36.766540999999997</v>
      </c>
      <c r="F461" s="263"/>
      <c r="G461" s="190" t="str">
        <f t="shared" si="29"/>
        <v/>
      </c>
      <c r="H461" s="259" t="str">
        <f t="shared" si="30"/>
        <v/>
      </c>
      <c r="I461" s="260"/>
    </row>
    <row r="462" spans="1:9">
      <c r="A462" s="255">
        <f t="shared" si="31"/>
        <v>460</v>
      </c>
      <c r="B462" s="256">
        <v>45081</v>
      </c>
      <c r="C462" s="257">
        <v>35.177381000000004</v>
      </c>
      <c r="D462" s="258">
        <v>132.97977590111603</v>
      </c>
      <c r="E462" s="257">
        <f t="shared" si="32"/>
        <v>35.177381000000004</v>
      </c>
      <c r="F462" s="263"/>
      <c r="G462" s="190" t="str">
        <f t="shared" si="29"/>
        <v/>
      </c>
      <c r="H462" s="259" t="str">
        <f t="shared" si="30"/>
        <v/>
      </c>
      <c r="I462" s="260"/>
    </row>
    <row r="463" spans="1:9">
      <c r="A463" s="255">
        <f t="shared" si="31"/>
        <v>461</v>
      </c>
      <c r="B463" s="256">
        <v>45082</v>
      </c>
      <c r="C463" s="257">
        <v>43.021312999999999</v>
      </c>
      <c r="D463" s="258">
        <v>132.97977590111603</v>
      </c>
      <c r="E463" s="257">
        <f t="shared" si="32"/>
        <v>43.021312999999999</v>
      </c>
      <c r="F463" s="263"/>
      <c r="G463" s="190" t="str">
        <f t="shared" si="29"/>
        <v/>
      </c>
      <c r="H463" s="259" t="str">
        <f t="shared" si="30"/>
        <v/>
      </c>
      <c r="I463" s="260"/>
    </row>
    <row r="464" spans="1:9">
      <c r="A464" s="255">
        <f t="shared" si="31"/>
        <v>462</v>
      </c>
      <c r="B464" s="256">
        <v>45083</v>
      </c>
      <c r="C464" s="257">
        <v>84.618122</v>
      </c>
      <c r="D464" s="258">
        <v>132.97977590111603</v>
      </c>
      <c r="E464" s="257">
        <f t="shared" si="32"/>
        <v>84.618122</v>
      </c>
      <c r="F464" s="263"/>
      <c r="G464" s="190" t="str">
        <f t="shared" si="29"/>
        <v/>
      </c>
      <c r="H464" s="259" t="str">
        <f t="shared" si="30"/>
        <v/>
      </c>
      <c r="I464" s="260"/>
    </row>
    <row r="465" spans="1:9">
      <c r="A465" s="255">
        <f t="shared" si="31"/>
        <v>463</v>
      </c>
      <c r="B465" s="256">
        <v>45084</v>
      </c>
      <c r="C465" s="257">
        <v>136.02359300000001</v>
      </c>
      <c r="D465" s="258">
        <v>132.97977590111603</v>
      </c>
      <c r="E465" s="257">
        <f t="shared" si="32"/>
        <v>132.97977590111603</v>
      </c>
      <c r="F465" s="263"/>
      <c r="G465" s="190" t="str">
        <f t="shared" si="29"/>
        <v/>
      </c>
      <c r="H465" s="259" t="str">
        <f t="shared" si="30"/>
        <v/>
      </c>
      <c r="I465" s="260"/>
    </row>
    <row r="466" spans="1:9">
      <c r="A466" s="255">
        <f t="shared" si="31"/>
        <v>464</v>
      </c>
      <c r="B466" s="256">
        <v>45085</v>
      </c>
      <c r="C466" s="257">
        <v>113.05998299999999</v>
      </c>
      <c r="D466" s="258">
        <v>132.97977590111603</v>
      </c>
      <c r="E466" s="257">
        <f t="shared" si="32"/>
        <v>113.05998299999999</v>
      </c>
      <c r="F466" s="263"/>
      <c r="G466" s="190" t="str">
        <f t="shared" si="29"/>
        <v/>
      </c>
      <c r="H466" s="259" t="str">
        <f t="shared" si="30"/>
        <v/>
      </c>
      <c r="I466" s="260"/>
    </row>
    <row r="467" spans="1:9">
      <c r="A467" s="255">
        <f t="shared" si="31"/>
        <v>465</v>
      </c>
      <c r="B467" s="256">
        <v>45086</v>
      </c>
      <c r="C467" s="257">
        <v>171.55850100000001</v>
      </c>
      <c r="D467" s="258">
        <v>132.97977590111603</v>
      </c>
      <c r="E467" s="257">
        <f t="shared" si="32"/>
        <v>132.97977590111603</v>
      </c>
      <c r="F467" s="263"/>
      <c r="G467" s="190" t="str">
        <f t="shared" si="29"/>
        <v/>
      </c>
      <c r="H467" s="259" t="str">
        <f t="shared" si="30"/>
        <v/>
      </c>
      <c r="I467" s="260"/>
    </row>
    <row r="468" spans="1:9">
      <c r="A468" s="255">
        <f t="shared" si="31"/>
        <v>466</v>
      </c>
      <c r="B468" s="256">
        <v>45087</v>
      </c>
      <c r="C468" s="257">
        <v>55.950822000000002</v>
      </c>
      <c r="D468" s="258">
        <v>132.97977590111603</v>
      </c>
      <c r="E468" s="257">
        <f t="shared" si="32"/>
        <v>55.950822000000002</v>
      </c>
      <c r="F468" s="263"/>
      <c r="G468" s="190" t="str">
        <f t="shared" si="29"/>
        <v/>
      </c>
      <c r="H468" s="259" t="str">
        <f t="shared" si="30"/>
        <v/>
      </c>
      <c r="I468" s="260"/>
    </row>
    <row r="469" spans="1:9">
      <c r="A469" s="255">
        <f t="shared" si="31"/>
        <v>467</v>
      </c>
      <c r="B469" s="256">
        <v>45088</v>
      </c>
      <c r="C469" s="257">
        <v>49.472637000000006</v>
      </c>
      <c r="D469" s="258">
        <v>132.97977590111603</v>
      </c>
      <c r="E469" s="257">
        <f t="shared" si="32"/>
        <v>49.472637000000006</v>
      </c>
      <c r="F469" s="263"/>
      <c r="G469" s="190" t="str">
        <f t="shared" si="29"/>
        <v/>
      </c>
      <c r="H469" s="259" t="str">
        <f t="shared" si="30"/>
        <v/>
      </c>
      <c r="I469" s="260"/>
    </row>
    <row r="470" spans="1:9">
      <c r="A470" s="255">
        <f t="shared" si="31"/>
        <v>468</v>
      </c>
      <c r="B470" s="256">
        <v>45089</v>
      </c>
      <c r="C470" s="257">
        <v>47.239418000000001</v>
      </c>
      <c r="D470" s="258">
        <v>132.97977590111603</v>
      </c>
      <c r="E470" s="257">
        <f t="shared" si="32"/>
        <v>47.239418000000001</v>
      </c>
      <c r="F470" s="263"/>
      <c r="G470" s="190" t="str">
        <f t="shared" si="29"/>
        <v/>
      </c>
      <c r="H470" s="259" t="str">
        <f t="shared" si="30"/>
        <v/>
      </c>
      <c r="I470" s="260"/>
    </row>
    <row r="471" spans="1:9">
      <c r="A471" s="255">
        <f t="shared" si="31"/>
        <v>469</v>
      </c>
      <c r="B471" s="256">
        <v>45090</v>
      </c>
      <c r="C471" s="257">
        <v>115.54714</v>
      </c>
      <c r="D471" s="258">
        <v>132.97977590111603</v>
      </c>
      <c r="E471" s="257">
        <f t="shared" si="32"/>
        <v>115.54714</v>
      </c>
      <c r="F471" s="263"/>
      <c r="G471" s="190" t="str">
        <f t="shared" si="29"/>
        <v/>
      </c>
      <c r="H471" s="259" t="str">
        <f t="shared" si="30"/>
        <v/>
      </c>
      <c r="I471" s="260"/>
    </row>
    <row r="472" spans="1:9">
      <c r="A472" s="255">
        <f t="shared" si="31"/>
        <v>470</v>
      </c>
      <c r="B472" s="256">
        <v>45091</v>
      </c>
      <c r="C472" s="257">
        <v>168.01664700000003</v>
      </c>
      <c r="D472" s="258">
        <v>132.97977590111603</v>
      </c>
      <c r="E472" s="257">
        <f t="shared" si="32"/>
        <v>132.97977590111603</v>
      </c>
      <c r="F472" s="263"/>
      <c r="G472" s="190" t="str">
        <f t="shared" si="29"/>
        <v/>
      </c>
      <c r="H472" s="259" t="str">
        <f t="shared" si="30"/>
        <v/>
      </c>
      <c r="I472" s="260"/>
    </row>
    <row r="473" spans="1:9">
      <c r="A473" s="255">
        <f t="shared" si="31"/>
        <v>471</v>
      </c>
      <c r="B473" s="256">
        <v>45092</v>
      </c>
      <c r="C473" s="257">
        <v>94.628765000000001</v>
      </c>
      <c r="D473" s="258">
        <v>132.97977590111603</v>
      </c>
      <c r="E473" s="257">
        <f t="shared" si="32"/>
        <v>94.628765000000001</v>
      </c>
      <c r="F473" s="263"/>
      <c r="G473" s="190" t="str">
        <f t="shared" si="29"/>
        <v>J</v>
      </c>
      <c r="H473" s="259" t="str">
        <f t="shared" si="30"/>
        <v>133,0</v>
      </c>
      <c r="I473" s="260"/>
    </row>
    <row r="474" spans="1:9">
      <c r="A474" s="255">
        <f t="shared" si="31"/>
        <v>472</v>
      </c>
      <c r="B474" s="256">
        <v>45093</v>
      </c>
      <c r="C474" s="257">
        <v>54.170434999999998</v>
      </c>
      <c r="D474" s="258">
        <v>132.97977590111603</v>
      </c>
      <c r="E474" s="257">
        <f t="shared" si="32"/>
        <v>54.170434999999998</v>
      </c>
      <c r="F474" s="263"/>
      <c r="G474" s="190" t="str">
        <f t="shared" si="29"/>
        <v/>
      </c>
      <c r="H474" s="259" t="str">
        <f t="shared" si="30"/>
        <v/>
      </c>
      <c r="I474" s="260"/>
    </row>
    <row r="475" spans="1:9">
      <c r="A475" s="255">
        <f t="shared" si="31"/>
        <v>473</v>
      </c>
      <c r="B475" s="256">
        <v>45094</v>
      </c>
      <c r="C475" s="257">
        <v>99.021672999999993</v>
      </c>
      <c r="D475" s="258">
        <v>132.97977590111603</v>
      </c>
      <c r="E475" s="257">
        <f t="shared" si="32"/>
        <v>99.021672999999993</v>
      </c>
      <c r="F475" s="263"/>
      <c r="G475" s="190" t="str">
        <f t="shared" si="29"/>
        <v/>
      </c>
      <c r="H475" s="259" t="str">
        <f t="shared" si="30"/>
        <v/>
      </c>
      <c r="I475" s="260"/>
    </row>
    <row r="476" spans="1:9">
      <c r="A476" s="255">
        <f t="shared" si="31"/>
        <v>474</v>
      </c>
      <c r="B476" s="256">
        <v>45095</v>
      </c>
      <c r="C476" s="257">
        <v>142.448048</v>
      </c>
      <c r="D476" s="258">
        <v>132.97977590111603</v>
      </c>
      <c r="E476" s="257">
        <f t="shared" si="32"/>
        <v>132.97977590111603</v>
      </c>
      <c r="F476" s="263"/>
      <c r="G476" s="190" t="str">
        <f t="shared" si="29"/>
        <v/>
      </c>
      <c r="H476" s="259" t="str">
        <f t="shared" si="30"/>
        <v/>
      </c>
      <c r="I476" s="260"/>
    </row>
    <row r="477" spans="1:9">
      <c r="A477" s="255">
        <f t="shared" si="31"/>
        <v>475</v>
      </c>
      <c r="B477" s="256">
        <v>45096</v>
      </c>
      <c r="C477" s="257">
        <v>106.90828</v>
      </c>
      <c r="D477" s="258">
        <v>132.97977590111603</v>
      </c>
      <c r="E477" s="257">
        <f t="shared" si="32"/>
        <v>106.90828</v>
      </c>
      <c r="F477" s="263"/>
      <c r="G477" s="190" t="str">
        <f t="shared" si="29"/>
        <v/>
      </c>
      <c r="H477" s="259" t="str">
        <f t="shared" si="30"/>
        <v/>
      </c>
      <c r="I477" s="260"/>
    </row>
    <row r="478" spans="1:9">
      <c r="A478" s="255">
        <f t="shared" si="31"/>
        <v>476</v>
      </c>
      <c r="B478" s="256">
        <v>45097</v>
      </c>
      <c r="C478" s="257">
        <v>68.056787999999997</v>
      </c>
      <c r="D478" s="258">
        <v>132.97977590111603</v>
      </c>
      <c r="E478" s="257">
        <f t="shared" si="32"/>
        <v>68.056787999999997</v>
      </c>
      <c r="F478" s="263"/>
      <c r="G478" s="190" t="str">
        <f t="shared" si="29"/>
        <v/>
      </c>
      <c r="H478" s="259" t="str">
        <f t="shared" si="30"/>
        <v/>
      </c>
      <c r="I478" s="260"/>
    </row>
    <row r="479" spans="1:9">
      <c r="A479" s="255">
        <f t="shared" si="31"/>
        <v>477</v>
      </c>
      <c r="B479" s="256">
        <v>45098</v>
      </c>
      <c r="C479" s="257">
        <v>61.214120999999999</v>
      </c>
      <c r="D479" s="258">
        <v>132.97977590111603</v>
      </c>
      <c r="E479" s="257">
        <f t="shared" si="32"/>
        <v>61.214120999999999</v>
      </c>
      <c r="F479" s="263"/>
      <c r="G479" s="190" t="str">
        <f t="shared" si="29"/>
        <v/>
      </c>
      <c r="H479" s="259" t="str">
        <f t="shared" si="30"/>
        <v/>
      </c>
      <c r="I479" s="260"/>
    </row>
    <row r="480" spans="1:9">
      <c r="A480" s="255">
        <f t="shared" si="31"/>
        <v>478</v>
      </c>
      <c r="B480" s="256">
        <v>45099</v>
      </c>
      <c r="C480" s="257">
        <v>67.968643</v>
      </c>
      <c r="D480" s="258">
        <v>132.97977590111603</v>
      </c>
      <c r="E480" s="257">
        <f t="shared" si="32"/>
        <v>67.968643</v>
      </c>
      <c r="F480" s="263"/>
      <c r="G480" s="190" t="str">
        <f t="shared" si="29"/>
        <v/>
      </c>
      <c r="H480" s="259" t="str">
        <f t="shared" si="30"/>
        <v/>
      </c>
      <c r="I480" s="260"/>
    </row>
    <row r="481" spans="1:9">
      <c r="A481" s="255">
        <f t="shared" si="31"/>
        <v>479</v>
      </c>
      <c r="B481" s="256">
        <v>45100</v>
      </c>
      <c r="C481" s="257">
        <v>90.615945000000011</v>
      </c>
      <c r="D481" s="258">
        <v>132.97977590111603</v>
      </c>
      <c r="E481" s="257">
        <f t="shared" si="32"/>
        <v>90.615945000000011</v>
      </c>
      <c r="F481" s="263"/>
      <c r="G481" s="190" t="str">
        <f t="shared" si="29"/>
        <v/>
      </c>
      <c r="H481" s="259" t="str">
        <f t="shared" si="30"/>
        <v/>
      </c>
      <c r="I481" s="260"/>
    </row>
    <row r="482" spans="1:9">
      <c r="A482" s="255">
        <f t="shared" si="31"/>
        <v>480</v>
      </c>
      <c r="B482" s="256">
        <v>45101</v>
      </c>
      <c r="C482" s="257">
        <v>90.214257000000003</v>
      </c>
      <c r="D482" s="258">
        <v>132.97977590111603</v>
      </c>
      <c r="E482" s="257">
        <f t="shared" si="32"/>
        <v>90.214257000000003</v>
      </c>
      <c r="F482" s="263"/>
      <c r="G482" s="190" t="str">
        <f t="shared" si="29"/>
        <v/>
      </c>
      <c r="H482" s="259" t="str">
        <f t="shared" si="30"/>
        <v/>
      </c>
      <c r="I482" s="260"/>
    </row>
    <row r="483" spans="1:9">
      <c r="A483" s="255">
        <f t="shared" si="31"/>
        <v>481</v>
      </c>
      <c r="B483" s="256">
        <v>45102</v>
      </c>
      <c r="C483" s="257">
        <v>77.504070999999996</v>
      </c>
      <c r="D483" s="258">
        <v>132.97977590111603</v>
      </c>
      <c r="E483" s="257">
        <f t="shared" si="32"/>
        <v>77.504070999999996</v>
      </c>
      <c r="F483" s="263"/>
      <c r="G483" s="190" t="str">
        <f t="shared" si="29"/>
        <v/>
      </c>
      <c r="H483" s="259" t="str">
        <f t="shared" si="30"/>
        <v/>
      </c>
      <c r="I483" s="260"/>
    </row>
    <row r="484" spans="1:9">
      <c r="A484" s="255">
        <f t="shared" si="31"/>
        <v>482</v>
      </c>
      <c r="B484" s="256">
        <v>45103</v>
      </c>
      <c r="C484" s="257">
        <v>191.54897099999999</v>
      </c>
      <c r="D484" s="258">
        <v>132.97977590111603</v>
      </c>
      <c r="E484" s="257">
        <f t="shared" si="32"/>
        <v>132.97977590111603</v>
      </c>
      <c r="F484" s="263"/>
      <c r="G484" s="190" t="str">
        <f t="shared" si="29"/>
        <v/>
      </c>
      <c r="H484" s="259" t="str">
        <f t="shared" si="30"/>
        <v/>
      </c>
      <c r="I484" s="260"/>
    </row>
    <row r="485" spans="1:9">
      <c r="A485" s="255">
        <f t="shared" si="31"/>
        <v>483</v>
      </c>
      <c r="B485" s="256">
        <v>45104</v>
      </c>
      <c r="C485" s="257">
        <v>188.275915</v>
      </c>
      <c r="D485" s="258">
        <v>132.97977590111603</v>
      </c>
      <c r="E485" s="257">
        <f t="shared" si="32"/>
        <v>132.97977590111603</v>
      </c>
      <c r="F485" s="263"/>
      <c r="G485" s="190" t="str">
        <f t="shared" si="29"/>
        <v/>
      </c>
      <c r="H485" s="259" t="str">
        <f t="shared" si="30"/>
        <v/>
      </c>
      <c r="I485" s="260"/>
    </row>
    <row r="486" spans="1:9">
      <c r="A486" s="255">
        <f t="shared" si="31"/>
        <v>484</v>
      </c>
      <c r="B486" s="256">
        <v>45105</v>
      </c>
      <c r="C486" s="257">
        <v>129.84499299999999</v>
      </c>
      <c r="D486" s="258">
        <v>132.97977590111603</v>
      </c>
      <c r="E486" s="257">
        <f t="shared" si="32"/>
        <v>129.84499299999999</v>
      </c>
      <c r="F486" s="263"/>
      <c r="G486" s="190" t="str">
        <f t="shared" si="29"/>
        <v/>
      </c>
      <c r="H486" s="259" t="str">
        <f t="shared" si="30"/>
        <v/>
      </c>
      <c r="I486" s="260"/>
    </row>
    <row r="487" spans="1:9">
      <c r="A487" s="255">
        <f t="shared" si="31"/>
        <v>485</v>
      </c>
      <c r="B487" s="256">
        <v>45106</v>
      </c>
      <c r="C487" s="257">
        <v>195.27715499999999</v>
      </c>
      <c r="D487" s="258">
        <v>132.97977590111603</v>
      </c>
      <c r="E487" s="257">
        <f t="shared" si="32"/>
        <v>132.97977590111603</v>
      </c>
      <c r="F487" s="263"/>
      <c r="G487" s="190" t="str">
        <f t="shared" si="29"/>
        <v/>
      </c>
      <c r="H487" s="259" t="str">
        <f t="shared" si="30"/>
        <v/>
      </c>
      <c r="I487" s="260"/>
    </row>
    <row r="488" spans="1:9">
      <c r="A488" s="255">
        <f t="shared" si="31"/>
        <v>486</v>
      </c>
      <c r="B488" s="256">
        <v>45107</v>
      </c>
      <c r="C488" s="257">
        <v>191.808604</v>
      </c>
      <c r="D488" s="258">
        <v>132.97977590111603</v>
      </c>
      <c r="E488" s="257">
        <f t="shared" si="32"/>
        <v>132.97977590111603</v>
      </c>
      <c r="F488" s="263"/>
      <c r="G488" s="190" t="str">
        <f t="shared" si="29"/>
        <v/>
      </c>
      <c r="H488" s="259" t="str">
        <f t="shared" si="30"/>
        <v/>
      </c>
      <c r="I488" s="260"/>
    </row>
    <row r="489" spans="1:9">
      <c r="A489" s="255">
        <f t="shared" si="31"/>
        <v>487</v>
      </c>
      <c r="B489" s="256">
        <v>45108</v>
      </c>
      <c r="C489" s="257">
        <v>132.32076000000001</v>
      </c>
      <c r="D489" s="258">
        <v>135.99042281783323</v>
      </c>
      <c r="E489" s="257">
        <f t="shared" si="32"/>
        <v>132.32076000000001</v>
      </c>
      <c r="F489" s="263"/>
      <c r="G489" s="190" t="str">
        <f t="shared" si="29"/>
        <v/>
      </c>
      <c r="H489" s="259" t="str">
        <f t="shared" si="30"/>
        <v/>
      </c>
      <c r="I489" s="260"/>
    </row>
    <row r="490" spans="1:9">
      <c r="A490" s="255">
        <f t="shared" si="31"/>
        <v>488</v>
      </c>
      <c r="B490" s="256">
        <v>45109</v>
      </c>
      <c r="C490" s="257">
        <v>152.16978899999998</v>
      </c>
      <c r="D490" s="258">
        <v>135.99042281783323</v>
      </c>
      <c r="E490" s="257">
        <f t="shared" si="32"/>
        <v>135.99042281783323</v>
      </c>
      <c r="F490" s="263"/>
      <c r="G490" s="190" t="str">
        <f t="shared" si="29"/>
        <v/>
      </c>
      <c r="H490" s="259" t="str">
        <f t="shared" si="30"/>
        <v/>
      </c>
      <c r="I490" s="260"/>
    </row>
    <row r="491" spans="1:9">
      <c r="A491" s="255">
        <f t="shared" si="31"/>
        <v>489</v>
      </c>
      <c r="B491" s="256">
        <v>45110</v>
      </c>
      <c r="C491" s="257">
        <v>107.69463500000001</v>
      </c>
      <c r="D491" s="258">
        <v>135.99042281783323</v>
      </c>
      <c r="E491" s="257">
        <f t="shared" si="32"/>
        <v>107.69463500000001</v>
      </c>
      <c r="F491" s="263"/>
      <c r="G491" s="190" t="str">
        <f t="shared" si="29"/>
        <v/>
      </c>
      <c r="H491" s="259" t="str">
        <f t="shared" si="30"/>
        <v/>
      </c>
      <c r="I491" s="260"/>
    </row>
    <row r="492" spans="1:9">
      <c r="A492" s="255">
        <f t="shared" si="31"/>
        <v>490</v>
      </c>
      <c r="B492" s="256">
        <v>45111</v>
      </c>
      <c r="C492" s="257">
        <v>89.430616999999998</v>
      </c>
      <c r="D492" s="258">
        <v>135.99042281783323</v>
      </c>
      <c r="E492" s="257">
        <f t="shared" si="32"/>
        <v>89.430616999999998</v>
      </c>
      <c r="F492" s="263"/>
      <c r="G492" s="190" t="str">
        <f t="shared" si="29"/>
        <v/>
      </c>
      <c r="H492" s="259" t="str">
        <f t="shared" si="30"/>
        <v/>
      </c>
      <c r="I492" s="260"/>
    </row>
    <row r="493" spans="1:9">
      <c r="A493" s="255">
        <f t="shared" si="31"/>
        <v>491</v>
      </c>
      <c r="B493" s="256">
        <v>45112</v>
      </c>
      <c r="C493" s="257">
        <v>80.094169999999991</v>
      </c>
      <c r="D493" s="258">
        <v>135.99042281783323</v>
      </c>
      <c r="E493" s="257">
        <f t="shared" si="32"/>
        <v>80.094169999999991</v>
      </c>
      <c r="F493" s="263"/>
      <c r="G493" s="190" t="str">
        <f t="shared" si="29"/>
        <v/>
      </c>
      <c r="H493" s="259" t="str">
        <f t="shared" si="30"/>
        <v/>
      </c>
      <c r="I493" s="260"/>
    </row>
    <row r="494" spans="1:9">
      <c r="A494" s="255">
        <f t="shared" si="31"/>
        <v>492</v>
      </c>
      <c r="B494" s="256">
        <v>45113</v>
      </c>
      <c r="C494" s="257">
        <v>94.565114000000008</v>
      </c>
      <c r="D494" s="258">
        <v>135.99042281783323</v>
      </c>
      <c r="E494" s="257">
        <f t="shared" si="32"/>
        <v>94.565114000000008</v>
      </c>
      <c r="F494" s="263"/>
      <c r="G494" s="190" t="str">
        <f t="shared" si="29"/>
        <v/>
      </c>
      <c r="H494" s="259" t="str">
        <f t="shared" si="30"/>
        <v/>
      </c>
      <c r="I494" s="260"/>
    </row>
    <row r="495" spans="1:9">
      <c r="A495" s="255">
        <f t="shared" si="31"/>
        <v>493</v>
      </c>
      <c r="B495" s="256">
        <v>45114</v>
      </c>
      <c r="C495" s="257">
        <v>151.24713800000001</v>
      </c>
      <c r="D495" s="258">
        <v>135.99042281783323</v>
      </c>
      <c r="E495" s="257">
        <f t="shared" si="32"/>
        <v>135.99042281783323</v>
      </c>
      <c r="F495" s="263"/>
      <c r="G495" s="190" t="str">
        <f t="shared" si="29"/>
        <v/>
      </c>
      <c r="H495" s="259" t="str">
        <f t="shared" si="30"/>
        <v/>
      </c>
      <c r="I495" s="260"/>
    </row>
    <row r="496" spans="1:9">
      <c r="A496" s="255">
        <f t="shared" si="31"/>
        <v>494</v>
      </c>
      <c r="B496" s="256">
        <v>45115</v>
      </c>
      <c r="C496" s="257">
        <v>97.303382999999997</v>
      </c>
      <c r="D496" s="258">
        <v>135.99042281783323</v>
      </c>
      <c r="E496" s="257">
        <f t="shared" si="32"/>
        <v>97.303382999999997</v>
      </c>
      <c r="F496" s="263"/>
      <c r="G496" s="190" t="str">
        <f t="shared" si="29"/>
        <v/>
      </c>
      <c r="H496" s="259" t="str">
        <f t="shared" si="30"/>
        <v/>
      </c>
      <c r="I496" s="260"/>
    </row>
    <row r="497" spans="1:9">
      <c r="A497" s="255">
        <f t="shared" si="31"/>
        <v>495</v>
      </c>
      <c r="B497" s="256">
        <v>45116</v>
      </c>
      <c r="C497" s="257">
        <v>60.951149999999998</v>
      </c>
      <c r="D497" s="258">
        <v>135.99042281783323</v>
      </c>
      <c r="E497" s="257">
        <f t="shared" si="32"/>
        <v>60.951149999999998</v>
      </c>
      <c r="F497" s="263"/>
      <c r="G497" s="190" t="str">
        <f t="shared" si="29"/>
        <v/>
      </c>
      <c r="H497" s="259" t="str">
        <f t="shared" si="30"/>
        <v/>
      </c>
      <c r="I497" s="260"/>
    </row>
    <row r="498" spans="1:9">
      <c r="A498" s="255">
        <f t="shared" si="31"/>
        <v>496</v>
      </c>
      <c r="B498" s="256">
        <v>45117</v>
      </c>
      <c r="C498" s="257">
        <v>75.659120999999999</v>
      </c>
      <c r="D498" s="258">
        <v>135.99042281783323</v>
      </c>
      <c r="E498" s="257">
        <f t="shared" si="32"/>
        <v>75.659120999999999</v>
      </c>
      <c r="F498" s="263"/>
      <c r="G498" s="190" t="str">
        <f t="shared" si="29"/>
        <v/>
      </c>
      <c r="H498" s="259" t="str">
        <f t="shared" si="30"/>
        <v/>
      </c>
      <c r="I498" s="260"/>
    </row>
    <row r="499" spans="1:9">
      <c r="A499" s="255">
        <f t="shared" si="31"/>
        <v>497</v>
      </c>
      <c r="B499" s="256">
        <v>45118</v>
      </c>
      <c r="C499" s="257">
        <v>126.90398399999999</v>
      </c>
      <c r="D499" s="258">
        <v>135.99042281783323</v>
      </c>
      <c r="E499" s="257">
        <f t="shared" si="32"/>
        <v>126.90398399999999</v>
      </c>
      <c r="F499" s="263"/>
      <c r="G499" s="190" t="str">
        <f t="shared" si="29"/>
        <v/>
      </c>
      <c r="H499" s="259" t="str">
        <f t="shared" si="30"/>
        <v/>
      </c>
      <c r="I499" s="260"/>
    </row>
    <row r="500" spans="1:9">
      <c r="A500" s="255">
        <f t="shared" si="31"/>
        <v>498</v>
      </c>
      <c r="B500" s="256">
        <v>45119</v>
      </c>
      <c r="C500" s="257">
        <v>134.49626000000001</v>
      </c>
      <c r="D500" s="258">
        <v>135.99042281783323</v>
      </c>
      <c r="E500" s="257">
        <f t="shared" si="32"/>
        <v>134.49626000000001</v>
      </c>
      <c r="F500" s="263"/>
      <c r="G500" s="190" t="str">
        <f t="shared" si="29"/>
        <v/>
      </c>
      <c r="H500" s="259" t="str">
        <f t="shared" si="30"/>
        <v/>
      </c>
      <c r="I500" s="260"/>
    </row>
    <row r="501" spans="1:9">
      <c r="A501" s="255">
        <f t="shared" si="31"/>
        <v>499</v>
      </c>
      <c r="B501" s="256">
        <v>45120</v>
      </c>
      <c r="C501" s="257">
        <v>85.908894999999987</v>
      </c>
      <c r="D501" s="258">
        <v>135.99042281783323</v>
      </c>
      <c r="E501" s="257">
        <f t="shared" si="32"/>
        <v>85.908894999999987</v>
      </c>
      <c r="F501" s="263"/>
      <c r="G501" s="190" t="str">
        <f t="shared" si="29"/>
        <v/>
      </c>
      <c r="H501" s="259" t="str">
        <f t="shared" si="30"/>
        <v/>
      </c>
      <c r="I501" s="260"/>
    </row>
    <row r="502" spans="1:9">
      <c r="A502" s="255">
        <f t="shared" si="31"/>
        <v>500</v>
      </c>
      <c r="B502" s="256">
        <v>45121</v>
      </c>
      <c r="C502" s="257">
        <v>170.94058200000001</v>
      </c>
      <c r="D502" s="258">
        <v>135.99042281783323</v>
      </c>
      <c r="E502" s="257">
        <f t="shared" si="32"/>
        <v>135.99042281783323</v>
      </c>
      <c r="F502" s="263"/>
      <c r="G502" s="190" t="str">
        <f t="shared" si="29"/>
        <v/>
      </c>
      <c r="H502" s="259" t="str">
        <f t="shared" si="30"/>
        <v/>
      </c>
      <c r="I502" s="260"/>
    </row>
    <row r="503" spans="1:9">
      <c r="A503" s="255">
        <f t="shared" si="31"/>
        <v>501</v>
      </c>
      <c r="B503" s="256">
        <v>45122</v>
      </c>
      <c r="C503" s="257">
        <v>171.609374</v>
      </c>
      <c r="D503" s="258">
        <v>135.99042281783323</v>
      </c>
      <c r="E503" s="257">
        <f t="shared" si="32"/>
        <v>135.99042281783323</v>
      </c>
      <c r="F503" s="263"/>
      <c r="G503" s="190" t="str">
        <f t="shared" si="29"/>
        <v>J</v>
      </c>
      <c r="H503" s="259" t="str">
        <f t="shared" si="30"/>
        <v>136,0</v>
      </c>
      <c r="I503" s="260"/>
    </row>
    <row r="504" spans="1:9">
      <c r="A504" s="255">
        <f t="shared" si="31"/>
        <v>502</v>
      </c>
      <c r="B504" s="256">
        <v>45123</v>
      </c>
      <c r="C504" s="257">
        <v>106.67068500000001</v>
      </c>
      <c r="D504" s="258">
        <v>135.99042281783323</v>
      </c>
      <c r="E504" s="257">
        <f t="shared" si="32"/>
        <v>106.67068500000001</v>
      </c>
      <c r="F504" s="263"/>
      <c r="G504" s="190" t="str">
        <f t="shared" si="29"/>
        <v/>
      </c>
      <c r="H504" s="259" t="str">
        <f t="shared" si="30"/>
        <v/>
      </c>
      <c r="I504" s="260"/>
    </row>
    <row r="505" spans="1:9">
      <c r="A505" s="255">
        <f t="shared" si="31"/>
        <v>503</v>
      </c>
      <c r="B505" s="256">
        <v>45124</v>
      </c>
      <c r="C505" s="257">
        <v>139.78321499999998</v>
      </c>
      <c r="D505" s="258">
        <v>135.99042281783323</v>
      </c>
      <c r="E505" s="257">
        <f t="shared" si="32"/>
        <v>135.99042281783323</v>
      </c>
      <c r="F505" s="263"/>
      <c r="G505" s="190" t="str">
        <f t="shared" si="29"/>
        <v/>
      </c>
      <c r="H505" s="259" t="str">
        <f t="shared" si="30"/>
        <v/>
      </c>
      <c r="I505" s="260"/>
    </row>
    <row r="506" spans="1:9">
      <c r="A506" s="255">
        <f t="shared" si="31"/>
        <v>504</v>
      </c>
      <c r="B506" s="256">
        <v>45125</v>
      </c>
      <c r="C506" s="257">
        <v>122.81375100000001</v>
      </c>
      <c r="D506" s="258">
        <v>135.99042281783323</v>
      </c>
      <c r="E506" s="257">
        <f t="shared" si="32"/>
        <v>122.81375100000001</v>
      </c>
      <c r="F506" s="263"/>
      <c r="G506" s="190" t="str">
        <f t="shared" si="29"/>
        <v/>
      </c>
      <c r="H506" s="259" t="str">
        <f t="shared" si="30"/>
        <v/>
      </c>
      <c r="I506" s="260"/>
    </row>
    <row r="507" spans="1:9">
      <c r="A507" s="255">
        <f t="shared" si="31"/>
        <v>505</v>
      </c>
      <c r="B507" s="256">
        <v>45126</v>
      </c>
      <c r="C507" s="257">
        <v>131.732677</v>
      </c>
      <c r="D507" s="258">
        <v>135.99042281783323</v>
      </c>
      <c r="E507" s="257">
        <f t="shared" si="32"/>
        <v>131.732677</v>
      </c>
      <c r="F507" s="263"/>
      <c r="G507" s="190" t="str">
        <f t="shared" si="29"/>
        <v/>
      </c>
      <c r="H507" s="259" t="str">
        <f t="shared" si="30"/>
        <v/>
      </c>
      <c r="I507" s="260"/>
    </row>
    <row r="508" spans="1:9">
      <c r="A508" s="255">
        <f t="shared" si="31"/>
        <v>506</v>
      </c>
      <c r="B508" s="256">
        <v>45127</v>
      </c>
      <c r="C508" s="257">
        <v>148.61660000000001</v>
      </c>
      <c r="D508" s="258">
        <v>135.99042281783323</v>
      </c>
      <c r="E508" s="257">
        <f t="shared" si="32"/>
        <v>135.99042281783323</v>
      </c>
      <c r="F508" s="263"/>
      <c r="G508" s="190" t="str">
        <f t="shared" si="29"/>
        <v/>
      </c>
      <c r="H508" s="259" t="str">
        <f t="shared" si="30"/>
        <v/>
      </c>
      <c r="I508" s="260"/>
    </row>
    <row r="509" spans="1:9">
      <c r="A509" s="255">
        <f t="shared" si="31"/>
        <v>507</v>
      </c>
      <c r="B509" s="256">
        <v>45128</v>
      </c>
      <c r="C509" s="257">
        <v>168.34170599999999</v>
      </c>
      <c r="D509" s="258">
        <v>135.99042281783323</v>
      </c>
      <c r="E509" s="257">
        <f t="shared" si="32"/>
        <v>135.99042281783323</v>
      </c>
      <c r="F509" s="263"/>
      <c r="G509" s="190" t="str">
        <f t="shared" si="29"/>
        <v/>
      </c>
      <c r="H509" s="259" t="str">
        <f t="shared" si="30"/>
        <v/>
      </c>
      <c r="I509" s="260"/>
    </row>
    <row r="510" spans="1:9">
      <c r="A510" s="255">
        <f t="shared" si="31"/>
        <v>508</v>
      </c>
      <c r="B510" s="256">
        <v>45129</v>
      </c>
      <c r="C510" s="257">
        <v>91.243051999999992</v>
      </c>
      <c r="D510" s="258">
        <v>135.99042281783323</v>
      </c>
      <c r="E510" s="257">
        <f t="shared" si="32"/>
        <v>91.243051999999992</v>
      </c>
      <c r="F510" s="263"/>
      <c r="G510" s="190" t="str">
        <f t="shared" si="29"/>
        <v/>
      </c>
      <c r="H510" s="259" t="str">
        <f t="shared" si="30"/>
        <v/>
      </c>
      <c r="I510" s="260"/>
    </row>
    <row r="511" spans="1:9">
      <c r="A511" s="255">
        <f t="shared" si="31"/>
        <v>509</v>
      </c>
      <c r="B511" s="256">
        <v>45130</v>
      </c>
      <c r="C511" s="257">
        <v>111.43429399999999</v>
      </c>
      <c r="D511" s="258">
        <v>135.99042281783323</v>
      </c>
      <c r="E511" s="257">
        <f t="shared" si="32"/>
        <v>111.43429399999999</v>
      </c>
      <c r="F511" s="263"/>
      <c r="G511" s="190" t="str">
        <f t="shared" si="29"/>
        <v/>
      </c>
      <c r="H511" s="259" t="str">
        <f t="shared" si="30"/>
        <v/>
      </c>
      <c r="I511" s="260"/>
    </row>
    <row r="512" spans="1:9">
      <c r="A512" s="255">
        <f t="shared" si="31"/>
        <v>510</v>
      </c>
      <c r="B512" s="256">
        <v>45131</v>
      </c>
      <c r="C512" s="257">
        <v>188.15045900000001</v>
      </c>
      <c r="D512" s="258">
        <v>135.99042281783323</v>
      </c>
      <c r="E512" s="257">
        <f t="shared" si="32"/>
        <v>135.99042281783323</v>
      </c>
      <c r="F512" s="263"/>
      <c r="G512" s="190" t="str">
        <f t="shared" si="29"/>
        <v/>
      </c>
      <c r="H512" s="259" t="str">
        <f t="shared" si="30"/>
        <v/>
      </c>
      <c r="I512" s="260"/>
    </row>
    <row r="513" spans="1:9">
      <c r="A513" s="255">
        <f t="shared" si="31"/>
        <v>511</v>
      </c>
      <c r="B513" s="256">
        <v>45132</v>
      </c>
      <c r="C513" s="257">
        <v>160.117233</v>
      </c>
      <c r="D513" s="258">
        <v>135.99042281783323</v>
      </c>
      <c r="E513" s="257">
        <f t="shared" si="32"/>
        <v>135.99042281783323</v>
      </c>
      <c r="F513" s="263"/>
      <c r="G513" s="190" t="str">
        <f t="shared" si="29"/>
        <v/>
      </c>
      <c r="H513" s="259" t="str">
        <f t="shared" si="30"/>
        <v/>
      </c>
      <c r="I513" s="260"/>
    </row>
    <row r="514" spans="1:9">
      <c r="A514" s="255">
        <f t="shared" si="31"/>
        <v>512</v>
      </c>
      <c r="B514" s="256">
        <v>45133</v>
      </c>
      <c r="C514" s="257">
        <v>90.717434999999995</v>
      </c>
      <c r="D514" s="258">
        <v>135.99042281783323</v>
      </c>
      <c r="E514" s="257">
        <f t="shared" si="32"/>
        <v>90.717434999999995</v>
      </c>
      <c r="F514" s="263"/>
      <c r="G514" s="190" t="str">
        <f t="shared" si="29"/>
        <v/>
      </c>
      <c r="H514" s="259" t="str">
        <f t="shared" si="30"/>
        <v/>
      </c>
      <c r="I514" s="260"/>
    </row>
    <row r="515" spans="1:9">
      <c r="A515" s="255">
        <f t="shared" si="31"/>
        <v>513</v>
      </c>
      <c r="B515" s="256">
        <v>45134</v>
      </c>
      <c r="C515" s="257">
        <v>101.117637</v>
      </c>
      <c r="D515" s="258">
        <v>135.99042281783323</v>
      </c>
      <c r="E515" s="257">
        <f t="shared" si="32"/>
        <v>101.117637</v>
      </c>
      <c r="F515" s="263"/>
      <c r="G515" s="190" t="str">
        <f t="shared" ref="G515:G578" si="33">IF(DAY(B515)=15,IF(MONTH(B515)=1,"E",IF(MONTH(B515)=2,"F",IF(MONTH(B515)=3,"M",IF(MONTH(B515)=4,"A",IF(MONTH(B515)=5,"M",IF(MONTH(B515)=6,"J",IF(MONTH(B515)=7,"J",IF(MONTH(B515)=8,"A",IF(MONTH(B515)=9,"S",IF(MONTH(B515)=10,"O",IF(MONTH(B515)=11,"N",IF(MONTH(B515)=12,"D","")))))))))))),"")</f>
        <v/>
      </c>
      <c r="H515" s="259" t="str">
        <f t="shared" ref="H515:H578" si="34">IF(DAY($B515)=15,TEXT(D515,"#,0"),"")</f>
        <v/>
      </c>
      <c r="I515" s="260"/>
    </row>
    <row r="516" spans="1:9">
      <c r="A516" s="255">
        <f t="shared" ref="A516:A534" si="35">+A515+1</f>
        <v>514</v>
      </c>
      <c r="B516" s="256">
        <v>45135</v>
      </c>
      <c r="C516" s="257">
        <v>91.322076999999993</v>
      </c>
      <c r="D516" s="258">
        <v>135.99042281783323</v>
      </c>
      <c r="E516" s="257">
        <f t="shared" si="32"/>
        <v>91.322076999999993</v>
      </c>
      <c r="F516" s="263"/>
      <c r="G516" s="190" t="str">
        <f t="shared" si="33"/>
        <v/>
      </c>
      <c r="H516" s="259" t="str">
        <f t="shared" si="34"/>
        <v/>
      </c>
      <c r="I516" s="260"/>
    </row>
    <row r="517" spans="1:9">
      <c r="A517" s="255">
        <f t="shared" si="35"/>
        <v>515</v>
      </c>
      <c r="B517" s="256">
        <v>45136</v>
      </c>
      <c r="C517" s="257">
        <v>95.518872999999999</v>
      </c>
      <c r="D517" s="258">
        <v>135.99042281783323</v>
      </c>
      <c r="E517" s="257">
        <f t="shared" si="32"/>
        <v>95.518872999999999</v>
      </c>
      <c r="F517" s="263"/>
      <c r="G517" s="190" t="str">
        <f t="shared" si="33"/>
        <v/>
      </c>
      <c r="H517" s="259" t="str">
        <f t="shared" si="34"/>
        <v/>
      </c>
      <c r="I517" s="260"/>
    </row>
    <row r="518" spans="1:9">
      <c r="A518" s="255">
        <f t="shared" si="35"/>
        <v>516</v>
      </c>
      <c r="B518" s="256">
        <v>45137</v>
      </c>
      <c r="C518" s="257">
        <v>106.39381300000001</v>
      </c>
      <c r="D518" s="258">
        <v>135.99042281783323</v>
      </c>
      <c r="E518" s="257">
        <f t="shared" si="32"/>
        <v>106.39381300000001</v>
      </c>
      <c r="F518" s="263"/>
      <c r="G518" s="190" t="str">
        <f t="shared" si="33"/>
        <v/>
      </c>
      <c r="H518" s="259" t="str">
        <f t="shared" si="34"/>
        <v/>
      </c>
      <c r="I518" s="260"/>
    </row>
    <row r="519" spans="1:9">
      <c r="A519" s="255">
        <f t="shared" si="35"/>
        <v>517</v>
      </c>
      <c r="B519" s="256">
        <v>45138</v>
      </c>
      <c r="C519" s="257">
        <v>94.132784999999984</v>
      </c>
      <c r="D519" s="258">
        <v>135.99042281783323</v>
      </c>
      <c r="E519" s="257">
        <f t="shared" ref="E519:E534" si="36">IF(C519&gt;D519,D519,C519)</f>
        <v>94.132784999999984</v>
      </c>
      <c r="F519" s="263"/>
      <c r="G519" s="190" t="str">
        <f t="shared" si="33"/>
        <v/>
      </c>
      <c r="H519" s="259" t="str">
        <f t="shared" si="34"/>
        <v/>
      </c>
      <c r="I519" s="260"/>
    </row>
    <row r="520" spans="1:9">
      <c r="A520" s="255">
        <f t="shared" si="35"/>
        <v>518</v>
      </c>
      <c r="B520" s="256">
        <v>45139</v>
      </c>
      <c r="C520" s="257">
        <v>153.803619</v>
      </c>
      <c r="D520" s="258">
        <v>131.29490490319</v>
      </c>
      <c r="E520" s="257">
        <f t="shared" si="36"/>
        <v>131.29490490319</v>
      </c>
      <c r="F520" s="263"/>
      <c r="G520" s="190" t="str">
        <f t="shared" si="33"/>
        <v/>
      </c>
      <c r="H520" s="259" t="str">
        <f t="shared" si="34"/>
        <v/>
      </c>
      <c r="I520" s="260"/>
    </row>
    <row r="521" spans="1:9">
      <c r="A521" s="255">
        <f t="shared" si="35"/>
        <v>519</v>
      </c>
      <c r="B521" s="256">
        <v>45140</v>
      </c>
      <c r="C521" s="257">
        <v>178.64165300000002</v>
      </c>
      <c r="D521" s="258">
        <v>131.29490490319</v>
      </c>
      <c r="E521" s="257">
        <f t="shared" si="36"/>
        <v>131.29490490319</v>
      </c>
      <c r="F521" s="263"/>
      <c r="G521" s="190" t="str">
        <f t="shared" si="33"/>
        <v/>
      </c>
      <c r="H521" s="259" t="str">
        <f t="shared" si="34"/>
        <v/>
      </c>
      <c r="I521" s="260"/>
    </row>
    <row r="522" spans="1:9">
      <c r="A522" s="255">
        <f t="shared" si="35"/>
        <v>520</v>
      </c>
      <c r="B522" s="256">
        <v>45141</v>
      </c>
      <c r="C522" s="257">
        <v>230.20014600000002</v>
      </c>
      <c r="D522" s="258">
        <v>131.29490490319</v>
      </c>
      <c r="E522" s="257">
        <f t="shared" si="36"/>
        <v>131.29490490319</v>
      </c>
      <c r="F522" s="263"/>
      <c r="G522" s="190" t="str">
        <f t="shared" si="33"/>
        <v/>
      </c>
      <c r="H522" s="259" t="str">
        <f t="shared" si="34"/>
        <v/>
      </c>
      <c r="I522" s="260"/>
    </row>
    <row r="523" spans="1:9">
      <c r="A523" s="255">
        <f t="shared" si="35"/>
        <v>521</v>
      </c>
      <c r="B523" s="256">
        <v>45142</v>
      </c>
      <c r="C523" s="257">
        <v>234.66916800000001</v>
      </c>
      <c r="D523" s="258">
        <v>131.29490490319</v>
      </c>
      <c r="E523" s="257">
        <f t="shared" si="36"/>
        <v>131.29490490319</v>
      </c>
      <c r="F523" s="263"/>
      <c r="G523" s="190" t="str">
        <f t="shared" si="33"/>
        <v/>
      </c>
      <c r="H523" s="259" t="str">
        <f t="shared" si="34"/>
        <v/>
      </c>
      <c r="I523" s="260"/>
    </row>
    <row r="524" spans="1:9">
      <c r="A524" s="255">
        <f t="shared" si="35"/>
        <v>522</v>
      </c>
      <c r="B524" s="256">
        <v>45143</v>
      </c>
      <c r="C524" s="257">
        <v>189.43547599999999</v>
      </c>
      <c r="D524" s="258">
        <v>131.29490490319</v>
      </c>
      <c r="E524" s="257">
        <f t="shared" si="36"/>
        <v>131.29490490319</v>
      </c>
      <c r="F524" s="263"/>
      <c r="G524" s="190" t="str">
        <f t="shared" si="33"/>
        <v/>
      </c>
      <c r="H524" s="259" t="str">
        <f t="shared" si="34"/>
        <v/>
      </c>
      <c r="I524" s="260"/>
    </row>
    <row r="525" spans="1:9">
      <c r="A525" s="255">
        <f t="shared" si="35"/>
        <v>523</v>
      </c>
      <c r="B525" s="256">
        <v>45144</v>
      </c>
      <c r="C525" s="257">
        <v>218.44476399999999</v>
      </c>
      <c r="D525" s="258">
        <v>131.29490490319</v>
      </c>
      <c r="E525" s="257">
        <f t="shared" si="36"/>
        <v>131.29490490319</v>
      </c>
      <c r="F525" s="263"/>
      <c r="G525" s="190" t="str">
        <f t="shared" si="33"/>
        <v/>
      </c>
      <c r="H525" s="259" t="str">
        <f t="shared" si="34"/>
        <v/>
      </c>
      <c r="I525" s="260"/>
    </row>
    <row r="526" spans="1:9">
      <c r="A526" s="255">
        <f t="shared" si="35"/>
        <v>524</v>
      </c>
      <c r="B526" s="256">
        <v>45145</v>
      </c>
      <c r="C526" s="257">
        <v>177.59483799999998</v>
      </c>
      <c r="D526" s="258">
        <v>131.29490490319</v>
      </c>
      <c r="E526" s="257">
        <f t="shared" si="36"/>
        <v>131.29490490319</v>
      </c>
      <c r="F526" s="263"/>
      <c r="G526" s="190" t="str">
        <f t="shared" si="33"/>
        <v/>
      </c>
      <c r="H526" s="259" t="str">
        <f t="shared" si="34"/>
        <v/>
      </c>
      <c r="I526" s="260"/>
    </row>
    <row r="527" spans="1:9">
      <c r="A527" s="255">
        <f t="shared" si="35"/>
        <v>525</v>
      </c>
      <c r="B527" s="256">
        <v>45146</v>
      </c>
      <c r="C527" s="257">
        <v>98.636789000000007</v>
      </c>
      <c r="D527" s="258">
        <v>131.29490490319</v>
      </c>
      <c r="E527" s="257">
        <f t="shared" si="36"/>
        <v>98.636789000000007</v>
      </c>
      <c r="F527" s="263"/>
      <c r="G527" s="190" t="str">
        <f t="shared" si="33"/>
        <v/>
      </c>
      <c r="H527" s="259" t="str">
        <f t="shared" si="34"/>
        <v/>
      </c>
      <c r="I527" s="260"/>
    </row>
    <row r="528" spans="1:9">
      <c r="A528" s="255">
        <f t="shared" si="35"/>
        <v>526</v>
      </c>
      <c r="B528" s="256">
        <v>45147</v>
      </c>
      <c r="C528" s="257">
        <v>77.100153999999989</v>
      </c>
      <c r="D528" s="258">
        <v>131.29490490319</v>
      </c>
      <c r="E528" s="257">
        <f t="shared" si="36"/>
        <v>77.100153999999989</v>
      </c>
      <c r="F528" s="263"/>
      <c r="G528" s="190" t="str">
        <f t="shared" si="33"/>
        <v/>
      </c>
      <c r="H528" s="259" t="str">
        <f t="shared" si="34"/>
        <v/>
      </c>
      <c r="I528" s="260"/>
    </row>
    <row r="529" spans="1:9">
      <c r="A529" s="255">
        <f t="shared" si="35"/>
        <v>527</v>
      </c>
      <c r="B529" s="256">
        <v>45148</v>
      </c>
      <c r="C529" s="257">
        <v>140.79474500000001</v>
      </c>
      <c r="D529" s="258">
        <v>131.29490490319</v>
      </c>
      <c r="E529" s="257">
        <f t="shared" si="36"/>
        <v>131.29490490319</v>
      </c>
      <c r="F529" s="263"/>
      <c r="G529" s="190" t="str">
        <f t="shared" si="33"/>
        <v/>
      </c>
      <c r="H529" s="259" t="str">
        <f t="shared" si="34"/>
        <v/>
      </c>
      <c r="I529" s="260"/>
    </row>
    <row r="530" spans="1:9">
      <c r="A530" s="255">
        <f t="shared" si="35"/>
        <v>528</v>
      </c>
      <c r="B530" s="256">
        <v>45149</v>
      </c>
      <c r="C530" s="257">
        <v>69.409424999999999</v>
      </c>
      <c r="D530" s="258">
        <v>131.29490490319</v>
      </c>
      <c r="E530" s="257">
        <f t="shared" si="36"/>
        <v>69.409424999999999</v>
      </c>
      <c r="F530" s="263"/>
      <c r="G530" s="190" t="str">
        <f t="shared" si="33"/>
        <v/>
      </c>
      <c r="H530" s="259" t="str">
        <f t="shared" si="34"/>
        <v/>
      </c>
      <c r="I530" s="260"/>
    </row>
    <row r="531" spans="1:9">
      <c r="A531" s="255">
        <f t="shared" si="35"/>
        <v>529</v>
      </c>
      <c r="B531" s="256">
        <v>45150</v>
      </c>
      <c r="C531" s="257">
        <v>83.631951999999998</v>
      </c>
      <c r="D531" s="258">
        <v>131.29490490319</v>
      </c>
      <c r="E531" s="257">
        <f t="shared" si="36"/>
        <v>83.631951999999998</v>
      </c>
      <c r="F531" s="263"/>
      <c r="G531" s="190" t="str">
        <f t="shared" si="33"/>
        <v/>
      </c>
      <c r="H531" s="259" t="str">
        <f t="shared" si="34"/>
        <v/>
      </c>
      <c r="I531" s="260"/>
    </row>
    <row r="532" spans="1:9">
      <c r="A532" s="255">
        <f t="shared" si="35"/>
        <v>530</v>
      </c>
      <c r="B532" s="256">
        <v>45151</v>
      </c>
      <c r="C532" s="257">
        <v>125.80086200000001</v>
      </c>
      <c r="D532" s="258">
        <v>131.29490490319</v>
      </c>
      <c r="E532" s="257">
        <f t="shared" si="36"/>
        <v>125.80086200000001</v>
      </c>
      <c r="F532" s="263"/>
      <c r="G532" s="190" t="str">
        <f t="shared" si="33"/>
        <v/>
      </c>
      <c r="H532" s="259" t="str">
        <f t="shared" si="34"/>
        <v/>
      </c>
      <c r="I532" s="260"/>
    </row>
    <row r="533" spans="1:9">
      <c r="A533" s="255">
        <f t="shared" si="35"/>
        <v>531</v>
      </c>
      <c r="B533" s="256">
        <v>45152</v>
      </c>
      <c r="C533" s="257">
        <v>124.384985</v>
      </c>
      <c r="D533" s="258">
        <v>131.29490490319</v>
      </c>
      <c r="E533" s="257">
        <f t="shared" si="36"/>
        <v>124.384985</v>
      </c>
      <c r="F533" s="263"/>
      <c r="G533" s="190" t="str">
        <f t="shared" si="33"/>
        <v/>
      </c>
      <c r="H533" s="259" t="str">
        <f t="shared" si="34"/>
        <v/>
      </c>
      <c r="I533" s="260"/>
    </row>
    <row r="534" spans="1:9">
      <c r="A534" s="255">
        <f t="shared" si="35"/>
        <v>532</v>
      </c>
      <c r="B534" s="256">
        <v>45153</v>
      </c>
      <c r="C534" s="257">
        <v>100.18844299999999</v>
      </c>
      <c r="D534" s="258">
        <v>131.29490490319</v>
      </c>
      <c r="E534" s="257">
        <f t="shared" si="36"/>
        <v>100.18844299999999</v>
      </c>
      <c r="F534" s="263"/>
      <c r="G534" s="190" t="str">
        <f t="shared" si="33"/>
        <v>A</v>
      </c>
      <c r="H534" s="259" t="str">
        <f t="shared" si="34"/>
        <v>131,3</v>
      </c>
      <c r="I534" s="260"/>
    </row>
    <row r="535" spans="1:9">
      <c r="A535" s="255">
        <f t="shared" ref="A535:A598" si="37">+A534+1</f>
        <v>533</v>
      </c>
      <c r="B535" s="256">
        <v>45154</v>
      </c>
      <c r="C535" s="257">
        <v>103.259569</v>
      </c>
      <c r="D535" s="258">
        <v>131.29490490319</v>
      </c>
      <c r="E535" s="257">
        <f t="shared" ref="E535:E598" si="38">IF(C535&gt;D535,D535,C535)</f>
        <v>103.259569</v>
      </c>
      <c r="F535" s="263"/>
      <c r="G535" s="190" t="str">
        <f t="shared" si="33"/>
        <v/>
      </c>
      <c r="H535" s="259" t="str">
        <f t="shared" si="34"/>
        <v/>
      </c>
      <c r="I535" s="260"/>
    </row>
    <row r="536" spans="1:9">
      <c r="A536" s="255">
        <f t="shared" si="37"/>
        <v>534</v>
      </c>
      <c r="B536" s="256">
        <v>45155</v>
      </c>
      <c r="C536" s="257">
        <v>68.429573999999988</v>
      </c>
      <c r="D536" s="258">
        <v>131.29490490319</v>
      </c>
      <c r="E536" s="257">
        <f t="shared" si="38"/>
        <v>68.429573999999988</v>
      </c>
      <c r="F536" s="263"/>
      <c r="G536" s="190" t="str">
        <f t="shared" si="33"/>
        <v/>
      </c>
      <c r="H536" s="259" t="str">
        <f t="shared" si="34"/>
        <v/>
      </c>
      <c r="I536" s="260"/>
    </row>
    <row r="537" spans="1:9">
      <c r="A537" s="255">
        <f t="shared" si="37"/>
        <v>535</v>
      </c>
      <c r="B537" s="256">
        <v>45156</v>
      </c>
      <c r="C537" s="257">
        <v>135.05767299999999</v>
      </c>
      <c r="D537" s="258">
        <v>131.29490490319</v>
      </c>
      <c r="E537" s="257">
        <f t="shared" si="38"/>
        <v>131.29490490319</v>
      </c>
      <c r="F537" s="263"/>
      <c r="G537" s="190" t="str">
        <f t="shared" si="33"/>
        <v/>
      </c>
      <c r="H537" s="259" t="str">
        <f t="shared" si="34"/>
        <v/>
      </c>
      <c r="I537" s="260"/>
    </row>
    <row r="538" spans="1:9">
      <c r="A538" s="255">
        <f t="shared" si="37"/>
        <v>536</v>
      </c>
      <c r="B538" s="256">
        <v>45157</v>
      </c>
      <c r="C538" s="257">
        <v>54.799492000000001</v>
      </c>
      <c r="D538" s="258">
        <v>131.29490490319</v>
      </c>
      <c r="E538" s="257">
        <f t="shared" si="38"/>
        <v>54.799492000000001</v>
      </c>
      <c r="F538" s="263"/>
      <c r="G538" s="190" t="str">
        <f t="shared" si="33"/>
        <v/>
      </c>
      <c r="H538" s="259" t="str">
        <f t="shared" si="34"/>
        <v/>
      </c>
      <c r="I538" s="260"/>
    </row>
    <row r="539" spans="1:9">
      <c r="A539" s="255">
        <f t="shared" si="37"/>
        <v>537</v>
      </c>
      <c r="B539" s="256">
        <v>45158</v>
      </c>
      <c r="C539" s="257">
        <v>48.366249000000003</v>
      </c>
      <c r="D539" s="258">
        <v>131.29490490319</v>
      </c>
      <c r="E539" s="257">
        <f t="shared" si="38"/>
        <v>48.366249000000003</v>
      </c>
      <c r="F539" s="263"/>
      <c r="G539" s="190" t="str">
        <f t="shared" si="33"/>
        <v/>
      </c>
      <c r="H539" s="259" t="str">
        <f t="shared" si="34"/>
        <v/>
      </c>
      <c r="I539" s="260"/>
    </row>
    <row r="540" spans="1:9">
      <c r="A540" s="255">
        <f t="shared" si="37"/>
        <v>538</v>
      </c>
      <c r="B540" s="256">
        <v>45159</v>
      </c>
      <c r="C540" s="257">
        <v>94.316125</v>
      </c>
      <c r="D540" s="258">
        <v>131.29490490319</v>
      </c>
      <c r="E540" s="257">
        <f t="shared" si="38"/>
        <v>94.316125</v>
      </c>
      <c r="F540" s="263"/>
      <c r="G540" s="190" t="str">
        <f t="shared" si="33"/>
        <v/>
      </c>
      <c r="H540" s="259" t="str">
        <f t="shared" si="34"/>
        <v/>
      </c>
      <c r="I540" s="260"/>
    </row>
    <row r="541" spans="1:9">
      <c r="A541" s="255">
        <f t="shared" si="37"/>
        <v>539</v>
      </c>
      <c r="B541" s="256">
        <v>45160</v>
      </c>
      <c r="C541" s="257">
        <v>112.26301099999999</v>
      </c>
      <c r="D541" s="258">
        <v>131.29490490319</v>
      </c>
      <c r="E541" s="257">
        <f t="shared" si="38"/>
        <v>112.26301099999999</v>
      </c>
      <c r="F541" s="263"/>
      <c r="G541" s="190" t="str">
        <f t="shared" si="33"/>
        <v/>
      </c>
      <c r="H541" s="259" t="str">
        <f t="shared" si="34"/>
        <v/>
      </c>
      <c r="I541" s="260"/>
    </row>
    <row r="542" spans="1:9">
      <c r="A542" s="255">
        <f t="shared" si="37"/>
        <v>540</v>
      </c>
      <c r="B542" s="256">
        <v>45161</v>
      </c>
      <c r="C542" s="257">
        <v>106.89461200000001</v>
      </c>
      <c r="D542" s="258">
        <v>131.29490490319</v>
      </c>
      <c r="E542" s="257">
        <f t="shared" si="38"/>
        <v>106.89461200000001</v>
      </c>
      <c r="F542" s="263"/>
      <c r="G542" s="190" t="str">
        <f t="shared" si="33"/>
        <v/>
      </c>
      <c r="H542" s="259" t="str">
        <f t="shared" si="34"/>
        <v/>
      </c>
      <c r="I542" s="260"/>
    </row>
    <row r="543" spans="1:9">
      <c r="A543" s="255">
        <f t="shared" si="37"/>
        <v>541</v>
      </c>
      <c r="B543" s="256">
        <v>45162</v>
      </c>
      <c r="C543" s="257">
        <v>103.63361900000001</v>
      </c>
      <c r="D543" s="258">
        <v>131.29490490319</v>
      </c>
      <c r="E543" s="257">
        <f t="shared" si="38"/>
        <v>103.63361900000001</v>
      </c>
      <c r="F543" s="263"/>
      <c r="G543" s="190" t="str">
        <f t="shared" si="33"/>
        <v/>
      </c>
      <c r="H543" s="259" t="str">
        <f t="shared" si="34"/>
        <v/>
      </c>
      <c r="I543" s="260"/>
    </row>
    <row r="544" spans="1:9">
      <c r="A544" s="255">
        <f t="shared" si="37"/>
        <v>542</v>
      </c>
      <c r="B544" s="256">
        <v>45163</v>
      </c>
      <c r="C544" s="257">
        <v>124.854539</v>
      </c>
      <c r="D544" s="258">
        <v>131.29490490319</v>
      </c>
      <c r="E544" s="257">
        <f t="shared" si="38"/>
        <v>124.854539</v>
      </c>
      <c r="F544" s="263"/>
      <c r="G544" s="190" t="str">
        <f t="shared" si="33"/>
        <v/>
      </c>
      <c r="H544" s="259" t="str">
        <f t="shared" si="34"/>
        <v/>
      </c>
      <c r="I544" s="260"/>
    </row>
    <row r="545" spans="1:9">
      <c r="A545" s="255">
        <f t="shared" si="37"/>
        <v>543</v>
      </c>
      <c r="B545" s="256">
        <v>45164</v>
      </c>
      <c r="C545" s="257">
        <v>171.50743000000003</v>
      </c>
      <c r="D545" s="258">
        <v>131.29490490319</v>
      </c>
      <c r="E545" s="257">
        <f t="shared" si="38"/>
        <v>131.29490490319</v>
      </c>
      <c r="F545" s="263"/>
      <c r="G545" s="190" t="str">
        <f t="shared" si="33"/>
        <v/>
      </c>
      <c r="H545" s="259" t="str">
        <f t="shared" si="34"/>
        <v/>
      </c>
      <c r="I545" s="260"/>
    </row>
    <row r="546" spans="1:9">
      <c r="A546" s="255">
        <f t="shared" si="37"/>
        <v>544</v>
      </c>
      <c r="B546" s="256">
        <v>45165</v>
      </c>
      <c r="C546" s="257">
        <v>258.28943299999997</v>
      </c>
      <c r="D546" s="258">
        <v>131.29490490319</v>
      </c>
      <c r="E546" s="257">
        <f t="shared" si="38"/>
        <v>131.29490490319</v>
      </c>
      <c r="F546" s="263"/>
      <c r="G546" s="190" t="str">
        <f t="shared" si="33"/>
        <v/>
      </c>
      <c r="H546" s="259" t="str">
        <f t="shared" si="34"/>
        <v/>
      </c>
      <c r="I546" s="260"/>
    </row>
    <row r="547" spans="1:9">
      <c r="A547" s="255">
        <f t="shared" si="37"/>
        <v>545</v>
      </c>
      <c r="B547" s="256">
        <v>45166</v>
      </c>
      <c r="C547" s="257">
        <v>227.42514799999998</v>
      </c>
      <c r="D547" s="258">
        <v>131.29490490319</v>
      </c>
      <c r="E547" s="257">
        <f t="shared" si="38"/>
        <v>131.29490490319</v>
      </c>
      <c r="F547" s="263"/>
      <c r="G547" s="190" t="str">
        <f t="shared" si="33"/>
        <v/>
      </c>
      <c r="H547" s="259" t="str">
        <f t="shared" si="34"/>
        <v/>
      </c>
      <c r="I547" s="260"/>
    </row>
    <row r="548" spans="1:9">
      <c r="A548" s="255">
        <f t="shared" si="37"/>
        <v>546</v>
      </c>
      <c r="B548" s="256">
        <v>45167</v>
      </c>
      <c r="C548" s="257">
        <v>178.68277600000002</v>
      </c>
      <c r="D548" s="258">
        <v>121.53883948770532</v>
      </c>
      <c r="E548" s="257">
        <f t="shared" si="38"/>
        <v>121.53883948770532</v>
      </c>
      <c r="F548" s="263"/>
      <c r="G548" s="190" t="str">
        <f t="shared" si="33"/>
        <v/>
      </c>
      <c r="H548" s="259" t="str">
        <f t="shared" si="34"/>
        <v/>
      </c>
      <c r="I548" s="260"/>
    </row>
    <row r="549" spans="1:9">
      <c r="A549" s="255">
        <f t="shared" si="37"/>
        <v>547</v>
      </c>
      <c r="B549" s="256">
        <v>45168</v>
      </c>
      <c r="C549" s="257">
        <v>125.71572900000001</v>
      </c>
      <c r="D549" s="258">
        <v>121.53883948770532</v>
      </c>
      <c r="E549" s="257">
        <f t="shared" si="38"/>
        <v>121.53883948770532</v>
      </c>
      <c r="F549" s="263"/>
      <c r="G549" s="190" t="str">
        <f t="shared" si="33"/>
        <v/>
      </c>
      <c r="H549" s="259" t="str">
        <f t="shared" si="34"/>
        <v/>
      </c>
      <c r="I549" s="260"/>
    </row>
    <row r="550" spans="1:9">
      <c r="A550" s="255">
        <f t="shared" si="37"/>
        <v>548</v>
      </c>
      <c r="B550" s="256">
        <v>45169</v>
      </c>
      <c r="C550" s="257">
        <v>69.018527000000006</v>
      </c>
      <c r="D550" s="258">
        <v>121.53883948770532</v>
      </c>
      <c r="E550" s="257">
        <f t="shared" si="38"/>
        <v>69.018527000000006</v>
      </c>
      <c r="F550" s="263"/>
      <c r="G550" s="190" t="str">
        <f t="shared" si="33"/>
        <v/>
      </c>
      <c r="H550" s="259" t="str">
        <f t="shared" si="34"/>
        <v/>
      </c>
      <c r="I550" s="260"/>
    </row>
    <row r="551" spans="1:9">
      <c r="A551" s="255">
        <f t="shared" si="37"/>
        <v>549</v>
      </c>
      <c r="B551" s="256">
        <v>45170</v>
      </c>
      <c r="C551" s="257">
        <v>134.24427499999999</v>
      </c>
      <c r="D551" s="258">
        <v>125.59013413729549</v>
      </c>
      <c r="E551" s="257">
        <f t="shared" si="38"/>
        <v>125.59013413729549</v>
      </c>
      <c r="F551" s="263"/>
      <c r="G551" s="190" t="str">
        <f t="shared" si="33"/>
        <v/>
      </c>
      <c r="H551" s="259" t="str">
        <f t="shared" si="34"/>
        <v/>
      </c>
      <c r="I551" s="260"/>
    </row>
    <row r="552" spans="1:9">
      <c r="A552" s="255">
        <f t="shared" si="37"/>
        <v>550</v>
      </c>
      <c r="B552" s="256">
        <v>45171</v>
      </c>
      <c r="C552" s="257">
        <v>173.19387700000001</v>
      </c>
      <c r="D552" s="258">
        <v>125.59013413729549</v>
      </c>
      <c r="E552" s="257">
        <f t="shared" si="38"/>
        <v>125.59013413729549</v>
      </c>
      <c r="F552" s="263"/>
      <c r="G552" s="190" t="str">
        <f t="shared" si="33"/>
        <v/>
      </c>
      <c r="H552" s="259" t="str">
        <f t="shared" si="34"/>
        <v/>
      </c>
      <c r="I552" s="260"/>
    </row>
    <row r="553" spans="1:9">
      <c r="A553" s="255">
        <f t="shared" si="37"/>
        <v>551</v>
      </c>
      <c r="B553" s="256">
        <v>45172</v>
      </c>
      <c r="C553" s="257">
        <v>285.88031900000004</v>
      </c>
      <c r="D553" s="258">
        <v>125.59013413729549</v>
      </c>
      <c r="E553" s="257">
        <f t="shared" si="38"/>
        <v>125.59013413729549</v>
      </c>
      <c r="F553" s="263"/>
      <c r="G553" s="190" t="str">
        <f t="shared" si="33"/>
        <v/>
      </c>
      <c r="H553" s="259" t="str">
        <f t="shared" si="34"/>
        <v/>
      </c>
      <c r="I553" s="260"/>
    </row>
    <row r="554" spans="1:9">
      <c r="A554" s="255">
        <f t="shared" si="37"/>
        <v>552</v>
      </c>
      <c r="B554" s="256">
        <v>45173</v>
      </c>
      <c r="C554" s="257">
        <v>216.22327799999999</v>
      </c>
      <c r="D554" s="258">
        <v>125.59013413729549</v>
      </c>
      <c r="E554" s="257">
        <f t="shared" si="38"/>
        <v>125.59013413729549</v>
      </c>
      <c r="F554" s="263"/>
      <c r="G554" s="190" t="str">
        <f t="shared" si="33"/>
        <v/>
      </c>
      <c r="H554" s="259" t="str">
        <f t="shared" si="34"/>
        <v/>
      </c>
      <c r="I554" s="260"/>
    </row>
    <row r="555" spans="1:9">
      <c r="A555" s="255">
        <f t="shared" si="37"/>
        <v>553</v>
      </c>
      <c r="B555" s="256">
        <v>45174</v>
      </c>
      <c r="C555" s="257">
        <v>112.376633</v>
      </c>
      <c r="D555" s="258">
        <v>125.59013413729549</v>
      </c>
      <c r="E555" s="257">
        <f t="shared" si="38"/>
        <v>112.376633</v>
      </c>
      <c r="F555" s="263"/>
      <c r="G555" s="190" t="str">
        <f t="shared" si="33"/>
        <v/>
      </c>
      <c r="H555" s="259" t="str">
        <f t="shared" si="34"/>
        <v/>
      </c>
      <c r="I555" s="260"/>
    </row>
    <row r="556" spans="1:9">
      <c r="A556" s="255">
        <f t="shared" si="37"/>
        <v>554</v>
      </c>
      <c r="B556" s="256">
        <v>45175</v>
      </c>
      <c r="C556" s="257">
        <v>80.775775999999993</v>
      </c>
      <c r="D556" s="258">
        <v>125.59013413729549</v>
      </c>
      <c r="E556" s="257">
        <f t="shared" si="38"/>
        <v>80.775775999999993</v>
      </c>
      <c r="F556" s="263"/>
      <c r="G556" s="190" t="str">
        <f t="shared" si="33"/>
        <v/>
      </c>
      <c r="H556" s="259" t="str">
        <f t="shared" si="34"/>
        <v/>
      </c>
      <c r="I556" s="260"/>
    </row>
    <row r="557" spans="1:9">
      <c r="A557" s="255">
        <f t="shared" si="37"/>
        <v>555</v>
      </c>
      <c r="B557" s="256">
        <v>45176</v>
      </c>
      <c r="C557" s="257">
        <v>87.517318000000003</v>
      </c>
      <c r="D557" s="258">
        <v>125.59013413729549</v>
      </c>
      <c r="E557" s="257">
        <f t="shared" si="38"/>
        <v>87.517318000000003</v>
      </c>
      <c r="F557" s="263"/>
      <c r="G557" s="190" t="str">
        <f t="shared" si="33"/>
        <v/>
      </c>
      <c r="H557" s="259" t="str">
        <f t="shared" si="34"/>
        <v/>
      </c>
      <c r="I557" s="260"/>
    </row>
    <row r="558" spans="1:9">
      <c r="A558" s="255">
        <f t="shared" si="37"/>
        <v>556</v>
      </c>
      <c r="B558" s="256">
        <v>45177</v>
      </c>
      <c r="C558" s="257">
        <v>90.350184999999996</v>
      </c>
      <c r="D558" s="258">
        <v>125.59013413729549</v>
      </c>
      <c r="E558" s="257">
        <f t="shared" si="38"/>
        <v>90.350184999999996</v>
      </c>
      <c r="F558" s="263"/>
      <c r="G558" s="190" t="str">
        <f t="shared" si="33"/>
        <v/>
      </c>
      <c r="H558" s="259" t="str">
        <f t="shared" si="34"/>
        <v/>
      </c>
      <c r="I558" s="260"/>
    </row>
    <row r="559" spans="1:9">
      <c r="A559" s="255">
        <f t="shared" si="37"/>
        <v>557</v>
      </c>
      <c r="B559" s="256">
        <v>45178</v>
      </c>
      <c r="C559" s="257">
        <v>109.16140900000001</v>
      </c>
      <c r="D559" s="258">
        <v>125.59013413729549</v>
      </c>
      <c r="E559" s="257">
        <f t="shared" si="38"/>
        <v>109.16140900000001</v>
      </c>
      <c r="F559" s="263"/>
      <c r="G559" s="190" t="str">
        <f t="shared" si="33"/>
        <v/>
      </c>
      <c r="H559" s="259" t="str">
        <f t="shared" si="34"/>
        <v/>
      </c>
      <c r="I559" s="260"/>
    </row>
    <row r="560" spans="1:9">
      <c r="A560" s="255">
        <f t="shared" si="37"/>
        <v>558</v>
      </c>
      <c r="B560" s="256">
        <v>45179</v>
      </c>
      <c r="C560" s="257">
        <v>69.483063000000001</v>
      </c>
      <c r="D560" s="258">
        <v>125.59013413729549</v>
      </c>
      <c r="E560" s="257">
        <f t="shared" si="38"/>
        <v>69.483063000000001</v>
      </c>
      <c r="F560" s="263"/>
      <c r="G560" s="190" t="str">
        <f t="shared" si="33"/>
        <v/>
      </c>
      <c r="H560" s="259" t="str">
        <f t="shared" si="34"/>
        <v/>
      </c>
      <c r="I560" s="260"/>
    </row>
    <row r="561" spans="1:9">
      <c r="A561" s="255">
        <f t="shared" si="37"/>
        <v>559</v>
      </c>
      <c r="B561" s="256">
        <v>45180</v>
      </c>
      <c r="C561" s="257">
        <v>51.617401000000001</v>
      </c>
      <c r="D561" s="258">
        <v>125.59013413729549</v>
      </c>
      <c r="E561" s="257">
        <f t="shared" si="38"/>
        <v>51.617401000000001</v>
      </c>
      <c r="F561" s="263"/>
      <c r="G561" s="190" t="str">
        <f t="shared" si="33"/>
        <v/>
      </c>
      <c r="H561" s="259" t="str">
        <f t="shared" si="34"/>
        <v/>
      </c>
      <c r="I561" s="260"/>
    </row>
    <row r="562" spans="1:9">
      <c r="A562" s="255">
        <f t="shared" si="37"/>
        <v>560</v>
      </c>
      <c r="B562" s="256">
        <v>45181</v>
      </c>
      <c r="C562" s="257">
        <v>56.063391000000003</v>
      </c>
      <c r="D562" s="258">
        <v>125.59013413729549</v>
      </c>
      <c r="E562" s="257">
        <f t="shared" si="38"/>
        <v>56.063391000000003</v>
      </c>
      <c r="F562" s="263"/>
      <c r="G562" s="190" t="str">
        <f t="shared" si="33"/>
        <v/>
      </c>
      <c r="H562" s="259" t="str">
        <f t="shared" si="34"/>
        <v/>
      </c>
      <c r="I562" s="260"/>
    </row>
    <row r="563" spans="1:9">
      <c r="A563" s="255">
        <f t="shared" si="37"/>
        <v>561</v>
      </c>
      <c r="B563" s="256">
        <v>45182</v>
      </c>
      <c r="C563" s="257">
        <v>115.816581</v>
      </c>
      <c r="D563" s="258">
        <v>125.59013413729549</v>
      </c>
      <c r="E563" s="257">
        <f t="shared" si="38"/>
        <v>115.816581</v>
      </c>
      <c r="F563" s="263"/>
      <c r="G563" s="190" t="str">
        <f t="shared" si="33"/>
        <v/>
      </c>
      <c r="H563" s="259" t="str">
        <f t="shared" si="34"/>
        <v/>
      </c>
      <c r="I563" s="260"/>
    </row>
    <row r="564" spans="1:9">
      <c r="A564" s="255">
        <f t="shared" si="37"/>
        <v>562</v>
      </c>
      <c r="B564" s="256">
        <v>45183</v>
      </c>
      <c r="C564" s="257">
        <v>109.817306</v>
      </c>
      <c r="D564" s="258">
        <v>125.59013413729549</v>
      </c>
      <c r="E564" s="257">
        <f t="shared" si="38"/>
        <v>109.817306</v>
      </c>
      <c r="F564" s="263"/>
      <c r="G564" s="190" t="str">
        <f t="shared" si="33"/>
        <v/>
      </c>
      <c r="H564" s="259" t="str">
        <f t="shared" si="34"/>
        <v/>
      </c>
      <c r="I564" s="260"/>
    </row>
    <row r="565" spans="1:9">
      <c r="A565" s="255">
        <f t="shared" si="37"/>
        <v>563</v>
      </c>
      <c r="B565" s="256">
        <v>45184</v>
      </c>
      <c r="C565" s="257">
        <v>98.778859999999995</v>
      </c>
      <c r="D565" s="258">
        <v>125.59013413729549</v>
      </c>
      <c r="E565" s="257">
        <f t="shared" si="38"/>
        <v>98.778859999999995</v>
      </c>
      <c r="F565" s="263"/>
      <c r="G565" s="190" t="str">
        <f t="shared" si="33"/>
        <v>S</v>
      </c>
      <c r="H565" s="259" t="str">
        <f t="shared" si="34"/>
        <v>125,6</v>
      </c>
      <c r="I565" s="260"/>
    </row>
    <row r="566" spans="1:9">
      <c r="A566" s="255">
        <f t="shared" si="37"/>
        <v>564</v>
      </c>
      <c r="B566" s="256">
        <v>45185</v>
      </c>
      <c r="C566" s="257">
        <v>122.66425</v>
      </c>
      <c r="D566" s="258">
        <v>125.59013413729549</v>
      </c>
      <c r="E566" s="257">
        <f t="shared" si="38"/>
        <v>122.66425</v>
      </c>
      <c r="F566" s="263"/>
      <c r="G566" s="190" t="str">
        <f t="shared" si="33"/>
        <v/>
      </c>
      <c r="H566" s="259" t="str">
        <f t="shared" si="34"/>
        <v/>
      </c>
      <c r="I566" s="260"/>
    </row>
    <row r="567" spans="1:9">
      <c r="A567" s="255">
        <f t="shared" si="37"/>
        <v>565</v>
      </c>
      <c r="B567" s="256">
        <v>45186</v>
      </c>
      <c r="C567" s="257">
        <v>204.639251</v>
      </c>
      <c r="D567" s="258">
        <v>125.59013413729549</v>
      </c>
      <c r="E567" s="257">
        <f t="shared" si="38"/>
        <v>125.59013413729549</v>
      </c>
      <c r="F567" s="263"/>
      <c r="G567" s="190" t="str">
        <f t="shared" si="33"/>
        <v/>
      </c>
      <c r="H567" s="259" t="str">
        <f t="shared" si="34"/>
        <v/>
      </c>
      <c r="I567" s="260"/>
    </row>
    <row r="568" spans="1:9">
      <c r="A568" s="255">
        <f t="shared" si="37"/>
        <v>566</v>
      </c>
      <c r="B568" s="256">
        <v>45187</v>
      </c>
      <c r="C568" s="257">
        <v>119.86378999999999</v>
      </c>
      <c r="D568" s="258">
        <v>125.59013413729549</v>
      </c>
      <c r="E568" s="257">
        <f t="shared" si="38"/>
        <v>119.86378999999999</v>
      </c>
      <c r="F568" s="263"/>
      <c r="G568" s="190" t="str">
        <f t="shared" si="33"/>
        <v/>
      </c>
      <c r="H568" s="259" t="str">
        <f t="shared" si="34"/>
        <v/>
      </c>
      <c r="I568" s="260"/>
    </row>
    <row r="569" spans="1:9">
      <c r="A569" s="255">
        <f t="shared" si="37"/>
        <v>567</v>
      </c>
      <c r="B569" s="256">
        <v>45188</v>
      </c>
      <c r="C569" s="257">
        <v>54.818041000000001</v>
      </c>
      <c r="D569" s="258">
        <v>125.59013413729549</v>
      </c>
      <c r="E569" s="257">
        <f t="shared" si="38"/>
        <v>54.818041000000001</v>
      </c>
      <c r="F569" s="263"/>
      <c r="G569" s="190" t="str">
        <f t="shared" si="33"/>
        <v/>
      </c>
      <c r="H569" s="259" t="str">
        <f t="shared" si="34"/>
        <v/>
      </c>
      <c r="I569" s="260"/>
    </row>
    <row r="570" spans="1:9">
      <c r="A570" s="255">
        <f t="shared" si="37"/>
        <v>568</v>
      </c>
      <c r="B570" s="256">
        <v>45189</v>
      </c>
      <c r="C570" s="257">
        <v>148.84335300000001</v>
      </c>
      <c r="D570" s="258">
        <v>125.59013413729549</v>
      </c>
      <c r="E570" s="257">
        <f t="shared" si="38"/>
        <v>125.59013413729549</v>
      </c>
      <c r="F570" s="263"/>
      <c r="G570" s="190" t="str">
        <f t="shared" si="33"/>
        <v/>
      </c>
      <c r="H570" s="259" t="str">
        <f t="shared" si="34"/>
        <v/>
      </c>
      <c r="I570" s="260"/>
    </row>
    <row r="571" spans="1:9">
      <c r="A571" s="255">
        <f t="shared" si="37"/>
        <v>569</v>
      </c>
      <c r="B571" s="256">
        <v>45190</v>
      </c>
      <c r="C571" s="257">
        <v>295.58473499999997</v>
      </c>
      <c r="D571" s="258">
        <v>125.59013413729549</v>
      </c>
      <c r="E571" s="257">
        <f t="shared" si="38"/>
        <v>125.59013413729549</v>
      </c>
      <c r="F571" s="263"/>
      <c r="G571" s="190" t="str">
        <f t="shared" si="33"/>
        <v/>
      </c>
      <c r="H571" s="259" t="str">
        <f t="shared" si="34"/>
        <v/>
      </c>
      <c r="I571" s="260"/>
    </row>
    <row r="572" spans="1:9">
      <c r="A572" s="255">
        <f t="shared" si="37"/>
        <v>570</v>
      </c>
      <c r="B572" s="256">
        <v>45191</v>
      </c>
      <c r="C572" s="257">
        <v>187.30185599999999</v>
      </c>
      <c r="D572" s="258">
        <v>125.59013413729549</v>
      </c>
      <c r="E572" s="257">
        <f t="shared" si="38"/>
        <v>125.59013413729549</v>
      </c>
      <c r="F572" s="263"/>
      <c r="G572" s="190" t="str">
        <f t="shared" si="33"/>
        <v/>
      </c>
      <c r="H572" s="259" t="str">
        <f t="shared" si="34"/>
        <v/>
      </c>
      <c r="I572" s="260"/>
    </row>
    <row r="573" spans="1:9">
      <c r="A573" s="255">
        <f t="shared" si="37"/>
        <v>571</v>
      </c>
      <c r="B573" s="256">
        <v>45192</v>
      </c>
      <c r="C573" s="257">
        <v>57.579214</v>
      </c>
      <c r="D573" s="258">
        <v>125.59013413729549</v>
      </c>
      <c r="E573" s="257">
        <f t="shared" si="38"/>
        <v>57.579214</v>
      </c>
      <c r="F573" s="263"/>
      <c r="G573" s="190" t="str">
        <f t="shared" si="33"/>
        <v/>
      </c>
      <c r="H573" s="259" t="str">
        <f t="shared" si="34"/>
        <v/>
      </c>
      <c r="I573" s="260"/>
    </row>
    <row r="574" spans="1:9">
      <c r="A574" s="255">
        <f t="shared" si="37"/>
        <v>572</v>
      </c>
      <c r="B574" s="256">
        <v>45193</v>
      </c>
      <c r="C574" s="257">
        <v>77.504825999999994</v>
      </c>
      <c r="D574" s="258">
        <v>125.59013413729549</v>
      </c>
      <c r="E574" s="257">
        <f t="shared" si="38"/>
        <v>77.504825999999994</v>
      </c>
      <c r="F574" s="263"/>
      <c r="G574" s="190" t="str">
        <f t="shared" si="33"/>
        <v/>
      </c>
      <c r="H574" s="259" t="str">
        <f t="shared" si="34"/>
        <v/>
      </c>
      <c r="I574" s="260"/>
    </row>
    <row r="575" spans="1:9">
      <c r="A575" s="255">
        <f t="shared" si="37"/>
        <v>573</v>
      </c>
      <c r="B575" s="256">
        <v>45194</v>
      </c>
      <c r="C575" s="257">
        <v>56.623999000000005</v>
      </c>
      <c r="D575" s="258">
        <v>125.59013413729549</v>
      </c>
      <c r="E575" s="257">
        <f t="shared" si="38"/>
        <v>56.623999000000005</v>
      </c>
      <c r="F575" s="263"/>
      <c r="G575" s="190" t="str">
        <f t="shared" si="33"/>
        <v/>
      </c>
      <c r="H575" s="259" t="str">
        <f t="shared" si="34"/>
        <v/>
      </c>
      <c r="I575" s="260"/>
    </row>
    <row r="576" spans="1:9">
      <c r="A576" s="255">
        <f t="shared" si="37"/>
        <v>574</v>
      </c>
      <c r="B576" s="256">
        <v>45195</v>
      </c>
      <c r="C576" s="257">
        <v>61.613292999999999</v>
      </c>
      <c r="D576" s="258">
        <v>125.59013413729549</v>
      </c>
      <c r="E576" s="257">
        <f t="shared" si="38"/>
        <v>61.613292999999999</v>
      </c>
      <c r="F576" s="263"/>
      <c r="G576" s="190" t="str">
        <f t="shared" si="33"/>
        <v/>
      </c>
      <c r="H576" s="259" t="str">
        <f t="shared" si="34"/>
        <v/>
      </c>
      <c r="I576" s="260"/>
    </row>
    <row r="577" spans="1:9">
      <c r="A577" s="255">
        <f t="shared" si="37"/>
        <v>575</v>
      </c>
      <c r="B577" s="256">
        <v>45196</v>
      </c>
      <c r="C577" s="257">
        <v>112.85042299999999</v>
      </c>
      <c r="D577" s="258">
        <v>125.59013413729549</v>
      </c>
      <c r="E577" s="257">
        <f t="shared" si="38"/>
        <v>112.85042299999999</v>
      </c>
      <c r="F577" s="263"/>
      <c r="G577" s="190" t="str">
        <f t="shared" si="33"/>
        <v/>
      </c>
      <c r="H577" s="259" t="str">
        <f t="shared" si="34"/>
        <v/>
      </c>
      <c r="I577" s="260"/>
    </row>
    <row r="578" spans="1:9">
      <c r="A578" s="255">
        <f t="shared" si="37"/>
        <v>576</v>
      </c>
      <c r="B578" s="256">
        <v>45197</v>
      </c>
      <c r="C578" s="257">
        <v>87.513448000000011</v>
      </c>
      <c r="D578" s="258">
        <v>125.59013413729549</v>
      </c>
      <c r="E578" s="257">
        <f t="shared" si="38"/>
        <v>87.513448000000011</v>
      </c>
      <c r="F578" s="263"/>
      <c r="G578" s="190" t="str">
        <f t="shared" si="33"/>
        <v/>
      </c>
      <c r="H578" s="259" t="str">
        <f t="shared" si="34"/>
        <v/>
      </c>
      <c r="I578" s="260"/>
    </row>
    <row r="579" spans="1:9">
      <c r="A579" s="255">
        <f t="shared" si="37"/>
        <v>577</v>
      </c>
      <c r="B579" s="256">
        <v>45198</v>
      </c>
      <c r="C579" s="257">
        <v>47.587671</v>
      </c>
      <c r="D579" s="258">
        <v>125.59013413729549</v>
      </c>
      <c r="E579" s="257">
        <f t="shared" si="38"/>
        <v>47.587671</v>
      </c>
      <c r="F579" s="263"/>
      <c r="G579" s="190" t="str">
        <f t="shared" ref="G579:G642" si="39">IF(DAY(B579)=15,IF(MONTH(B579)=1,"E",IF(MONTH(B579)=2,"F",IF(MONTH(B579)=3,"M",IF(MONTH(B579)=4,"A",IF(MONTH(B579)=5,"M",IF(MONTH(B579)=6,"J",IF(MONTH(B579)=7,"J",IF(MONTH(B579)=8,"A",IF(MONTH(B579)=9,"S",IF(MONTH(B579)=10,"O",IF(MONTH(B579)=11,"N",IF(MONTH(B579)=12,"D","")))))))))))),"")</f>
        <v/>
      </c>
      <c r="H579" s="259" t="str">
        <f t="shared" ref="H579:H642" si="40">IF(DAY($B579)=15,TEXT(D579,"#,0"),"")</f>
        <v/>
      </c>
      <c r="I579" s="260"/>
    </row>
    <row r="580" spans="1:9">
      <c r="A580" s="255">
        <f t="shared" si="37"/>
        <v>578</v>
      </c>
      <c r="B580" s="256">
        <v>45199</v>
      </c>
      <c r="C580" s="257">
        <v>71.112015999999997</v>
      </c>
      <c r="D580" s="258">
        <v>125.59013413729549</v>
      </c>
      <c r="E580" s="257">
        <f t="shared" si="38"/>
        <v>71.112015999999997</v>
      </c>
      <c r="F580" s="263"/>
      <c r="G580" s="190" t="str">
        <f t="shared" si="39"/>
        <v/>
      </c>
      <c r="H580" s="259" t="str">
        <f t="shared" si="40"/>
        <v/>
      </c>
      <c r="I580" s="260"/>
    </row>
    <row r="581" spans="1:9">
      <c r="A581" s="255">
        <f t="shared" si="37"/>
        <v>579</v>
      </c>
      <c r="B581" s="256">
        <v>45200</v>
      </c>
      <c r="C581" s="257">
        <v>65.010852999999997</v>
      </c>
      <c r="D581" s="258">
        <v>153.81281429631619</v>
      </c>
      <c r="E581" s="257">
        <f t="shared" si="38"/>
        <v>65.010852999999997</v>
      </c>
      <c r="F581" s="263"/>
      <c r="G581" s="190" t="str">
        <f t="shared" si="39"/>
        <v/>
      </c>
      <c r="H581" s="259" t="str">
        <f t="shared" si="40"/>
        <v/>
      </c>
      <c r="I581" s="260"/>
    </row>
    <row r="582" spans="1:9">
      <c r="A582" s="255">
        <f t="shared" si="37"/>
        <v>580</v>
      </c>
      <c r="B582" s="256">
        <v>45201</v>
      </c>
      <c r="C582" s="257">
        <v>119.595054</v>
      </c>
      <c r="D582" s="258">
        <v>153.81281429631619</v>
      </c>
      <c r="E582" s="257">
        <f t="shared" si="38"/>
        <v>119.595054</v>
      </c>
      <c r="F582" s="263"/>
      <c r="G582" s="190" t="str">
        <f t="shared" si="39"/>
        <v/>
      </c>
      <c r="H582" s="259" t="str">
        <f t="shared" si="40"/>
        <v/>
      </c>
      <c r="I582" s="260"/>
    </row>
    <row r="583" spans="1:9">
      <c r="A583" s="255">
        <f t="shared" si="37"/>
        <v>581</v>
      </c>
      <c r="B583" s="256">
        <v>45202</v>
      </c>
      <c r="C583" s="257">
        <v>119.29588199999999</v>
      </c>
      <c r="D583" s="258">
        <v>153.81281429631619</v>
      </c>
      <c r="E583" s="257">
        <f t="shared" si="38"/>
        <v>119.29588199999999</v>
      </c>
      <c r="F583" s="263"/>
      <c r="G583" s="190" t="str">
        <f t="shared" si="39"/>
        <v/>
      </c>
      <c r="H583" s="259" t="str">
        <f t="shared" si="40"/>
        <v/>
      </c>
      <c r="I583" s="260"/>
    </row>
    <row r="584" spans="1:9">
      <c r="A584" s="255">
        <f t="shared" si="37"/>
        <v>582</v>
      </c>
      <c r="B584" s="256">
        <v>45203</v>
      </c>
      <c r="C584" s="257">
        <v>100.617614</v>
      </c>
      <c r="D584" s="258">
        <v>153.81281429631619</v>
      </c>
      <c r="E584" s="257">
        <f t="shared" si="38"/>
        <v>100.617614</v>
      </c>
      <c r="F584" s="263"/>
      <c r="G584" s="190" t="str">
        <f t="shared" si="39"/>
        <v/>
      </c>
      <c r="H584" s="259" t="str">
        <f t="shared" si="40"/>
        <v/>
      </c>
      <c r="I584" s="260"/>
    </row>
    <row r="585" spans="1:9">
      <c r="A585" s="255">
        <f t="shared" si="37"/>
        <v>583</v>
      </c>
      <c r="B585" s="256">
        <v>45204</v>
      </c>
      <c r="C585" s="257">
        <v>47.969997999999997</v>
      </c>
      <c r="D585" s="258">
        <v>153.81281429631619</v>
      </c>
      <c r="E585" s="257">
        <f t="shared" si="38"/>
        <v>47.969997999999997</v>
      </c>
      <c r="F585" s="263"/>
      <c r="G585" s="190" t="str">
        <f t="shared" si="39"/>
        <v/>
      </c>
      <c r="H585" s="259" t="str">
        <f t="shared" si="40"/>
        <v/>
      </c>
      <c r="I585" s="260"/>
    </row>
    <row r="586" spans="1:9">
      <c r="A586" s="255">
        <f t="shared" si="37"/>
        <v>584</v>
      </c>
      <c r="B586" s="256">
        <v>45205</v>
      </c>
      <c r="C586" s="257">
        <v>62.839870000000005</v>
      </c>
      <c r="D586" s="258">
        <v>153.81281429631619</v>
      </c>
      <c r="E586" s="257">
        <f t="shared" si="38"/>
        <v>62.839870000000005</v>
      </c>
      <c r="F586" s="263"/>
      <c r="G586" s="190" t="str">
        <f t="shared" si="39"/>
        <v/>
      </c>
      <c r="H586" s="259" t="str">
        <f t="shared" si="40"/>
        <v/>
      </c>
      <c r="I586" s="260"/>
    </row>
    <row r="587" spans="1:9">
      <c r="A587" s="255">
        <f t="shared" si="37"/>
        <v>585</v>
      </c>
      <c r="B587" s="256">
        <v>45206</v>
      </c>
      <c r="C587" s="257">
        <v>73.685134999999988</v>
      </c>
      <c r="D587" s="258">
        <v>153.81281429631619</v>
      </c>
      <c r="E587" s="257">
        <f t="shared" si="38"/>
        <v>73.685134999999988</v>
      </c>
      <c r="F587" s="263"/>
      <c r="G587" s="190" t="str">
        <f t="shared" si="39"/>
        <v/>
      </c>
      <c r="H587" s="259" t="str">
        <f t="shared" si="40"/>
        <v/>
      </c>
      <c r="I587" s="260"/>
    </row>
    <row r="588" spans="1:9">
      <c r="A588" s="255">
        <f t="shared" si="37"/>
        <v>586</v>
      </c>
      <c r="B588" s="256">
        <v>45207</v>
      </c>
      <c r="C588" s="257">
        <v>58.411174000000003</v>
      </c>
      <c r="D588" s="258">
        <v>153.81281429631619</v>
      </c>
      <c r="E588" s="257">
        <f t="shared" si="38"/>
        <v>58.411174000000003</v>
      </c>
      <c r="F588" s="263"/>
      <c r="G588" s="190" t="str">
        <f t="shared" si="39"/>
        <v/>
      </c>
      <c r="H588" s="259" t="str">
        <f t="shared" si="40"/>
        <v/>
      </c>
      <c r="I588" s="260"/>
    </row>
    <row r="589" spans="1:9">
      <c r="A589" s="255">
        <f t="shared" si="37"/>
        <v>587</v>
      </c>
      <c r="B589" s="256">
        <v>45208</v>
      </c>
      <c r="C589" s="257">
        <v>53.081889000000004</v>
      </c>
      <c r="D589" s="258">
        <v>153.81281429631619</v>
      </c>
      <c r="E589" s="257">
        <f t="shared" si="38"/>
        <v>53.081889000000004</v>
      </c>
      <c r="F589" s="263"/>
      <c r="G589" s="190" t="str">
        <f t="shared" si="39"/>
        <v/>
      </c>
      <c r="H589" s="259" t="str">
        <f t="shared" si="40"/>
        <v/>
      </c>
      <c r="I589" s="260"/>
    </row>
    <row r="590" spans="1:9">
      <c r="A590" s="255">
        <f t="shared" si="37"/>
        <v>588</v>
      </c>
      <c r="B590" s="256">
        <v>45209</v>
      </c>
      <c r="C590" s="257">
        <v>39.551927000000006</v>
      </c>
      <c r="D590" s="258">
        <v>153.81281429631619</v>
      </c>
      <c r="E590" s="257">
        <f t="shared" si="38"/>
        <v>39.551927000000006</v>
      </c>
      <c r="F590" s="263"/>
      <c r="G590" s="190" t="str">
        <f t="shared" si="39"/>
        <v/>
      </c>
      <c r="H590" s="259" t="str">
        <f t="shared" si="40"/>
        <v/>
      </c>
      <c r="I590" s="260"/>
    </row>
    <row r="591" spans="1:9">
      <c r="A591" s="255">
        <f t="shared" si="37"/>
        <v>589</v>
      </c>
      <c r="B591" s="256">
        <v>45210</v>
      </c>
      <c r="C591" s="257">
        <v>44.508303999999995</v>
      </c>
      <c r="D591" s="258">
        <v>153.81281429631619</v>
      </c>
      <c r="E591" s="257">
        <f t="shared" si="38"/>
        <v>44.508303999999995</v>
      </c>
      <c r="F591" s="263"/>
      <c r="G591" s="190" t="str">
        <f t="shared" si="39"/>
        <v/>
      </c>
      <c r="H591" s="259" t="str">
        <f t="shared" si="40"/>
        <v/>
      </c>
      <c r="I591" s="260"/>
    </row>
    <row r="592" spans="1:9">
      <c r="A592" s="255">
        <f t="shared" si="37"/>
        <v>590</v>
      </c>
      <c r="B592" s="256">
        <v>45211</v>
      </c>
      <c r="C592" s="257">
        <v>84.965941000000001</v>
      </c>
      <c r="D592" s="258">
        <v>153.81281429631619</v>
      </c>
      <c r="E592" s="257">
        <f t="shared" si="38"/>
        <v>84.965941000000001</v>
      </c>
      <c r="F592" s="263"/>
      <c r="G592" s="190" t="str">
        <f t="shared" si="39"/>
        <v/>
      </c>
      <c r="H592" s="259" t="str">
        <f t="shared" si="40"/>
        <v/>
      </c>
      <c r="I592" s="260"/>
    </row>
    <row r="593" spans="1:9">
      <c r="A593" s="255">
        <f t="shared" si="37"/>
        <v>591</v>
      </c>
      <c r="B593" s="256">
        <v>45212</v>
      </c>
      <c r="C593" s="257">
        <v>154.04540400000002</v>
      </c>
      <c r="D593" s="258">
        <v>153.81281429631619</v>
      </c>
      <c r="E593" s="257">
        <f t="shared" si="38"/>
        <v>153.81281429631619</v>
      </c>
      <c r="F593" s="263"/>
      <c r="G593" s="190" t="str">
        <f t="shared" si="39"/>
        <v/>
      </c>
      <c r="H593" s="259" t="str">
        <f t="shared" si="40"/>
        <v/>
      </c>
      <c r="I593" s="260"/>
    </row>
    <row r="594" spans="1:9">
      <c r="A594" s="255">
        <f t="shared" si="37"/>
        <v>592</v>
      </c>
      <c r="B594" s="256">
        <v>45213</v>
      </c>
      <c r="C594" s="257">
        <v>77.564145000000011</v>
      </c>
      <c r="D594" s="258">
        <v>153.81281429631619</v>
      </c>
      <c r="E594" s="257">
        <f t="shared" si="38"/>
        <v>77.564145000000011</v>
      </c>
      <c r="F594" s="263"/>
      <c r="G594" s="190" t="str">
        <f t="shared" si="39"/>
        <v/>
      </c>
      <c r="H594" s="259" t="str">
        <f t="shared" si="40"/>
        <v/>
      </c>
      <c r="I594" s="260"/>
    </row>
    <row r="595" spans="1:9">
      <c r="A595" s="255">
        <f t="shared" si="37"/>
        <v>593</v>
      </c>
      <c r="B595" s="256">
        <v>45214</v>
      </c>
      <c r="C595" s="257">
        <v>55.796743999999997</v>
      </c>
      <c r="D595" s="258">
        <v>153.81281429631619</v>
      </c>
      <c r="E595" s="257">
        <f t="shared" si="38"/>
        <v>55.796743999999997</v>
      </c>
      <c r="F595" s="263"/>
      <c r="G595" s="190" t="str">
        <f t="shared" si="39"/>
        <v>O</v>
      </c>
      <c r="H595" s="259" t="str">
        <f t="shared" si="40"/>
        <v>153,8</v>
      </c>
      <c r="I595" s="260"/>
    </row>
    <row r="596" spans="1:9">
      <c r="A596" s="255">
        <f t="shared" si="37"/>
        <v>594</v>
      </c>
      <c r="B596" s="256">
        <v>45215</v>
      </c>
      <c r="C596" s="257">
        <v>100.030469</v>
      </c>
      <c r="D596" s="258">
        <v>153.81281429631619</v>
      </c>
      <c r="E596" s="257">
        <f t="shared" si="38"/>
        <v>100.030469</v>
      </c>
      <c r="F596" s="263"/>
      <c r="G596" s="190" t="str">
        <f t="shared" si="39"/>
        <v/>
      </c>
      <c r="H596" s="259" t="str">
        <f t="shared" si="40"/>
        <v/>
      </c>
      <c r="I596" s="260"/>
    </row>
    <row r="597" spans="1:9">
      <c r="A597" s="255">
        <f t="shared" si="37"/>
        <v>595</v>
      </c>
      <c r="B597" s="256">
        <v>45216</v>
      </c>
      <c r="C597" s="257">
        <v>301.79274400000003</v>
      </c>
      <c r="D597" s="258">
        <v>153.81281429631619</v>
      </c>
      <c r="E597" s="257">
        <f t="shared" si="38"/>
        <v>153.81281429631619</v>
      </c>
      <c r="F597" s="263"/>
      <c r="G597" s="190" t="str">
        <f t="shared" si="39"/>
        <v/>
      </c>
      <c r="H597" s="259" t="str">
        <f t="shared" si="40"/>
        <v/>
      </c>
      <c r="I597" s="260"/>
    </row>
    <row r="598" spans="1:9">
      <c r="A598" s="255">
        <f t="shared" si="37"/>
        <v>596</v>
      </c>
      <c r="B598" s="256">
        <v>45217</v>
      </c>
      <c r="C598" s="257">
        <v>374.86666300000002</v>
      </c>
      <c r="D598" s="258">
        <v>153.81281429631619</v>
      </c>
      <c r="E598" s="257">
        <f t="shared" si="38"/>
        <v>153.81281429631619</v>
      </c>
      <c r="F598" s="263"/>
      <c r="G598" s="190" t="str">
        <f t="shared" si="39"/>
        <v/>
      </c>
      <c r="H598" s="259" t="str">
        <f t="shared" si="40"/>
        <v/>
      </c>
      <c r="I598" s="260"/>
    </row>
    <row r="599" spans="1:9">
      <c r="A599" s="255">
        <f t="shared" ref="A599:A662" si="41">+A598+1</f>
        <v>597</v>
      </c>
      <c r="B599" s="256">
        <v>45218</v>
      </c>
      <c r="C599" s="257">
        <v>392.27532299999996</v>
      </c>
      <c r="D599" s="258">
        <v>153.81281429631619</v>
      </c>
      <c r="E599" s="257">
        <f t="shared" ref="E599:E662" si="42">IF(C599&gt;D599,D599,C599)</f>
        <v>153.81281429631619</v>
      </c>
      <c r="F599" s="263"/>
      <c r="G599" s="190" t="str">
        <f t="shared" si="39"/>
        <v/>
      </c>
      <c r="H599" s="259" t="str">
        <f t="shared" si="40"/>
        <v/>
      </c>
      <c r="I599" s="260"/>
    </row>
    <row r="600" spans="1:9">
      <c r="A600" s="255">
        <f t="shared" si="41"/>
        <v>598</v>
      </c>
      <c r="B600" s="256">
        <v>45219</v>
      </c>
      <c r="C600" s="257">
        <v>415.31141599999995</v>
      </c>
      <c r="D600" s="258">
        <v>153.81281429631619</v>
      </c>
      <c r="E600" s="257">
        <f t="shared" si="42"/>
        <v>153.81281429631619</v>
      </c>
      <c r="F600" s="263"/>
      <c r="G600" s="190" t="str">
        <f t="shared" si="39"/>
        <v/>
      </c>
      <c r="H600" s="259" t="str">
        <f t="shared" si="40"/>
        <v/>
      </c>
      <c r="I600" s="260"/>
    </row>
    <row r="601" spans="1:9">
      <c r="A601" s="255">
        <f t="shared" si="41"/>
        <v>599</v>
      </c>
      <c r="B601" s="256">
        <v>45220</v>
      </c>
      <c r="C601" s="257">
        <v>192.22720900000002</v>
      </c>
      <c r="D601" s="258">
        <v>153.81281429631619</v>
      </c>
      <c r="E601" s="257">
        <f t="shared" si="42"/>
        <v>153.81281429631619</v>
      </c>
      <c r="F601" s="263"/>
      <c r="G601" s="190" t="str">
        <f t="shared" si="39"/>
        <v/>
      </c>
      <c r="H601" s="259" t="str">
        <f t="shared" si="40"/>
        <v/>
      </c>
      <c r="I601" s="260"/>
    </row>
    <row r="602" spans="1:9">
      <c r="A602" s="255">
        <f t="shared" si="41"/>
        <v>600</v>
      </c>
      <c r="B602" s="256">
        <v>45221</v>
      </c>
      <c r="C602" s="257">
        <v>169.731527</v>
      </c>
      <c r="D602" s="258">
        <v>153.81281429631619</v>
      </c>
      <c r="E602" s="257">
        <f t="shared" si="42"/>
        <v>153.81281429631619</v>
      </c>
      <c r="F602" s="263"/>
      <c r="G602" s="190" t="str">
        <f t="shared" si="39"/>
        <v/>
      </c>
      <c r="H602" s="259" t="str">
        <f t="shared" si="40"/>
        <v/>
      </c>
      <c r="I602" s="260"/>
    </row>
    <row r="603" spans="1:9">
      <c r="A603" s="255">
        <f t="shared" si="41"/>
        <v>601</v>
      </c>
      <c r="B603" s="256">
        <v>45222</v>
      </c>
      <c r="C603" s="257">
        <v>147.10712599999999</v>
      </c>
      <c r="D603" s="258">
        <v>153.81281429631619</v>
      </c>
      <c r="E603" s="257">
        <f t="shared" si="42"/>
        <v>147.10712599999999</v>
      </c>
      <c r="F603" s="263"/>
      <c r="G603" s="190" t="str">
        <f t="shared" si="39"/>
        <v/>
      </c>
      <c r="H603" s="259" t="str">
        <f t="shared" si="40"/>
        <v/>
      </c>
      <c r="I603" s="260"/>
    </row>
    <row r="604" spans="1:9">
      <c r="A604" s="255">
        <f t="shared" si="41"/>
        <v>602</v>
      </c>
      <c r="B604" s="256">
        <v>45223</v>
      </c>
      <c r="C604" s="257">
        <v>302.44678600000003</v>
      </c>
      <c r="D604" s="258">
        <v>153.81281429631619</v>
      </c>
      <c r="E604" s="257">
        <f t="shared" si="42"/>
        <v>153.81281429631619</v>
      </c>
      <c r="F604" s="263"/>
      <c r="G604" s="190" t="str">
        <f t="shared" si="39"/>
        <v/>
      </c>
      <c r="H604" s="259" t="str">
        <f t="shared" si="40"/>
        <v/>
      </c>
      <c r="I604" s="260"/>
    </row>
    <row r="605" spans="1:9">
      <c r="A605" s="255">
        <f t="shared" si="41"/>
        <v>603</v>
      </c>
      <c r="B605" s="256">
        <v>45224</v>
      </c>
      <c r="C605" s="257">
        <v>398.84176600000001</v>
      </c>
      <c r="D605" s="258">
        <v>153.81281429631619</v>
      </c>
      <c r="E605" s="257">
        <f t="shared" si="42"/>
        <v>153.81281429631619</v>
      </c>
      <c r="F605" s="263"/>
      <c r="G605" s="190" t="str">
        <f t="shared" si="39"/>
        <v/>
      </c>
      <c r="H605" s="259" t="str">
        <f t="shared" si="40"/>
        <v/>
      </c>
      <c r="I605" s="260"/>
    </row>
    <row r="606" spans="1:9">
      <c r="A606" s="255">
        <f t="shared" si="41"/>
        <v>604</v>
      </c>
      <c r="B606" s="256">
        <v>45225</v>
      </c>
      <c r="C606" s="257">
        <v>408.20784800000001</v>
      </c>
      <c r="D606" s="258">
        <v>153.81281429631619</v>
      </c>
      <c r="E606" s="257">
        <f t="shared" si="42"/>
        <v>153.81281429631619</v>
      </c>
      <c r="F606" s="263"/>
      <c r="G606" s="190" t="str">
        <f t="shared" si="39"/>
        <v/>
      </c>
      <c r="H606" s="259" t="str">
        <f t="shared" si="40"/>
        <v/>
      </c>
      <c r="I606" s="260"/>
    </row>
    <row r="607" spans="1:9">
      <c r="A607" s="255">
        <f t="shared" si="41"/>
        <v>605</v>
      </c>
      <c r="B607" s="256">
        <v>45226</v>
      </c>
      <c r="C607" s="257">
        <v>354.26643099999995</v>
      </c>
      <c r="D607" s="258">
        <v>153.81281429631619</v>
      </c>
      <c r="E607" s="257">
        <f t="shared" si="42"/>
        <v>153.81281429631619</v>
      </c>
      <c r="F607" s="263"/>
      <c r="G607" s="190" t="str">
        <f t="shared" si="39"/>
        <v/>
      </c>
      <c r="H607" s="259" t="str">
        <f t="shared" si="40"/>
        <v/>
      </c>
      <c r="I607" s="260"/>
    </row>
    <row r="608" spans="1:9">
      <c r="A608" s="255">
        <f t="shared" si="41"/>
        <v>606</v>
      </c>
      <c r="B608" s="256">
        <v>45227</v>
      </c>
      <c r="C608" s="257">
        <v>285.17761099999996</v>
      </c>
      <c r="D608" s="258">
        <v>153.81281429631619</v>
      </c>
      <c r="E608" s="257">
        <f t="shared" si="42"/>
        <v>153.81281429631619</v>
      </c>
      <c r="F608" s="263"/>
      <c r="G608" s="190" t="str">
        <f t="shared" si="39"/>
        <v/>
      </c>
      <c r="H608" s="259" t="str">
        <f t="shared" si="40"/>
        <v/>
      </c>
      <c r="I608" s="260"/>
    </row>
    <row r="609" spans="1:9">
      <c r="A609" s="255">
        <f t="shared" si="41"/>
        <v>607</v>
      </c>
      <c r="B609" s="256">
        <v>45228</v>
      </c>
      <c r="C609" s="257">
        <v>239.78311500000001</v>
      </c>
      <c r="D609" s="258">
        <v>153.81281429631619</v>
      </c>
      <c r="E609" s="257">
        <f t="shared" si="42"/>
        <v>153.81281429631619</v>
      </c>
      <c r="F609" s="263"/>
      <c r="G609" s="190" t="str">
        <f t="shared" si="39"/>
        <v/>
      </c>
      <c r="H609" s="259" t="str">
        <f t="shared" si="40"/>
        <v/>
      </c>
      <c r="I609" s="260"/>
    </row>
    <row r="610" spans="1:9">
      <c r="A610" s="255">
        <f t="shared" si="41"/>
        <v>608</v>
      </c>
      <c r="B610" s="256">
        <v>45229</v>
      </c>
      <c r="C610" s="257">
        <v>301.61685700000004</v>
      </c>
      <c r="D610" s="258">
        <v>153.81281429631619</v>
      </c>
      <c r="E610" s="257">
        <f t="shared" si="42"/>
        <v>153.81281429631619</v>
      </c>
      <c r="F610" s="263"/>
      <c r="G610" s="190" t="str">
        <f t="shared" si="39"/>
        <v/>
      </c>
      <c r="H610" s="259" t="str">
        <f t="shared" si="40"/>
        <v/>
      </c>
      <c r="I610" s="260"/>
    </row>
    <row r="611" spans="1:9">
      <c r="A611" s="255">
        <f t="shared" si="41"/>
        <v>609</v>
      </c>
      <c r="B611" s="256">
        <v>45230</v>
      </c>
      <c r="C611" s="257">
        <v>178.02342800000002</v>
      </c>
      <c r="D611" s="258">
        <v>153.81281429631619</v>
      </c>
      <c r="E611" s="257">
        <f t="shared" si="42"/>
        <v>153.81281429631619</v>
      </c>
      <c r="F611" s="263"/>
      <c r="G611" s="190" t="str">
        <f t="shared" si="39"/>
        <v/>
      </c>
      <c r="H611" s="259" t="str">
        <f t="shared" si="40"/>
        <v/>
      </c>
      <c r="I611" s="260"/>
    </row>
    <row r="612" spans="1:9">
      <c r="A612" s="255">
        <f t="shared" si="41"/>
        <v>610</v>
      </c>
      <c r="B612" s="256">
        <v>45231</v>
      </c>
      <c r="C612" s="257">
        <v>305.74657399999995</v>
      </c>
      <c r="D612" s="258">
        <v>207.77304190419628</v>
      </c>
      <c r="E612" s="257">
        <f t="shared" si="42"/>
        <v>207.77304190419628</v>
      </c>
      <c r="F612" s="263"/>
      <c r="G612" s="190" t="str">
        <f t="shared" si="39"/>
        <v/>
      </c>
      <c r="H612" s="259" t="str">
        <f t="shared" si="40"/>
        <v/>
      </c>
      <c r="I612" s="260"/>
    </row>
    <row r="613" spans="1:9">
      <c r="A613" s="255">
        <f t="shared" si="41"/>
        <v>611</v>
      </c>
      <c r="B613" s="256">
        <v>45232</v>
      </c>
      <c r="C613" s="257">
        <v>378.32392699999997</v>
      </c>
      <c r="D613" s="258">
        <v>207.77304190419628</v>
      </c>
      <c r="E613" s="257">
        <f t="shared" si="42"/>
        <v>207.77304190419628</v>
      </c>
      <c r="F613" s="263"/>
      <c r="G613" s="190" t="str">
        <f t="shared" si="39"/>
        <v/>
      </c>
      <c r="H613" s="259" t="str">
        <f t="shared" si="40"/>
        <v/>
      </c>
      <c r="I613" s="260"/>
    </row>
    <row r="614" spans="1:9">
      <c r="A614" s="255">
        <f t="shared" si="41"/>
        <v>612</v>
      </c>
      <c r="B614" s="256">
        <v>45233</v>
      </c>
      <c r="C614" s="257">
        <v>372.60674399999999</v>
      </c>
      <c r="D614" s="258">
        <v>207.77304190419628</v>
      </c>
      <c r="E614" s="257">
        <f t="shared" si="42"/>
        <v>207.77304190419628</v>
      </c>
      <c r="F614" s="263"/>
      <c r="G614" s="190" t="str">
        <f t="shared" si="39"/>
        <v/>
      </c>
      <c r="H614" s="259" t="str">
        <f t="shared" si="40"/>
        <v/>
      </c>
      <c r="I614" s="260"/>
    </row>
    <row r="615" spans="1:9">
      <c r="A615" s="255">
        <f t="shared" si="41"/>
        <v>613</v>
      </c>
      <c r="B615" s="256">
        <v>45234</v>
      </c>
      <c r="C615" s="257">
        <v>299.70202</v>
      </c>
      <c r="D615" s="258">
        <v>207.77304190419628</v>
      </c>
      <c r="E615" s="257">
        <f t="shared" si="42"/>
        <v>207.77304190419628</v>
      </c>
      <c r="F615" s="263"/>
      <c r="G615" s="190" t="str">
        <f t="shared" si="39"/>
        <v/>
      </c>
      <c r="H615" s="259" t="str">
        <f t="shared" si="40"/>
        <v/>
      </c>
      <c r="I615" s="260"/>
    </row>
    <row r="616" spans="1:9">
      <c r="A616" s="255">
        <f t="shared" si="41"/>
        <v>614</v>
      </c>
      <c r="B616" s="256">
        <v>45235</v>
      </c>
      <c r="C616" s="257">
        <v>285.86199200000004</v>
      </c>
      <c r="D616" s="258">
        <v>207.77304190419628</v>
      </c>
      <c r="E616" s="257">
        <f t="shared" si="42"/>
        <v>207.77304190419628</v>
      </c>
      <c r="F616" s="263"/>
      <c r="G616" s="190" t="str">
        <f t="shared" si="39"/>
        <v/>
      </c>
      <c r="H616" s="259" t="str">
        <f t="shared" si="40"/>
        <v/>
      </c>
      <c r="I616" s="260"/>
    </row>
    <row r="617" spans="1:9">
      <c r="A617" s="255">
        <f t="shared" si="41"/>
        <v>615</v>
      </c>
      <c r="B617" s="256">
        <v>45236</v>
      </c>
      <c r="C617" s="257">
        <v>220.725829</v>
      </c>
      <c r="D617" s="258">
        <v>207.77304190419628</v>
      </c>
      <c r="E617" s="257">
        <f t="shared" si="42"/>
        <v>207.77304190419628</v>
      </c>
      <c r="F617" s="263"/>
      <c r="G617" s="190" t="str">
        <f t="shared" si="39"/>
        <v/>
      </c>
      <c r="H617" s="259" t="str">
        <f t="shared" si="40"/>
        <v/>
      </c>
      <c r="I617" s="260"/>
    </row>
    <row r="618" spans="1:9">
      <c r="A618" s="255">
        <f t="shared" si="41"/>
        <v>616</v>
      </c>
      <c r="B618" s="256">
        <v>45237</v>
      </c>
      <c r="C618" s="257">
        <v>166.87135000000001</v>
      </c>
      <c r="D618" s="258">
        <v>207.77304190419628</v>
      </c>
      <c r="E618" s="257">
        <f t="shared" si="42"/>
        <v>166.87135000000001</v>
      </c>
      <c r="F618" s="263"/>
      <c r="G618" s="190" t="str">
        <f t="shared" si="39"/>
        <v/>
      </c>
      <c r="H618" s="259" t="str">
        <f t="shared" si="40"/>
        <v/>
      </c>
      <c r="I618" s="260"/>
    </row>
    <row r="619" spans="1:9">
      <c r="A619" s="255">
        <f t="shared" si="41"/>
        <v>617</v>
      </c>
      <c r="B619" s="256">
        <v>45238</v>
      </c>
      <c r="C619" s="257">
        <v>181.521907</v>
      </c>
      <c r="D619" s="258">
        <v>207.77304190419628</v>
      </c>
      <c r="E619" s="257">
        <f t="shared" si="42"/>
        <v>181.521907</v>
      </c>
      <c r="F619" s="263"/>
      <c r="G619" s="190" t="str">
        <f t="shared" si="39"/>
        <v/>
      </c>
      <c r="H619" s="259" t="str">
        <f t="shared" si="40"/>
        <v/>
      </c>
      <c r="I619" s="260"/>
    </row>
    <row r="620" spans="1:9">
      <c r="A620" s="255">
        <f t="shared" si="41"/>
        <v>618</v>
      </c>
      <c r="B620" s="256">
        <v>45239</v>
      </c>
      <c r="C620" s="257">
        <v>264.74809799999997</v>
      </c>
      <c r="D620" s="258">
        <v>207.77304190419628</v>
      </c>
      <c r="E620" s="257">
        <f t="shared" si="42"/>
        <v>207.77304190419628</v>
      </c>
      <c r="F620" s="263"/>
      <c r="G620" s="190" t="str">
        <f t="shared" si="39"/>
        <v/>
      </c>
      <c r="H620" s="259" t="str">
        <f t="shared" si="40"/>
        <v/>
      </c>
      <c r="I620" s="260"/>
    </row>
    <row r="621" spans="1:9">
      <c r="A621" s="255">
        <f t="shared" si="41"/>
        <v>619</v>
      </c>
      <c r="B621" s="256">
        <v>45240</v>
      </c>
      <c r="C621" s="257">
        <v>315.18730300000004</v>
      </c>
      <c r="D621" s="258">
        <v>207.77304190419628</v>
      </c>
      <c r="E621" s="257">
        <f t="shared" si="42"/>
        <v>207.77304190419628</v>
      </c>
      <c r="F621" s="263"/>
      <c r="G621" s="190" t="str">
        <f t="shared" si="39"/>
        <v/>
      </c>
      <c r="H621" s="259" t="str">
        <f t="shared" si="40"/>
        <v/>
      </c>
      <c r="I621" s="260"/>
    </row>
    <row r="622" spans="1:9">
      <c r="A622" s="255">
        <f t="shared" si="41"/>
        <v>620</v>
      </c>
      <c r="B622" s="256">
        <v>45241</v>
      </c>
      <c r="C622" s="257">
        <v>353.79800700000004</v>
      </c>
      <c r="D622" s="258">
        <v>207.77304190419628</v>
      </c>
      <c r="E622" s="257">
        <f t="shared" si="42"/>
        <v>207.77304190419628</v>
      </c>
      <c r="F622" s="263"/>
      <c r="G622" s="190" t="str">
        <f t="shared" si="39"/>
        <v/>
      </c>
      <c r="H622" s="259" t="str">
        <f t="shared" si="40"/>
        <v/>
      </c>
      <c r="I622" s="260"/>
    </row>
    <row r="623" spans="1:9">
      <c r="A623" s="255">
        <f t="shared" si="41"/>
        <v>621</v>
      </c>
      <c r="B623" s="256">
        <v>45242</v>
      </c>
      <c r="C623" s="257">
        <v>269.20335400000005</v>
      </c>
      <c r="D623" s="258">
        <v>207.77304190419628</v>
      </c>
      <c r="E623" s="257">
        <f t="shared" si="42"/>
        <v>207.77304190419628</v>
      </c>
      <c r="F623" s="263"/>
      <c r="G623" s="190" t="str">
        <f t="shared" si="39"/>
        <v/>
      </c>
      <c r="H623" s="259" t="str">
        <f t="shared" si="40"/>
        <v/>
      </c>
      <c r="I623" s="260"/>
    </row>
    <row r="624" spans="1:9">
      <c r="A624" s="255">
        <f t="shared" si="41"/>
        <v>622</v>
      </c>
      <c r="B624" s="256">
        <v>45243</v>
      </c>
      <c r="C624" s="257">
        <v>237.42616199999998</v>
      </c>
      <c r="D624" s="258">
        <v>207.77304190419628</v>
      </c>
      <c r="E624" s="257">
        <f t="shared" si="42"/>
        <v>207.77304190419628</v>
      </c>
      <c r="F624" s="263"/>
      <c r="G624" s="190" t="str">
        <f t="shared" si="39"/>
        <v/>
      </c>
      <c r="H624" s="259" t="str">
        <f t="shared" si="40"/>
        <v/>
      </c>
      <c r="I624" s="260"/>
    </row>
    <row r="625" spans="1:9">
      <c r="A625" s="255">
        <f t="shared" si="41"/>
        <v>623</v>
      </c>
      <c r="B625" s="256">
        <v>45244</v>
      </c>
      <c r="C625" s="257">
        <v>195.84528600000002</v>
      </c>
      <c r="D625" s="258">
        <v>207.77304190419628</v>
      </c>
      <c r="E625" s="257">
        <f t="shared" si="42"/>
        <v>195.84528600000002</v>
      </c>
      <c r="F625" s="263"/>
      <c r="G625" s="190" t="str">
        <f t="shared" si="39"/>
        <v/>
      </c>
      <c r="H625" s="259" t="str">
        <f t="shared" si="40"/>
        <v/>
      </c>
      <c r="I625" s="260"/>
    </row>
    <row r="626" spans="1:9">
      <c r="A626" s="255">
        <f t="shared" si="41"/>
        <v>624</v>
      </c>
      <c r="B626" s="256">
        <v>45245</v>
      </c>
      <c r="C626" s="257">
        <v>103.63966099999999</v>
      </c>
      <c r="D626" s="258">
        <v>207.77304190419628</v>
      </c>
      <c r="E626" s="257">
        <f t="shared" si="42"/>
        <v>103.63966099999999</v>
      </c>
      <c r="F626" s="263"/>
      <c r="G626" s="190" t="str">
        <f t="shared" si="39"/>
        <v>N</v>
      </c>
      <c r="H626" s="259" t="str">
        <f t="shared" si="40"/>
        <v>207,8</v>
      </c>
      <c r="I626" s="260"/>
    </row>
    <row r="627" spans="1:9">
      <c r="A627" s="255">
        <f t="shared" si="41"/>
        <v>625</v>
      </c>
      <c r="B627" s="256">
        <v>45246</v>
      </c>
      <c r="C627" s="257">
        <v>164.571258</v>
      </c>
      <c r="D627" s="258">
        <v>207.77304190419628</v>
      </c>
      <c r="E627" s="257">
        <f t="shared" si="42"/>
        <v>164.571258</v>
      </c>
      <c r="F627" s="263"/>
      <c r="G627" s="190" t="str">
        <f t="shared" si="39"/>
        <v/>
      </c>
      <c r="H627" s="259" t="str">
        <f t="shared" si="40"/>
        <v/>
      </c>
      <c r="I627" s="260"/>
    </row>
    <row r="628" spans="1:9">
      <c r="A628" s="255">
        <f t="shared" si="41"/>
        <v>626</v>
      </c>
      <c r="B628" s="256">
        <v>45247</v>
      </c>
      <c r="C628" s="257">
        <v>106.43720399999999</v>
      </c>
      <c r="D628" s="258">
        <v>207.77304190419628</v>
      </c>
      <c r="E628" s="257">
        <f t="shared" si="42"/>
        <v>106.43720399999999</v>
      </c>
      <c r="F628" s="263"/>
      <c r="G628" s="190" t="str">
        <f t="shared" si="39"/>
        <v/>
      </c>
      <c r="H628" s="259" t="str">
        <f t="shared" si="40"/>
        <v/>
      </c>
      <c r="I628" s="260"/>
    </row>
    <row r="629" spans="1:9">
      <c r="A629" s="255">
        <f t="shared" si="41"/>
        <v>627</v>
      </c>
      <c r="B629" s="256">
        <v>45248</v>
      </c>
      <c r="C629" s="257">
        <v>92.351899000000003</v>
      </c>
      <c r="D629" s="258">
        <v>207.77304190419628</v>
      </c>
      <c r="E629" s="257">
        <f t="shared" si="42"/>
        <v>92.351899000000003</v>
      </c>
      <c r="F629" s="263"/>
      <c r="G629" s="190" t="str">
        <f t="shared" si="39"/>
        <v/>
      </c>
      <c r="H629" s="259" t="str">
        <f t="shared" si="40"/>
        <v/>
      </c>
      <c r="I629" s="260"/>
    </row>
    <row r="630" spans="1:9">
      <c r="A630" s="255">
        <f t="shared" si="41"/>
        <v>628</v>
      </c>
      <c r="B630" s="256">
        <v>45249</v>
      </c>
      <c r="C630" s="257">
        <v>33.739069999999998</v>
      </c>
      <c r="D630" s="258">
        <v>207.77304190419628</v>
      </c>
      <c r="E630" s="257">
        <f t="shared" si="42"/>
        <v>33.739069999999998</v>
      </c>
      <c r="F630" s="263"/>
      <c r="G630" s="190" t="str">
        <f t="shared" si="39"/>
        <v/>
      </c>
      <c r="H630" s="259" t="str">
        <f t="shared" si="40"/>
        <v/>
      </c>
      <c r="I630" s="260"/>
    </row>
    <row r="631" spans="1:9">
      <c r="A631" s="255">
        <f t="shared" si="41"/>
        <v>629</v>
      </c>
      <c r="B631" s="256">
        <v>45250</v>
      </c>
      <c r="C631" s="257">
        <v>127.556757</v>
      </c>
      <c r="D631" s="258">
        <v>207.77304190419628</v>
      </c>
      <c r="E631" s="257">
        <f t="shared" si="42"/>
        <v>127.556757</v>
      </c>
      <c r="F631" s="263"/>
      <c r="G631" s="190" t="str">
        <f t="shared" si="39"/>
        <v/>
      </c>
      <c r="H631" s="259" t="str">
        <f t="shared" si="40"/>
        <v/>
      </c>
      <c r="I631" s="260"/>
    </row>
    <row r="632" spans="1:9">
      <c r="A632" s="255">
        <f t="shared" si="41"/>
        <v>630</v>
      </c>
      <c r="B632" s="256">
        <v>45251</v>
      </c>
      <c r="C632" s="257">
        <v>334.56353200000001</v>
      </c>
      <c r="D632" s="258">
        <v>207.77304190419628</v>
      </c>
      <c r="E632" s="257">
        <f t="shared" si="42"/>
        <v>207.77304190419628</v>
      </c>
      <c r="F632" s="263"/>
      <c r="G632" s="190" t="str">
        <f t="shared" si="39"/>
        <v/>
      </c>
      <c r="H632" s="259" t="str">
        <f t="shared" si="40"/>
        <v/>
      </c>
      <c r="I632" s="260"/>
    </row>
    <row r="633" spans="1:9">
      <c r="A633" s="255">
        <f t="shared" si="41"/>
        <v>631</v>
      </c>
      <c r="B633" s="256">
        <v>45252</v>
      </c>
      <c r="C633" s="257">
        <v>358.19079600000003</v>
      </c>
      <c r="D633" s="258">
        <v>207.77304190419628</v>
      </c>
      <c r="E633" s="257">
        <f t="shared" si="42"/>
        <v>207.77304190419628</v>
      </c>
      <c r="F633" s="263"/>
      <c r="G633" s="190" t="str">
        <f t="shared" si="39"/>
        <v/>
      </c>
      <c r="H633" s="259" t="str">
        <f t="shared" si="40"/>
        <v/>
      </c>
      <c r="I633" s="260"/>
    </row>
    <row r="634" spans="1:9">
      <c r="A634" s="255">
        <f t="shared" si="41"/>
        <v>632</v>
      </c>
      <c r="B634" s="256">
        <v>45253</v>
      </c>
      <c r="C634" s="257">
        <v>302.07012300000002</v>
      </c>
      <c r="D634" s="258">
        <v>207.77304190419628</v>
      </c>
      <c r="E634" s="257">
        <f t="shared" si="42"/>
        <v>207.77304190419628</v>
      </c>
      <c r="F634" s="263"/>
      <c r="G634" s="190" t="str">
        <f t="shared" si="39"/>
        <v/>
      </c>
      <c r="H634" s="259" t="str">
        <f t="shared" si="40"/>
        <v/>
      </c>
      <c r="I634" s="260"/>
    </row>
    <row r="635" spans="1:9">
      <c r="A635" s="255">
        <f t="shared" si="41"/>
        <v>633</v>
      </c>
      <c r="B635" s="256">
        <v>45254</v>
      </c>
      <c r="C635" s="257">
        <v>259.81835000000001</v>
      </c>
      <c r="D635" s="258">
        <v>207.77304190419628</v>
      </c>
      <c r="E635" s="257">
        <f t="shared" si="42"/>
        <v>207.77304190419628</v>
      </c>
      <c r="F635" s="263"/>
      <c r="G635" s="190" t="str">
        <f t="shared" si="39"/>
        <v/>
      </c>
      <c r="H635" s="259" t="str">
        <f t="shared" si="40"/>
        <v/>
      </c>
      <c r="I635" s="260"/>
    </row>
    <row r="636" spans="1:9">
      <c r="A636" s="255">
        <f t="shared" si="41"/>
        <v>634</v>
      </c>
      <c r="B636" s="256">
        <v>45255</v>
      </c>
      <c r="C636" s="257">
        <v>171.069649</v>
      </c>
      <c r="D636" s="258">
        <v>207.77304190419628</v>
      </c>
      <c r="E636" s="257">
        <f t="shared" si="42"/>
        <v>171.069649</v>
      </c>
      <c r="F636" s="263"/>
      <c r="G636" s="190" t="str">
        <f t="shared" si="39"/>
        <v/>
      </c>
      <c r="H636" s="259" t="str">
        <f t="shared" si="40"/>
        <v/>
      </c>
      <c r="I636" s="260"/>
    </row>
    <row r="637" spans="1:9">
      <c r="A637" s="255">
        <f t="shared" si="41"/>
        <v>635</v>
      </c>
      <c r="B637" s="256">
        <v>45256</v>
      </c>
      <c r="C637" s="257">
        <v>30.735408</v>
      </c>
      <c r="D637" s="258">
        <v>207.77304190419628</v>
      </c>
      <c r="E637" s="257">
        <f t="shared" si="42"/>
        <v>30.735408</v>
      </c>
      <c r="F637" s="263"/>
      <c r="G637" s="190" t="str">
        <f t="shared" si="39"/>
        <v/>
      </c>
      <c r="H637" s="259" t="str">
        <f t="shared" si="40"/>
        <v/>
      </c>
      <c r="I637" s="260"/>
    </row>
    <row r="638" spans="1:9">
      <c r="A638" s="255">
        <f t="shared" si="41"/>
        <v>636</v>
      </c>
      <c r="B638" s="256">
        <v>45257</v>
      </c>
      <c r="C638" s="257">
        <v>201.74135699999999</v>
      </c>
      <c r="D638" s="258">
        <v>207.77304190419628</v>
      </c>
      <c r="E638" s="257">
        <f t="shared" si="42"/>
        <v>201.74135699999999</v>
      </c>
      <c r="F638" s="263"/>
      <c r="G638" s="190" t="str">
        <f t="shared" si="39"/>
        <v/>
      </c>
      <c r="H638" s="259" t="str">
        <f t="shared" si="40"/>
        <v/>
      </c>
      <c r="I638" s="260"/>
    </row>
    <row r="639" spans="1:9">
      <c r="A639" s="255">
        <f t="shared" si="41"/>
        <v>637</v>
      </c>
      <c r="B639" s="256">
        <v>45258</v>
      </c>
      <c r="C639" s="257">
        <v>217.51213000000001</v>
      </c>
      <c r="D639" s="258">
        <v>207.77304190419628</v>
      </c>
      <c r="E639" s="257">
        <f t="shared" si="42"/>
        <v>207.77304190419628</v>
      </c>
      <c r="F639" s="263"/>
      <c r="G639" s="190" t="str">
        <f t="shared" si="39"/>
        <v/>
      </c>
      <c r="H639" s="259" t="str">
        <f t="shared" si="40"/>
        <v/>
      </c>
      <c r="I639" s="260"/>
    </row>
    <row r="640" spans="1:9">
      <c r="A640" s="255">
        <f t="shared" si="41"/>
        <v>638</v>
      </c>
      <c r="B640" s="256">
        <v>45259</v>
      </c>
      <c r="C640" s="257">
        <v>290.59592700000002</v>
      </c>
      <c r="D640" s="258">
        <v>207.77304190419628</v>
      </c>
      <c r="E640" s="257">
        <f t="shared" si="42"/>
        <v>207.77304190419628</v>
      </c>
      <c r="F640" s="263"/>
      <c r="G640" s="190" t="str">
        <f t="shared" si="39"/>
        <v/>
      </c>
      <c r="H640" s="259" t="str">
        <f t="shared" si="40"/>
        <v/>
      </c>
      <c r="I640" s="260"/>
    </row>
    <row r="641" spans="1:9">
      <c r="A641" s="255">
        <f t="shared" si="41"/>
        <v>639</v>
      </c>
      <c r="B641" s="256">
        <v>45260</v>
      </c>
      <c r="C641" s="257">
        <v>285.56621200000001</v>
      </c>
      <c r="D641" s="258">
        <v>207.77304190419628</v>
      </c>
      <c r="E641" s="257">
        <f t="shared" si="42"/>
        <v>207.77304190419628</v>
      </c>
      <c r="F641" s="263"/>
      <c r="G641" s="190" t="str">
        <f t="shared" si="39"/>
        <v/>
      </c>
      <c r="H641" s="259" t="str">
        <f t="shared" si="40"/>
        <v/>
      </c>
      <c r="I641" s="260"/>
    </row>
    <row r="642" spans="1:9">
      <c r="A642" s="255">
        <f t="shared" si="41"/>
        <v>640</v>
      </c>
      <c r="B642" s="256">
        <v>45261</v>
      </c>
      <c r="C642" s="257">
        <v>272.68630400000001</v>
      </c>
      <c r="D642" s="258">
        <v>195.82097441715905</v>
      </c>
      <c r="E642" s="257">
        <f t="shared" si="42"/>
        <v>195.82097441715905</v>
      </c>
      <c r="F642" s="263"/>
      <c r="G642" s="190" t="str">
        <f t="shared" si="39"/>
        <v/>
      </c>
      <c r="H642" s="259" t="str">
        <f t="shared" si="40"/>
        <v/>
      </c>
      <c r="I642" s="260"/>
    </row>
    <row r="643" spans="1:9">
      <c r="A643" s="255">
        <f t="shared" si="41"/>
        <v>641</v>
      </c>
      <c r="B643" s="256">
        <v>45262</v>
      </c>
      <c r="C643" s="257">
        <v>208.15236199999998</v>
      </c>
      <c r="D643" s="258">
        <v>195.82097441715905</v>
      </c>
      <c r="E643" s="257">
        <f t="shared" si="42"/>
        <v>195.82097441715905</v>
      </c>
      <c r="F643" s="263"/>
      <c r="G643" s="190" t="str">
        <f t="shared" ref="G643:G706" si="43">IF(DAY(B643)=15,IF(MONTH(B643)=1,"E",IF(MONTH(B643)=2,"F",IF(MONTH(B643)=3,"M",IF(MONTH(B643)=4,"A",IF(MONTH(B643)=5,"M",IF(MONTH(B643)=6,"J",IF(MONTH(B643)=7,"J",IF(MONTH(B643)=8,"A",IF(MONTH(B643)=9,"S",IF(MONTH(B643)=10,"O",IF(MONTH(B643)=11,"N",IF(MONTH(B643)=12,"D","")))))))))))),"")</f>
        <v/>
      </c>
      <c r="H643" s="259" t="str">
        <f t="shared" ref="H643:H706" si="44">IF(DAY($B643)=15,TEXT(D643,"#,0"),"")</f>
        <v/>
      </c>
      <c r="I643" s="260"/>
    </row>
    <row r="644" spans="1:9">
      <c r="A644" s="255">
        <f t="shared" si="41"/>
        <v>642</v>
      </c>
      <c r="B644" s="256">
        <v>45263</v>
      </c>
      <c r="C644" s="257">
        <v>179.16206299999999</v>
      </c>
      <c r="D644" s="258">
        <v>195.82097441715905</v>
      </c>
      <c r="E644" s="257">
        <f t="shared" si="42"/>
        <v>179.16206299999999</v>
      </c>
      <c r="F644" s="263"/>
      <c r="G644" s="190" t="str">
        <f t="shared" si="43"/>
        <v/>
      </c>
      <c r="H644" s="259" t="str">
        <f t="shared" si="44"/>
        <v/>
      </c>
      <c r="I644" s="260"/>
    </row>
    <row r="645" spans="1:9">
      <c r="A645" s="255">
        <f t="shared" si="41"/>
        <v>643</v>
      </c>
      <c r="B645" s="256">
        <v>45264</v>
      </c>
      <c r="C645" s="257">
        <v>290.76074</v>
      </c>
      <c r="D645" s="258">
        <v>195.82097441715905</v>
      </c>
      <c r="E645" s="257">
        <f t="shared" si="42"/>
        <v>195.82097441715905</v>
      </c>
      <c r="F645" s="263"/>
      <c r="G645" s="190" t="str">
        <f t="shared" si="43"/>
        <v/>
      </c>
      <c r="H645" s="259" t="str">
        <f t="shared" si="44"/>
        <v/>
      </c>
      <c r="I645" s="260"/>
    </row>
    <row r="646" spans="1:9">
      <c r="A646" s="255">
        <f t="shared" si="41"/>
        <v>644</v>
      </c>
      <c r="B646" s="256">
        <v>45265</v>
      </c>
      <c r="C646" s="257">
        <v>117.27066099999999</v>
      </c>
      <c r="D646" s="258">
        <v>195.82097441715905</v>
      </c>
      <c r="E646" s="257">
        <f t="shared" si="42"/>
        <v>117.27066099999999</v>
      </c>
      <c r="F646" s="263"/>
      <c r="G646" s="190" t="str">
        <f t="shared" si="43"/>
        <v/>
      </c>
      <c r="H646" s="259" t="str">
        <f t="shared" si="44"/>
        <v/>
      </c>
      <c r="I646" s="260"/>
    </row>
    <row r="647" spans="1:9">
      <c r="A647" s="255">
        <f t="shared" si="41"/>
        <v>645</v>
      </c>
      <c r="B647" s="256">
        <v>45266</v>
      </c>
      <c r="C647" s="257">
        <v>86.179502000000014</v>
      </c>
      <c r="D647" s="258">
        <v>195.82097441715905</v>
      </c>
      <c r="E647" s="257">
        <f t="shared" si="42"/>
        <v>86.179502000000014</v>
      </c>
      <c r="F647" s="263"/>
      <c r="G647" s="190" t="str">
        <f t="shared" si="43"/>
        <v/>
      </c>
      <c r="H647" s="259" t="str">
        <f t="shared" si="44"/>
        <v/>
      </c>
      <c r="I647" s="260"/>
    </row>
    <row r="648" spans="1:9">
      <c r="A648" s="255">
        <f t="shared" si="41"/>
        <v>646</v>
      </c>
      <c r="B648" s="256">
        <v>45267</v>
      </c>
      <c r="C648" s="257">
        <v>217.38391099999998</v>
      </c>
      <c r="D648" s="258">
        <v>195.82097441715905</v>
      </c>
      <c r="E648" s="257">
        <f t="shared" si="42"/>
        <v>195.82097441715905</v>
      </c>
      <c r="F648" s="263"/>
      <c r="G648" s="190" t="str">
        <f t="shared" si="43"/>
        <v/>
      </c>
      <c r="H648" s="259" t="str">
        <f t="shared" si="44"/>
        <v/>
      </c>
      <c r="I648" s="260"/>
    </row>
    <row r="649" spans="1:9">
      <c r="A649" s="255">
        <f t="shared" si="41"/>
        <v>647</v>
      </c>
      <c r="B649" s="256">
        <v>45268</v>
      </c>
      <c r="C649" s="257">
        <v>336.57010300000002</v>
      </c>
      <c r="D649" s="258">
        <v>195.82097441715905</v>
      </c>
      <c r="E649" s="257">
        <f t="shared" si="42"/>
        <v>195.82097441715905</v>
      </c>
      <c r="F649" s="263"/>
      <c r="G649" s="190" t="str">
        <f t="shared" si="43"/>
        <v/>
      </c>
      <c r="H649" s="259" t="str">
        <f t="shared" si="44"/>
        <v/>
      </c>
      <c r="I649" s="260"/>
    </row>
    <row r="650" spans="1:9">
      <c r="A650" s="255">
        <f t="shared" si="41"/>
        <v>648</v>
      </c>
      <c r="B650" s="256">
        <v>45269</v>
      </c>
      <c r="C650" s="257">
        <v>313.85512699999998</v>
      </c>
      <c r="D650" s="258">
        <v>195.82097441715905</v>
      </c>
      <c r="E650" s="257">
        <f t="shared" si="42"/>
        <v>195.82097441715905</v>
      </c>
      <c r="F650" s="263"/>
      <c r="G650" s="190" t="str">
        <f t="shared" si="43"/>
        <v/>
      </c>
      <c r="H650" s="259" t="str">
        <f t="shared" si="44"/>
        <v/>
      </c>
      <c r="I650" s="260"/>
    </row>
    <row r="651" spans="1:9">
      <c r="A651" s="255">
        <f t="shared" si="41"/>
        <v>649</v>
      </c>
      <c r="B651" s="256">
        <v>45270</v>
      </c>
      <c r="C651" s="257">
        <v>243.31872900000002</v>
      </c>
      <c r="D651" s="258">
        <v>195.82097441715905</v>
      </c>
      <c r="E651" s="257">
        <f t="shared" si="42"/>
        <v>195.82097441715905</v>
      </c>
      <c r="F651" s="263"/>
      <c r="G651" s="190" t="str">
        <f t="shared" si="43"/>
        <v/>
      </c>
      <c r="H651" s="259" t="str">
        <f t="shared" si="44"/>
        <v/>
      </c>
      <c r="I651" s="260"/>
    </row>
    <row r="652" spans="1:9">
      <c r="A652" s="255">
        <f t="shared" si="41"/>
        <v>650</v>
      </c>
      <c r="B652" s="256">
        <v>45271</v>
      </c>
      <c r="C652" s="257">
        <v>250.98701600000001</v>
      </c>
      <c r="D652" s="258">
        <v>195.82097441715905</v>
      </c>
      <c r="E652" s="257">
        <f t="shared" si="42"/>
        <v>195.82097441715905</v>
      </c>
      <c r="F652" s="263"/>
      <c r="G652" s="190" t="str">
        <f t="shared" si="43"/>
        <v/>
      </c>
      <c r="H652" s="259" t="str">
        <f t="shared" si="44"/>
        <v/>
      </c>
      <c r="I652" s="260"/>
    </row>
    <row r="653" spans="1:9">
      <c r="A653" s="255">
        <f t="shared" si="41"/>
        <v>651</v>
      </c>
      <c r="B653" s="256">
        <v>45272</v>
      </c>
      <c r="C653" s="257">
        <v>310.06988299999995</v>
      </c>
      <c r="D653" s="258">
        <v>195.82097441715905</v>
      </c>
      <c r="E653" s="257">
        <f t="shared" si="42"/>
        <v>195.82097441715905</v>
      </c>
      <c r="F653" s="263"/>
      <c r="G653" s="190" t="str">
        <f t="shared" si="43"/>
        <v/>
      </c>
      <c r="H653" s="259" t="str">
        <f t="shared" si="44"/>
        <v/>
      </c>
      <c r="I653" s="260"/>
    </row>
    <row r="654" spans="1:9">
      <c r="A654" s="255">
        <f t="shared" si="41"/>
        <v>652</v>
      </c>
      <c r="B654" s="256">
        <v>45273</v>
      </c>
      <c r="C654" s="257">
        <v>358.63419300000004</v>
      </c>
      <c r="D654" s="258">
        <v>195.82097441715905</v>
      </c>
      <c r="E654" s="257">
        <f t="shared" si="42"/>
        <v>195.82097441715905</v>
      </c>
      <c r="F654" s="263"/>
      <c r="G654" s="190" t="str">
        <f t="shared" si="43"/>
        <v/>
      </c>
      <c r="H654" s="259" t="str">
        <f t="shared" si="44"/>
        <v/>
      </c>
      <c r="I654" s="260"/>
    </row>
    <row r="655" spans="1:9">
      <c r="A655" s="255">
        <f t="shared" si="41"/>
        <v>653</v>
      </c>
      <c r="B655" s="256">
        <v>45274</v>
      </c>
      <c r="C655" s="257">
        <v>293.456637</v>
      </c>
      <c r="D655" s="258">
        <v>195.82097441715905</v>
      </c>
      <c r="E655" s="257">
        <f t="shared" si="42"/>
        <v>195.82097441715905</v>
      </c>
      <c r="F655" s="263"/>
      <c r="G655" s="190" t="str">
        <f t="shared" si="43"/>
        <v/>
      </c>
      <c r="H655" s="259" t="str">
        <f t="shared" si="44"/>
        <v/>
      </c>
      <c r="I655" s="260"/>
    </row>
    <row r="656" spans="1:9">
      <c r="A656" s="255">
        <f t="shared" si="41"/>
        <v>654</v>
      </c>
      <c r="B656" s="256">
        <v>45275</v>
      </c>
      <c r="C656" s="257">
        <v>241.63824300000002</v>
      </c>
      <c r="D656" s="258">
        <v>195.82097441715905</v>
      </c>
      <c r="E656" s="257">
        <f t="shared" si="42"/>
        <v>195.82097441715905</v>
      </c>
      <c r="F656" s="263"/>
      <c r="G656" s="190" t="str">
        <f t="shared" si="43"/>
        <v>D</v>
      </c>
      <c r="H656" s="259" t="str">
        <f t="shared" si="44"/>
        <v>195,8</v>
      </c>
      <c r="I656" s="260"/>
    </row>
    <row r="657" spans="1:9">
      <c r="A657" s="255">
        <f t="shared" si="41"/>
        <v>655</v>
      </c>
      <c r="B657" s="256">
        <v>45276</v>
      </c>
      <c r="C657" s="257">
        <v>117.79346</v>
      </c>
      <c r="D657" s="258">
        <v>195.82097441715905</v>
      </c>
      <c r="E657" s="257">
        <f t="shared" si="42"/>
        <v>117.79346</v>
      </c>
      <c r="F657" s="263"/>
      <c r="G657" s="190" t="str">
        <f t="shared" si="43"/>
        <v/>
      </c>
      <c r="H657" s="259" t="str">
        <f t="shared" si="44"/>
        <v/>
      </c>
      <c r="I657" s="260"/>
    </row>
    <row r="658" spans="1:9">
      <c r="A658" s="255">
        <f t="shared" si="41"/>
        <v>656</v>
      </c>
      <c r="B658" s="256">
        <v>45277</v>
      </c>
      <c r="C658" s="257">
        <v>36.700868999999997</v>
      </c>
      <c r="D658" s="258">
        <v>195.82097441715905</v>
      </c>
      <c r="E658" s="257">
        <f t="shared" si="42"/>
        <v>36.700868999999997</v>
      </c>
      <c r="F658" s="263"/>
      <c r="G658" s="190" t="str">
        <f t="shared" si="43"/>
        <v/>
      </c>
      <c r="H658" s="259" t="str">
        <f t="shared" si="44"/>
        <v/>
      </c>
      <c r="I658" s="260"/>
    </row>
    <row r="659" spans="1:9">
      <c r="A659" s="255">
        <f t="shared" si="41"/>
        <v>657</v>
      </c>
      <c r="B659" s="256">
        <v>45278</v>
      </c>
      <c r="C659" s="257">
        <v>21.168843000000003</v>
      </c>
      <c r="D659" s="258">
        <v>195.82097441715905</v>
      </c>
      <c r="E659" s="257">
        <f t="shared" si="42"/>
        <v>21.168843000000003</v>
      </c>
      <c r="F659" s="263"/>
      <c r="G659" s="190" t="str">
        <f t="shared" si="43"/>
        <v/>
      </c>
      <c r="H659" s="259" t="str">
        <f t="shared" si="44"/>
        <v/>
      </c>
      <c r="I659" s="260"/>
    </row>
    <row r="660" spans="1:9">
      <c r="A660" s="255">
        <f t="shared" si="41"/>
        <v>658</v>
      </c>
      <c r="B660" s="256">
        <v>45279</v>
      </c>
      <c r="C660" s="257">
        <v>100.086298</v>
      </c>
      <c r="D660" s="258">
        <v>195.82097441715905</v>
      </c>
      <c r="E660" s="257">
        <f t="shared" si="42"/>
        <v>100.086298</v>
      </c>
      <c r="F660" s="263"/>
      <c r="G660" s="190" t="str">
        <f t="shared" si="43"/>
        <v/>
      </c>
      <c r="H660" s="259" t="str">
        <f t="shared" si="44"/>
        <v/>
      </c>
      <c r="I660" s="260"/>
    </row>
    <row r="661" spans="1:9">
      <c r="A661" s="255">
        <f t="shared" si="41"/>
        <v>659</v>
      </c>
      <c r="B661" s="256">
        <v>45280</v>
      </c>
      <c r="C661" s="257">
        <v>341.38538800000003</v>
      </c>
      <c r="D661" s="258">
        <v>195.82097441715905</v>
      </c>
      <c r="E661" s="257">
        <f t="shared" si="42"/>
        <v>195.82097441715905</v>
      </c>
      <c r="F661" s="263"/>
      <c r="G661" s="190" t="str">
        <f t="shared" si="43"/>
        <v/>
      </c>
      <c r="H661" s="259" t="str">
        <f t="shared" si="44"/>
        <v/>
      </c>
      <c r="I661" s="260"/>
    </row>
    <row r="662" spans="1:9">
      <c r="A662" s="255">
        <f t="shared" si="41"/>
        <v>660</v>
      </c>
      <c r="B662" s="256">
        <v>45281</v>
      </c>
      <c r="C662" s="257">
        <v>265.60914700000001</v>
      </c>
      <c r="D662" s="258">
        <v>195.82097441715905</v>
      </c>
      <c r="E662" s="257">
        <f t="shared" si="42"/>
        <v>195.82097441715905</v>
      </c>
      <c r="F662" s="263"/>
      <c r="G662" s="190" t="str">
        <f t="shared" si="43"/>
        <v/>
      </c>
      <c r="H662" s="259" t="str">
        <f t="shared" si="44"/>
        <v/>
      </c>
      <c r="I662" s="260"/>
    </row>
    <row r="663" spans="1:9">
      <c r="A663" s="255">
        <f t="shared" ref="A663:A726" si="45">+A662+1</f>
        <v>661</v>
      </c>
      <c r="B663" s="256">
        <v>45282</v>
      </c>
      <c r="C663" s="257">
        <v>259.51865900000001</v>
      </c>
      <c r="D663" s="258">
        <v>195.82097441715905</v>
      </c>
      <c r="E663" s="257">
        <f t="shared" ref="E663:E726" si="46">IF(C663&gt;D663,D663,C663)</f>
        <v>195.82097441715905</v>
      </c>
      <c r="F663" s="263"/>
      <c r="G663" s="190" t="str">
        <f t="shared" si="43"/>
        <v/>
      </c>
      <c r="H663" s="259" t="str">
        <f t="shared" si="44"/>
        <v/>
      </c>
      <c r="I663" s="260"/>
    </row>
    <row r="664" spans="1:9">
      <c r="A664" s="255">
        <f t="shared" si="45"/>
        <v>662</v>
      </c>
      <c r="B664" s="256">
        <v>45283</v>
      </c>
      <c r="C664" s="257">
        <v>186.19649699999999</v>
      </c>
      <c r="D664" s="258">
        <v>195.82097441715905</v>
      </c>
      <c r="E664" s="257">
        <f t="shared" si="46"/>
        <v>186.19649699999999</v>
      </c>
      <c r="F664" s="263"/>
      <c r="G664" s="190" t="str">
        <f t="shared" si="43"/>
        <v/>
      </c>
      <c r="H664" s="259" t="str">
        <f t="shared" si="44"/>
        <v/>
      </c>
      <c r="I664" s="260"/>
    </row>
    <row r="665" spans="1:9">
      <c r="A665" s="255">
        <f t="shared" si="45"/>
        <v>663</v>
      </c>
      <c r="B665" s="256">
        <v>45284</v>
      </c>
      <c r="C665" s="257">
        <v>40.526524999999999</v>
      </c>
      <c r="D665" s="258">
        <v>195.82097441715905</v>
      </c>
      <c r="E665" s="257">
        <f t="shared" si="46"/>
        <v>40.526524999999999</v>
      </c>
      <c r="F665" s="263"/>
      <c r="G665" s="190" t="str">
        <f t="shared" si="43"/>
        <v/>
      </c>
      <c r="H665" s="259" t="str">
        <f t="shared" si="44"/>
        <v/>
      </c>
      <c r="I665" s="260"/>
    </row>
    <row r="666" spans="1:9">
      <c r="A666" s="255">
        <f t="shared" si="45"/>
        <v>664</v>
      </c>
      <c r="B666" s="256">
        <v>45285</v>
      </c>
      <c r="C666" s="257">
        <v>34.68506</v>
      </c>
      <c r="D666" s="258">
        <v>195.82097441715905</v>
      </c>
      <c r="E666" s="257">
        <f t="shared" si="46"/>
        <v>34.68506</v>
      </c>
      <c r="F666" s="263"/>
      <c r="G666" s="190" t="str">
        <f t="shared" si="43"/>
        <v/>
      </c>
      <c r="H666" s="259" t="str">
        <f t="shared" si="44"/>
        <v/>
      </c>
      <c r="I666" s="260"/>
    </row>
    <row r="667" spans="1:9">
      <c r="A667" s="255">
        <f t="shared" si="45"/>
        <v>665</v>
      </c>
      <c r="B667" s="256">
        <v>45286</v>
      </c>
      <c r="C667" s="257">
        <v>55.791398000000001</v>
      </c>
      <c r="D667" s="258">
        <v>195.82097441715905</v>
      </c>
      <c r="E667" s="257">
        <f t="shared" si="46"/>
        <v>55.791398000000001</v>
      </c>
      <c r="F667" s="263"/>
      <c r="G667" s="190" t="str">
        <f t="shared" si="43"/>
        <v/>
      </c>
      <c r="H667" s="259" t="str">
        <f t="shared" si="44"/>
        <v/>
      </c>
      <c r="I667" s="260"/>
    </row>
    <row r="668" spans="1:9">
      <c r="A668" s="255">
        <f t="shared" si="45"/>
        <v>666</v>
      </c>
      <c r="B668" s="256">
        <v>45287</v>
      </c>
      <c r="C668" s="257">
        <v>115.922409</v>
      </c>
      <c r="D668" s="258">
        <v>195.82097441715905</v>
      </c>
      <c r="E668" s="257">
        <f t="shared" si="46"/>
        <v>115.922409</v>
      </c>
      <c r="F668" s="263"/>
      <c r="G668" s="190" t="str">
        <f t="shared" si="43"/>
        <v/>
      </c>
      <c r="H668" s="259" t="str">
        <f t="shared" si="44"/>
        <v/>
      </c>
      <c r="I668" s="260"/>
    </row>
    <row r="669" spans="1:9">
      <c r="A669" s="255">
        <f t="shared" si="45"/>
        <v>667</v>
      </c>
      <c r="B669" s="256">
        <v>45288</v>
      </c>
      <c r="C669" s="257">
        <v>82.692546000000007</v>
      </c>
      <c r="D669" s="258">
        <v>195.82097441715905</v>
      </c>
      <c r="E669" s="257">
        <f t="shared" si="46"/>
        <v>82.692546000000007</v>
      </c>
      <c r="F669" s="263"/>
      <c r="G669" s="190" t="str">
        <f t="shared" si="43"/>
        <v/>
      </c>
      <c r="H669" s="259" t="str">
        <f t="shared" si="44"/>
        <v/>
      </c>
      <c r="I669" s="260"/>
    </row>
    <row r="670" spans="1:9">
      <c r="A670" s="255">
        <f t="shared" si="45"/>
        <v>668</v>
      </c>
      <c r="B670" s="256">
        <v>45289</v>
      </c>
      <c r="C670" s="257">
        <v>38.915436</v>
      </c>
      <c r="D670" s="258">
        <v>195.82097441715905</v>
      </c>
      <c r="E670" s="257">
        <f t="shared" si="46"/>
        <v>38.915436</v>
      </c>
      <c r="F670" s="263"/>
      <c r="G670" s="190" t="str">
        <f t="shared" si="43"/>
        <v/>
      </c>
      <c r="H670" s="259" t="str">
        <f t="shared" si="44"/>
        <v/>
      </c>
      <c r="I670" s="260"/>
    </row>
    <row r="671" spans="1:9">
      <c r="A671" s="255">
        <f t="shared" si="45"/>
        <v>669</v>
      </c>
      <c r="B671" s="256">
        <v>45290</v>
      </c>
      <c r="C671" s="257">
        <v>135.71794500000001</v>
      </c>
      <c r="D671" s="258">
        <v>195.82097441715905</v>
      </c>
      <c r="E671" s="257">
        <f t="shared" si="46"/>
        <v>135.71794500000001</v>
      </c>
      <c r="F671" s="263"/>
      <c r="G671" s="190" t="str">
        <f t="shared" si="43"/>
        <v/>
      </c>
      <c r="H671" s="259" t="str">
        <f t="shared" si="44"/>
        <v/>
      </c>
      <c r="I671" s="260"/>
    </row>
    <row r="672" spans="1:9">
      <c r="A672" s="255">
        <f t="shared" si="45"/>
        <v>670</v>
      </c>
      <c r="B672" s="256">
        <v>45291</v>
      </c>
      <c r="C672" s="257">
        <v>232.51278099999999</v>
      </c>
      <c r="D672" s="258">
        <v>195.82097441715905</v>
      </c>
      <c r="E672" s="257">
        <f t="shared" si="46"/>
        <v>195.82097441715905</v>
      </c>
      <c r="F672" s="263"/>
      <c r="G672" s="190" t="str">
        <f t="shared" si="43"/>
        <v/>
      </c>
      <c r="H672" s="259" t="str">
        <f t="shared" si="44"/>
        <v/>
      </c>
      <c r="I672" s="260"/>
    </row>
    <row r="673" spans="1:9">
      <c r="A673" s="255">
        <f t="shared" si="45"/>
        <v>671</v>
      </c>
      <c r="B673" s="256">
        <v>45292</v>
      </c>
      <c r="C673" s="257">
        <v>159.60731900000002</v>
      </c>
      <c r="D673" s="258">
        <v>226.88280316780788</v>
      </c>
      <c r="E673" s="257">
        <f t="shared" si="46"/>
        <v>159.60731900000002</v>
      </c>
      <c r="F673" s="260">
        <f>YEAR(B673)</f>
        <v>2024</v>
      </c>
      <c r="G673" s="190" t="str">
        <f t="shared" si="43"/>
        <v/>
      </c>
      <c r="H673" s="259" t="str">
        <f t="shared" si="44"/>
        <v/>
      </c>
      <c r="I673" s="260"/>
    </row>
    <row r="674" spans="1:9">
      <c r="A674" s="255">
        <f t="shared" si="45"/>
        <v>672</v>
      </c>
      <c r="B674" s="256">
        <v>45293</v>
      </c>
      <c r="C674" s="257">
        <v>305.489642</v>
      </c>
      <c r="D674" s="258">
        <v>226.88280316780788</v>
      </c>
      <c r="E674" s="257">
        <f t="shared" si="46"/>
        <v>226.88280316780788</v>
      </c>
      <c r="F674" s="263"/>
      <c r="G674" s="190" t="str">
        <f t="shared" si="43"/>
        <v/>
      </c>
      <c r="H674" s="259" t="str">
        <f t="shared" si="44"/>
        <v/>
      </c>
      <c r="I674" s="260"/>
    </row>
    <row r="675" spans="1:9">
      <c r="A675" s="255">
        <f t="shared" si="45"/>
        <v>673</v>
      </c>
      <c r="B675" s="256">
        <v>45294</v>
      </c>
      <c r="C675" s="257">
        <v>282.85366299999998</v>
      </c>
      <c r="D675" s="258">
        <v>226.88280316780788</v>
      </c>
      <c r="E675" s="257">
        <f t="shared" si="46"/>
        <v>226.88280316780788</v>
      </c>
      <c r="F675" s="263"/>
      <c r="G675" s="190" t="str">
        <f t="shared" si="43"/>
        <v/>
      </c>
      <c r="H675" s="259" t="str">
        <f t="shared" si="44"/>
        <v/>
      </c>
      <c r="I675" s="260"/>
    </row>
    <row r="676" spans="1:9">
      <c r="A676" s="255">
        <f t="shared" si="45"/>
        <v>674</v>
      </c>
      <c r="B676" s="256">
        <v>45295</v>
      </c>
      <c r="C676" s="257">
        <v>137.70837299999999</v>
      </c>
      <c r="D676" s="258">
        <v>226.88280316780788</v>
      </c>
      <c r="E676" s="257">
        <f t="shared" si="46"/>
        <v>137.70837299999999</v>
      </c>
      <c r="F676" s="263"/>
      <c r="G676" s="190" t="str">
        <f t="shared" si="43"/>
        <v/>
      </c>
      <c r="H676" s="259" t="str">
        <f t="shared" si="44"/>
        <v/>
      </c>
      <c r="I676" s="260"/>
    </row>
    <row r="677" spans="1:9">
      <c r="A677" s="255">
        <f t="shared" si="45"/>
        <v>675</v>
      </c>
      <c r="B677" s="256">
        <v>45296</v>
      </c>
      <c r="C677" s="257">
        <v>304.50604700000002</v>
      </c>
      <c r="D677" s="258">
        <v>226.88280316780788</v>
      </c>
      <c r="E677" s="257">
        <f t="shared" si="46"/>
        <v>226.88280316780788</v>
      </c>
      <c r="F677" s="263"/>
      <c r="G677" s="190" t="str">
        <f t="shared" si="43"/>
        <v/>
      </c>
      <c r="H677" s="259" t="str">
        <f t="shared" si="44"/>
        <v/>
      </c>
      <c r="I677" s="260"/>
    </row>
    <row r="678" spans="1:9">
      <c r="A678" s="255">
        <f t="shared" si="45"/>
        <v>676</v>
      </c>
      <c r="B678" s="256">
        <v>45297</v>
      </c>
      <c r="C678" s="257">
        <v>312.16548199999994</v>
      </c>
      <c r="D678" s="258">
        <v>226.88280316780788</v>
      </c>
      <c r="E678" s="257">
        <f t="shared" si="46"/>
        <v>226.88280316780788</v>
      </c>
      <c r="F678" s="263"/>
      <c r="G678" s="190" t="str">
        <f t="shared" si="43"/>
        <v/>
      </c>
      <c r="H678" s="259" t="str">
        <f t="shared" si="44"/>
        <v/>
      </c>
      <c r="I678" s="260"/>
    </row>
    <row r="679" spans="1:9">
      <c r="A679" s="255">
        <f t="shared" si="45"/>
        <v>677</v>
      </c>
      <c r="B679" s="256">
        <v>45298</v>
      </c>
      <c r="C679" s="257">
        <v>264.33054299999998</v>
      </c>
      <c r="D679" s="258">
        <v>226.88280316780788</v>
      </c>
      <c r="E679" s="257">
        <f t="shared" si="46"/>
        <v>226.88280316780788</v>
      </c>
      <c r="F679" s="263"/>
      <c r="G679" s="190" t="str">
        <f t="shared" si="43"/>
        <v/>
      </c>
      <c r="H679" s="259" t="str">
        <f t="shared" si="44"/>
        <v/>
      </c>
      <c r="I679" s="260"/>
    </row>
    <row r="680" spans="1:9">
      <c r="A680" s="255">
        <f t="shared" si="45"/>
        <v>678</v>
      </c>
      <c r="B680" s="256">
        <v>45299</v>
      </c>
      <c r="C680" s="257">
        <v>193.81571499999998</v>
      </c>
      <c r="D680" s="258">
        <v>226.88280316780788</v>
      </c>
      <c r="E680" s="257">
        <f t="shared" si="46"/>
        <v>193.81571499999998</v>
      </c>
      <c r="F680" s="263"/>
      <c r="G680" s="190" t="str">
        <f t="shared" si="43"/>
        <v/>
      </c>
      <c r="H680" s="259" t="str">
        <f t="shared" si="44"/>
        <v/>
      </c>
      <c r="I680" s="260"/>
    </row>
    <row r="681" spans="1:9">
      <c r="A681" s="255">
        <f t="shared" si="45"/>
        <v>679</v>
      </c>
      <c r="B681" s="256">
        <v>45300</v>
      </c>
      <c r="C681" s="257">
        <v>24.501615000000001</v>
      </c>
      <c r="D681" s="258">
        <v>226.88280316780788</v>
      </c>
      <c r="E681" s="257">
        <f t="shared" si="46"/>
        <v>24.501615000000001</v>
      </c>
      <c r="F681" s="263"/>
      <c r="G681" s="190" t="str">
        <f t="shared" si="43"/>
        <v/>
      </c>
      <c r="H681" s="259" t="str">
        <f t="shared" si="44"/>
        <v/>
      </c>
      <c r="I681" s="260"/>
    </row>
    <row r="682" spans="1:9">
      <c r="A682" s="255">
        <f t="shared" si="45"/>
        <v>680</v>
      </c>
      <c r="B682" s="256">
        <v>45301</v>
      </c>
      <c r="C682" s="257">
        <v>90.165134000000009</v>
      </c>
      <c r="D682" s="258">
        <v>226.88280316780788</v>
      </c>
      <c r="E682" s="257">
        <f t="shared" si="46"/>
        <v>90.165134000000009</v>
      </c>
      <c r="F682" s="263"/>
      <c r="G682" s="190" t="str">
        <f t="shared" si="43"/>
        <v/>
      </c>
      <c r="H682" s="259" t="str">
        <f t="shared" si="44"/>
        <v/>
      </c>
      <c r="I682" s="260"/>
    </row>
    <row r="683" spans="1:9">
      <c r="A683" s="255">
        <f t="shared" si="45"/>
        <v>681</v>
      </c>
      <c r="B683" s="256">
        <v>45302</v>
      </c>
      <c r="C683" s="257">
        <v>145.66655799999998</v>
      </c>
      <c r="D683" s="258">
        <v>226.88280316780788</v>
      </c>
      <c r="E683" s="257">
        <f t="shared" si="46"/>
        <v>145.66655799999998</v>
      </c>
      <c r="F683" s="263"/>
      <c r="G683" s="190" t="str">
        <f t="shared" si="43"/>
        <v/>
      </c>
      <c r="H683" s="259" t="str">
        <f t="shared" si="44"/>
        <v/>
      </c>
      <c r="I683" s="260"/>
    </row>
    <row r="684" spans="1:9">
      <c r="A684" s="255">
        <f t="shared" si="45"/>
        <v>682</v>
      </c>
      <c r="B684" s="256">
        <v>45303</v>
      </c>
      <c r="C684" s="257">
        <v>122.95275599999999</v>
      </c>
      <c r="D684" s="258">
        <v>226.88280316780788</v>
      </c>
      <c r="E684" s="257">
        <f t="shared" si="46"/>
        <v>122.95275599999999</v>
      </c>
      <c r="F684" s="263"/>
      <c r="G684" s="190" t="str">
        <f t="shared" si="43"/>
        <v/>
      </c>
      <c r="H684" s="259" t="str">
        <f t="shared" si="44"/>
        <v/>
      </c>
      <c r="I684" s="260"/>
    </row>
    <row r="685" spans="1:9">
      <c r="A685" s="255">
        <f t="shared" si="45"/>
        <v>683</v>
      </c>
      <c r="B685" s="256">
        <v>45304</v>
      </c>
      <c r="C685" s="257">
        <v>155.15355400000001</v>
      </c>
      <c r="D685" s="258">
        <v>226.88280316780788</v>
      </c>
      <c r="E685" s="257">
        <f t="shared" si="46"/>
        <v>155.15355400000001</v>
      </c>
      <c r="F685" s="263"/>
      <c r="G685" s="190" t="str">
        <f t="shared" si="43"/>
        <v/>
      </c>
      <c r="H685" s="259" t="str">
        <f t="shared" si="44"/>
        <v/>
      </c>
      <c r="I685" s="260"/>
    </row>
    <row r="686" spans="1:9">
      <c r="A686" s="255">
        <f t="shared" si="45"/>
        <v>684</v>
      </c>
      <c r="B686" s="256">
        <v>45305</v>
      </c>
      <c r="C686" s="257">
        <v>261.16290299999997</v>
      </c>
      <c r="D686" s="258">
        <v>226.88280316780788</v>
      </c>
      <c r="E686" s="257">
        <f t="shared" si="46"/>
        <v>226.88280316780788</v>
      </c>
      <c r="F686" s="263"/>
      <c r="G686" s="190" t="str">
        <f t="shared" si="43"/>
        <v/>
      </c>
      <c r="H686" s="259" t="str">
        <f t="shared" si="44"/>
        <v/>
      </c>
      <c r="I686" s="260"/>
    </row>
    <row r="687" spans="1:9">
      <c r="A687" s="255">
        <f t="shared" si="45"/>
        <v>685</v>
      </c>
      <c r="B687" s="256">
        <v>45306</v>
      </c>
      <c r="C687" s="257">
        <v>261.31560999999999</v>
      </c>
      <c r="D687" s="258">
        <v>226.88280316780788</v>
      </c>
      <c r="E687" s="257">
        <f t="shared" si="46"/>
        <v>226.88280316780788</v>
      </c>
      <c r="F687" s="263"/>
      <c r="G687" s="190" t="str">
        <f t="shared" si="43"/>
        <v>E</v>
      </c>
      <c r="H687" s="259" t="str">
        <f t="shared" si="44"/>
        <v>226,9</v>
      </c>
      <c r="I687" s="260"/>
    </row>
    <row r="688" spans="1:9">
      <c r="A688" s="255">
        <f t="shared" si="45"/>
        <v>686</v>
      </c>
      <c r="B688" s="256">
        <v>45307</v>
      </c>
      <c r="C688" s="257">
        <v>312.65408100000002</v>
      </c>
      <c r="D688" s="258">
        <v>226.88280316780788</v>
      </c>
      <c r="E688" s="257">
        <f t="shared" si="46"/>
        <v>226.88280316780788</v>
      </c>
      <c r="F688" s="263"/>
      <c r="G688" s="190" t="str">
        <f t="shared" si="43"/>
        <v/>
      </c>
      <c r="H688" s="259" t="str">
        <f t="shared" si="44"/>
        <v/>
      </c>
      <c r="I688" s="260"/>
    </row>
    <row r="689" spans="1:9">
      <c r="A689" s="255">
        <f t="shared" si="45"/>
        <v>687</v>
      </c>
      <c r="B689" s="256">
        <v>45308</v>
      </c>
      <c r="C689" s="257">
        <v>414.04449200000005</v>
      </c>
      <c r="D689" s="258">
        <v>226.88280316780788</v>
      </c>
      <c r="E689" s="257">
        <f t="shared" si="46"/>
        <v>226.88280316780788</v>
      </c>
      <c r="F689" s="263"/>
      <c r="G689" s="190" t="str">
        <f t="shared" si="43"/>
        <v/>
      </c>
      <c r="H689" s="259" t="str">
        <f t="shared" si="44"/>
        <v/>
      </c>
      <c r="I689" s="260"/>
    </row>
    <row r="690" spans="1:9">
      <c r="A690" s="255">
        <f t="shared" si="45"/>
        <v>688</v>
      </c>
      <c r="B690" s="256">
        <v>45309</v>
      </c>
      <c r="C690" s="257">
        <v>314.62552699999998</v>
      </c>
      <c r="D690" s="258">
        <v>226.88280316780788</v>
      </c>
      <c r="E690" s="257">
        <f t="shared" si="46"/>
        <v>226.88280316780788</v>
      </c>
      <c r="F690" s="263"/>
      <c r="G690" s="190" t="str">
        <f t="shared" si="43"/>
        <v/>
      </c>
      <c r="H690" s="259" t="str">
        <f t="shared" si="44"/>
        <v/>
      </c>
      <c r="I690" s="260"/>
    </row>
    <row r="691" spans="1:9">
      <c r="A691" s="255">
        <f t="shared" si="45"/>
        <v>689</v>
      </c>
      <c r="B691" s="256">
        <v>45310</v>
      </c>
      <c r="C691" s="257">
        <v>283.75484299999999</v>
      </c>
      <c r="D691" s="258">
        <v>226.88280316780788</v>
      </c>
      <c r="E691" s="257">
        <f t="shared" si="46"/>
        <v>226.88280316780788</v>
      </c>
      <c r="F691" s="263"/>
      <c r="G691" s="190" t="str">
        <f t="shared" si="43"/>
        <v/>
      </c>
      <c r="H691" s="259" t="str">
        <f t="shared" si="44"/>
        <v/>
      </c>
      <c r="I691" s="260"/>
    </row>
    <row r="692" spans="1:9">
      <c r="A692" s="255">
        <f t="shared" si="45"/>
        <v>690</v>
      </c>
      <c r="B692" s="256">
        <v>45311</v>
      </c>
      <c r="C692" s="257">
        <v>128.34716900000001</v>
      </c>
      <c r="D692" s="258">
        <v>226.88280316780788</v>
      </c>
      <c r="E692" s="257">
        <f t="shared" si="46"/>
        <v>128.34716900000001</v>
      </c>
      <c r="F692" s="263"/>
      <c r="G692" s="190" t="str">
        <f t="shared" si="43"/>
        <v/>
      </c>
      <c r="H692" s="259" t="str">
        <f t="shared" si="44"/>
        <v/>
      </c>
      <c r="I692" s="260"/>
    </row>
    <row r="693" spans="1:9">
      <c r="A693" s="255">
        <f t="shared" si="45"/>
        <v>691</v>
      </c>
      <c r="B693" s="256">
        <v>45312</v>
      </c>
      <c r="C693" s="257">
        <v>122.565285</v>
      </c>
      <c r="D693" s="258">
        <v>226.88280316780788</v>
      </c>
      <c r="E693" s="257">
        <f t="shared" si="46"/>
        <v>122.565285</v>
      </c>
      <c r="F693" s="263"/>
      <c r="G693" s="190" t="str">
        <f t="shared" si="43"/>
        <v/>
      </c>
      <c r="H693" s="259" t="str">
        <f t="shared" si="44"/>
        <v/>
      </c>
      <c r="I693" s="260"/>
    </row>
    <row r="694" spans="1:9">
      <c r="A694" s="255">
        <f t="shared" si="45"/>
        <v>692</v>
      </c>
      <c r="B694" s="256">
        <v>45313</v>
      </c>
      <c r="C694" s="257">
        <v>207.38079099999999</v>
      </c>
      <c r="D694" s="258">
        <v>226.88280316780788</v>
      </c>
      <c r="E694" s="257">
        <f t="shared" si="46"/>
        <v>207.38079099999999</v>
      </c>
      <c r="F694" s="263"/>
      <c r="G694" s="190" t="str">
        <f t="shared" si="43"/>
        <v/>
      </c>
      <c r="H694" s="259" t="str">
        <f t="shared" si="44"/>
        <v/>
      </c>
      <c r="I694" s="260"/>
    </row>
    <row r="695" spans="1:9">
      <c r="A695" s="255">
        <f t="shared" si="45"/>
        <v>693</v>
      </c>
      <c r="B695" s="256">
        <v>45314</v>
      </c>
      <c r="C695" s="257">
        <v>126.362179</v>
      </c>
      <c r="D695" s="258">
        <v>226.88280316780788</v>
      </c>
      <c r="E695" s="257">
        <f t="shared" si="46"/>
        <v>126.362179</v>
      </c>
      <c r="F695" s="263"/>
      <c r="G695" s="190" t="str">
        <f t="shared" si="43"/>
        <v/>
      </c>
      <c r="H695" s="259" t="str">
        <f t="shared" si="44"/>
        <v/>
      </c>
      <c r="I695" s="260"/>
    </row>
    <row r="696" spans="1:9">
      <c r="A696" s="255">
        <f t="shared" si="45"/>
        <v>694</v>
      </c>
      <c r="B696" s="256">
        <v>45315</v>
      </c>
      <c r="C696" s="257">
        <v>82.124434999999991</v>
      </c>
      <c r="D696" s="258">
        <v>226.88280316780788</v>
      </c>
      <c r="E696" s="257">
        <f t="shared" si="46"/>
        <v>82.124434999999991</v>
      </c>
      <c r="F696" s="263"/>
      <c r="G696" s="190" t="str">
        <f t="shared" si="43"/>
        <v/>
      </c>
      <c r="H696" s="259" t="str">
        <f t="shared" si="44"/>
        <v/>
      </c>
      <c r="I696" s="260"/>
    </row>
    <row r="697" spans="1:9">
      <c r="A697" s="255">
        <f t="shared" si="45"/>
        <v>695</v>
      </c>
      <c r="B697" s="256">
        <v>45316</v>
      </c>
      <c r="C697" s="257">
        <v>80.573524999999989</v>
      </c>
      <c r="D697" s="258">
        <v>226.88280316780788</v>
      </c>
      <c r="E697" s="257">
        <f t="shared" si="46"/>
        <v>80.573524999999989</v>
      </c>
      <c r="F697" s="263"/>
      <c r="G697" s="190" t="str">
        <f t="shared" si="43"/>
        <v/>
      </c>
      <c r="H697" s="259" t="str">
        <f t="shared" si="44"/>
        <v/>
      </c>
      <c r="I697" s="260"/>
    </row>
    <row r="698" spans="1:9">
      <c r="A698" s="255">
        <f t="shared" si="45"/>
        <v>696</v>
      </c>
      <c r="B698" s="256">
        <v>45317</v>
      </c>
      <c r="C698" s="257">
        <v>44.098828999999995</v>
      </c>
      <c r="D698" s="258">
        <v>226.88280316780788</v>
      </c>
      <c r="E698" s="257">
        <f t="shared" si="46"/>
        <v>44.098828999999995</v>
      </c>
      <c r="F698" s="263"/>
      <c r="G698" s="190" t="str">
        <f t="shared" si="43"/>
        <v/>
      </c>
      <c r="H698" s="259" t="str">
        <f t="shared" si="44"/>
        <v/>
      </c>
      <c r="I698" s="260"/>
    </row>
    <row r="699" spans="1:9">
      <c r="A699" s="255">
        <f t="shared" si="45"/>
        <v>697</v>
      </c>
      <c r="B699" s="256">
        <v>45318</v>
      </c>
      <c r="C699" s="257">
        <v>85.233969999999999</v>
      </c>
      <c r="D699" s="258">
        <v>226.88280316780788</v>
      </c>
      <c r="E699" s="257">
        <f t="shared" si="46"/>
        <v>85.233969999999999</v>
      </c>
      <c r="F699" s="263"/>
      <c r="G699" s="190" t="str">
        <f t="shared" si="43"/>
        <v/>
      </c>
      <c r="H699" s="259" t="str">
        <f t="shared" si="44"/>
        <v/>
      </c>
      <c r="I699" s="260"/>
    </row>
    <row r="700" spans="1:9">
      <c r="A700" s="255">
        <f t="shared" si="45"/>
        <v>698</v>
      </c>
      <c r="B700" s="256">
        <v>45319</v>
      </c>
      <c r="C700" s="257">
        <v>161.50379799999999</v>
      </c>
      <c r="D700" s="258">
        <v>226.88280316780788</v>
      </c>
      <c r="E700" s="257">
        <f t="shared" si="46"/>
        <v>161.50379799999999</v>
      </c>
      <c r="F700" s="263"/>
      <c r="G700" s="190" t="str">
        <f t="shared" si="43"/>
        <v/>
      </c>
      <c r="H700" s="259" t="str">
        <f t="shared" si="44"/>
        <v/>
      </c>
      <c r="I700" s="260"/>
    </row>
    <row r="701" spans="1:9">
      <c r="A701" s="255">
        <f t="shared" si="45"/>
        <v>699</v>
      </c>
      <c r="B701" s="256">
        <v>45320</v>
      </c>
      <c r="C701" s="257">
        <v>136.78900099999998</v>
      </c>
      <c r="D701" s="258">
        <v>226.88280316780788</v>
      </c>
      <c r="E701" s="257">
        <f t="shared" si="46"/>
        <v>136.78900099999998</v>
      </c>
      <c r="F701" s="260"/>
      <c r="G701" s="190" t="str">
        <f t="shared" si="43"/>
        <v/>
      </c>
      <c r="H701" s="259" t="str">
        <f t="shared" si="44"/>
        <v/>
      </c>
      <c r="I701" s="260"/>
    </row>
    <row r="702" spans="1:9">
      <c r="A702" s="255">
        <f t="shared" si="45"/>
        <v>700</v>
      </c>
      <c r="B702" s="256">
        <v>45321</v>
      </c>
      <c r="C702" s="257">
        <v>64.648055999999997</v>
      </c>
      <c r="D702" s="258">
        <v>226.88280316780788</v>
      </c>
      <c r="E702" s="257">
        <f t="shared" si="46"/>
        <v>64.648055999999997</v>
      </c>
      <c r="F702" s="263"/>
      <c r="G702" s="190" t="str">
        <f t="shared" si="43"/>
        <v/>
      </c>
      <c r="H702" s="259" t="str">
        <f t="shared" si="44"/>
        <v/>
      </c>
      <c r="I702" s="260"/>
    </row>
    <row r="703" spans="1:9">
      <c r="A703" s="255">
        <f t="shared" si="45"/>
        <v>701</v>
      </c>
      <c r="B703" s="256">
        <v>45322</v>
      </c>
      <c r="C703" s="257">
        <v>66.609024999999988</v>
      </c>
      <c r="D703" s="258">
        <v>226.88280316780788</v>
      </c>
      <c r="E703" s="257">
        <f t="shared" si="46"/>
        <v>66.609024999999988</v>
      </c>
      <c r="F703" s="263"/>
      <c r="G703" s="190" t="str">
        <f t="shared" si="43"/>
        <v/>
      </c>
      <c r="H703" s="259" t="str">
        <f t="shared" si="44"/>
        <v/>
      </c>
      <c r="I703" s="260"/>
    </row>
    <row r="704" spans="1:9">
      <c r="A704" s="255">
        <f t="shared" si="45"/>
        <v>702</v>
      </c>
      <c r="B704" s="256">
        <v>45323</v>
      </c>
      <c r="C704" s="257">
        <v>159.570932</v>
      </c>
      <c r="D704" s="258">
        <v>217.02516159158938</v>
      </c>
      <c r="E704" s="257">
        <f t="shared" si="46"/>
        <v>159.570932</v>
      </c>
      <c r="F704" s="263"/>
      <c r="G704" s="190" t="str">
        <f t="shared" si="43"/>
        <v/>
      </c>
      <c r="H704" s="259" t="str">
        <f t="shared" si="44"/>
        <v/>
      </c>
      <c r="I704" s="260"/>
    </row>
    <row r="705" spans="1:9">
      <c r="A705" s="255">
        <f t="shared" si="45"/>
        <v>703</v>
      </c>
      <c r="B705" s="256">
        <v>45324</v>
      </c>
      <c r="C705" s="257">
        <v>203.41647500000002</v>
      </c>
      <c r="D705" s="258">
        <v>217.02516159158938</v>
      </c>
      <c r="E705" s="257">
        <f t="shared" si="46"/>
        <v>203.41647500000002</v>
      </c>
      <c r="F705" s="263"/>
      <c r="G705" s="190" t="str">
        <f t="shared" si="43"/>
        <v/>
      </c>
      <c r="H705" s="259" t="str">
        <f t="shared" si="44"/>
        <v/>
      </c>
      <c r="I705" s="260"/>
    </row>
    <row r="706" spans="1:9">
      <c r="A706" s="255">
        <f t="shared" si="45"/>
        <v>704</v>
      </c>
      <c r="B706" s="256">
        <v>45325</v>
      </c>
      <c r="C706" s="257">
        <v>75.142522999999997</v>
      </c>
      <c r="D706" s="258">
        <v>217.02516159158938</v>
      </c>
      <c r="E706" s="257">
        <f t="shared" si="46"/>
        <v>75.142522999999997</v>
      </c>
      <c r="F706" s="263"/>
      <c r="G706" s="190" t="str">
        <f t="shared" si="43"/>
        <v/>
      </c>
      <c r="H706" s="259" t="str">
        <f t="shared" si="44"/>
        <v/>
      </c>
      <c r="I706" s="260"/>
    </row>
    <row r="707" spans="1:9">
      <c r="A707" s="255">
        <f t="shared" si="45"/>
        <v>705</v>
      </c>
      <c r="B707" s="256">
        <v>45326</v>
      </c>
      <c r="C707" s="257">
        <v>28.402622000000001</v>
      </c>
      <c r="D707" s="258">
        <v>217.02516159158938</v>
      </c>
      <c r="E707" s="257">
        <f t="shared" si="46"/>
        <v>28.402622000000001</v>
      </c>
      <c r="F707" s="263"/>
      <c r="G707" s="190" t="str">
        <f t="shared" ref="G707:G760" si="47">IF(DAY(B707)=15,IF(MONTH(B707)=1,"E",IF(MONTH(B707)=2,"F",IF(MONTH(B707)=3,"M",IF(MONTH(B707)=4,"A",IF(MONTH(B707)=5,"M",IF(MONTH(B707)=6,"J",IF(MONTH(B707)=7,"J",IF(MONTH(B707)=8,"A",IF(MONTH(B707)=9,"S",IF(MONTH(B707)=10,"O",IF(MONTH(B707)=11,"N",IF(MONTH(B707)=12,"D","")))))))))))),"")</f>
        <v/>
      </c>
      <c r="H707" s="259" t="str">
        <f t="shared" ref="H707:H760" si="48">IF(DAY($B707)=15,TEXT(D707,"#,0"),"")</f>
        <v/>
      </c>
      <c r="I707" s="260"/>
    </row>
    <row r="708" spans="1:9">
      <c r="A708" s="255">
        <f t="shared" si="45"/>
        <v>706</v>
      </c>
      <c r="B708" s="256">
        <v>45327</v>
      </c>
      <c r="C708" s="257">
        <v>16.478073000000002</v>
      </c>
      <c r="D708" s="258">
        <v>217.02516159158938</v>
      </c>
      <c r="E708" s="257">
        <f t="shared" si="46"/>
        <v>16.478073000000002</v>
      </c>
      <c r="F708" s="263"/>
      <c r="G708" s="190" t="str">
        <f t="shared" si="47"/>
        <v/>
      </c>
      <c r="H708" s="259" t="str">
        <f t="shared" si="48"/>
        <v/>
      </c>
      <c r="I708" s="260"/>
    </row>
    <row r="709" spans="1:9">
      <c r="A709" s="255">
        <f t="shared" si="45"/>
        <v>707</v>
      </c>
      <c r="B709" s="256">
        <v>45328</v>
      </c>
      <c r="C709" s="257">
        <v>109.887308</v>
      </c>
      <c r="D709" s="258">
        <v>217.02516159158938</v>
      </c>
      <c r="E709" s="257">
        <f t="shared" si="46"/>
        <v>109.887308</v>
      </c>
      <c r="F709" s="263"/>
      <c r="G709" s="190" t="str">
        <f t="shared" si="47"/>
        <v/>
      </c>
      <c r="H709" s="259" t="str">
        <f t="shared" si="48"/>
        <v/>
      </c>
      <c r="I709" s="260"/>
    </row>
    <row r="710" spans="1:9">
      <c r="A710" s="255">
        <f t="shared" si="45"/>
        <v>708</v>
      </c>
      <c r="B710" s="256">
        <v>45329</v>
      </c>
      <c r="C710" s="257">
        <v>287.31665800000002</v>
      </c>
      <c r="D710" s="258">
        <v>217.02516159158938</v>
      </c>
      <c r="E710" s="257">
        <f t="shared" si="46"/>
        <v>217.02516159158938</v>
      </c>
      <c r="F710" s="263"/>
      <c r="G710" s="190" t="str">
        <f t="shared" si="47"/>
        <v/>
      </c>
      <c r="H710" s="259" t="str">
        <f t="shared" si="48"/>
        <v/>
      </c>
      <c r="I710" s="260"/>
    </row>
    <row r="711" spans="1:9">
      <c r="A711" s="255">
        <f t="shared" si="45"/>
        <v>709</v>
      </c>
      <c r="B711" s="256">
        <v>45330</v>
      </c>
      <c r="C711" s="257">
        <v>328.98366800000002</v>
      </c>
      <c r="D711" s="258">
        <v>217.02516159158938</v>
      </c>
      <c r="E711" s="257">
        <f t="shared" si="46"/>
        <v>217.02516159158938</v>
      </c>
      <c r="F711" s="263"/>
      <c r="G711" s="190" t="str">
        <f t="shared" si="47"/>
        <v/>
      </c>
      <c r="H711" s="259" t="str">
        <f t="shared" si="48"/>
        <v/>
      </c>
      <c r="I711" s="260"/>
    </row>
    <row r="712" spans="1:9">
      <c r="A712" s="255">
        <f t="shared" si="45"/>
        <v>710</v>
      </c>
      <c r="B712" s="256">
        <v>45331</v>
      </c>
      <c r="C712" s="257">
        <v>321.94141300000001</v>
      </c>
      <c r="D712" s="258">
        <v>217.02516159158938</v>
      </c>
      <c r="E712" s="257">
        <f t="shared" si="46"/>
        <v>217.02516159158938</v>
      </c>
      <c r="F712" s="263"/>
      <c r="G712" s="190" t="str">
        <f t="shared" si="47"/>
        <v/>
      </c>
      <c r="H712" s="259" t="str">
        <f t="shared" si="48"/>
        <v/>
      </c>
      <c r="I712" s="260"/>
    </row>
    <row r="713" spans="1:9">
      <c r="A713" s="255">
        <f t="shared" si="45"/>
        <v>711</v>
      </c>
      <c r="B713" s="256">
        <v>45332</v>
      </c>
      <c r="C713" s="257">
        <v>394.74208199999998</v>
      </c>
      <c r="D713" s="258">
        <v>217.02516159158938</v>
      </c>
      <c r="E713" s="257">
        <f t="shared" si="46"/>
        <v>217.02516159158938</v>
      </c>
      <c r="F713" s="263"/>
      <c r="G713" s="190" t="str">
        <f t="shared" si="47"/>
        <v/>
      </c>
      <c r="H713" s="259" t="str">
        <f t="shared" si="48"/>
        <v/>
      </c>
      <c r="I713" s="260"/>
    </row>
    <row r="714" spans="1:9">
      <c r="A714" s="255">
        <f t="shared" si="45"/>
        <v>712</v>
      </c>
      <c r="B714" s="256">
        <v>45333</v>
      </c>
      <c r="C714" s="257">
        <v>308.47854099999995</v>
      </c>
      <c r="D714" s="258">
        <v>217.02516159158938</v>
      </c>
      <c r="E714" s="257">
        <f t="shared" si="46"/>
        <v>217.02516159158938</v>
      </c>
      <c r="F714" s="263"/>
      <c r="G714" s="190" t="str">
        <f t="shared" si="47"/>
        <v/>
      </c>
      <c r="H714" s="259" t="str">
        <f t="shared" si="48"/>
        <v/>
      </c>
      <c r="I714" s="260"/>
    </row>
    <row r="715" spans="1:9">
      <c r="A715" s="255">
        <f t="shared" si="45"/>
        <v>713</v>
      </c>
      <c r="B715" s="256">
        <v>45334</v>
      </c>
      <c r="C715" s="257">
        <v>326.069345</v>
      </c>
      <c r="D715" s="258">
        <v>217.02516159158938</v>
      </c>
      <c r="E715" s="257">
        <f t="shared" si="46"/>
        <v>217.02516159158938</v>
      </c>
      <c r="F715" s="263"/>
      <c r="G715" s="190" t="str">
        <f t="shared" si="47"/>
        <v/>
      </c>
      <c r="H715" s="259" t="str">
        <f t="shared" si="48"/>
        <v/>
      </c>
      <c r="I715" s="260"/>
    </row>
    <row r="716" spans="1:9">
      <c r="A716" s="255">
        <f t="shared" si="45"/>
        <v>714</v>
      </c>
      <c r="B716" s="256">
        <v>45335</v>
      </c>
      <c r="C716" s="257">
        <v>168.00345800000002</v>
      </c>
      <c r="D716" s="258">
        <v>217.02516159158938</v>
      </c>
      <c r="E716" s="257">
        <f t="shared" si="46"/>
        <v>168.00345800000002</v>
      </c>
      <c r="F716" s="263"/>
      <c r="G716" s="190" t="str">
        <f t="shared" si="47"/>
        <v/>
      </c>
      <c r="H716" s="259" t="str">
        <f t="shared" si="48"/>
        <v/>
      </c>
      <c r="I716" s="260"/>
    </row>
    <row r="717" spans="1:9">
      <c r="A717" s="255">
        <f t="shared" si="45"/>
        <v>715</v>
      </c>
      <c r="B717" s="256">
        <v>45336</v>
      </c>
      <c r="C717" s="257">
        <v>158.361592</v>
      </c>
      <c r="D717" s="258">
        <v>217.02516159158938</v>
      </c>
      <c r="E717" s="257">
        <f t="shared" si="46"/>
        <v>158.361592</v>
      </c>
      <c r="F717" s="263"/>
      <c r="G717" s="190" t="str">
        <f t="shared" si="47"/>
        <v/>
      </c>
      <c r="H717" s="259" t="str">
        <f t="shared" si="48"/>
        <v/>
      </c>
      <c r="I717" s="260"/>
    </row>
    <row r="718" spans="1:9">
      <c r="A718" s="255">
        <f t="shared" si="45"/>
        <v>716</v>
      </c>
      <c r="B718" s="256">
        <v>45337</v>
      </c>
      <c r="C718" s="257">
        <v>247.67963900000001</v>
      </c>
      <c r="D718" s="258">
        <v>217.02516159158938</v>
      </c>
      <c r="E718" s="257">
        <f t="shared" si="46"/>
        <v>217.02516159158938</v>
      </c>
      <c r="F718" s="263"/>
      <c r="G718" s="190" t="str">
        <f t="shared" si="47"/>
        <v>F</v>
      </c>
      <c r="H718" s="259" t="str">
        <f t="shared" si="48"/>
        <v>217,0</v>
      </c>
      <c r="I718" s="260"/>
    </row>
    <row r="719" spans="1:9">
      <c r="A719" s="255">
        <f t="shared" si="45"/>
        <v>717</v>
      </c>
      <c r="B719" s="256">
        <v>45338</v>
      </c>
      <c r="C719" s="257">
        <v>234.71115799999998</v>
      </c>
      <c r="D719" s="258">
        <v>217.02516159158938</v>
      </c>
      <c r="E719" s="257">
        <f t="shared" si="46"/>
        <v>217.02516159158938</v>
      </c>
      <c r="F719" s="263"/>
      <c r="G719" s="190" t="str">
        <f t="shared" si="47"/>
        <v/>
      </c>
      <c r="H719" s="259" t="str">
        <f t="shared" si="48"/>
        <v/>
      </c>
      <c r="I719" s="260"/>
    </row>
    <row r="720" spans="1:9">
      <c r="A720" s="255">
        <f t="shared" si="45"/>
        <v>718</v>
      </c>
      <c r="B720" s="256">
        <v>45339</v>
      </c>
      <c r="C720" s="257">
        <v>145.812714</v>
      </c>
      <c r="D720" s="258">
        <v>217.02516159158938</v>
      </c>
      <c r="E720" s="257">
        <f t="shared" si="46"/>
        <v>145.812714</v>
      </c>
      <c r="F720" s="263"/>
      <c r="G720" s="190" t="str">
        <f t="shared" si="47"/>
        <v/>
      </c>
      <c r="H720" s="259" t="str">
        <f t="shared" si="48"/>
        <v/>
      </c>
      <c r="I720" s="260"/>
    </row>
    <row r="721" spans="1:9">
      <c r="A721" s="255">
        <f t="shared" si="45"/>
        <v>719</v>
      </c>
      <c r="B721" s="256">
        <v>45340</v>
      </c>
      <c r="C721" s="257">
        <v>94.996506999999994</v>
      </c>
      <c r="D721" s="258">
        <v>217.02516159158938</v>
      </c>
      <c r="E721" s="257">
        <f t="shared" si="46"/>
        <v>94.996506999999994</v>
      </c>
      <c r="F721" s="263"/>
      <c r="G721" s="190" t="str">
        <f t="shared" si="47"/>
        <v/>
      </c>
      <c r="H721" s="259" t="str">
        <f t="shared" si="48"/>
        <v/>
      </c>
      <c r="I721" s="260"/>
    </row>
    <row r="722" spans="1:9">
      <c r="A722" s="255">
        <f t="shared" si="45"/>
        <v>720</v>
      </c>
      <c r="B722" s="256">
        <v>45341</v>
      </c>
      <c r="C722" s="257">
        <v>220.27656200000001</v>
      </c>
      <c r="D722" s="258">
        <v>217.02516159158938</v>
      </c>
      <c r="E722" s="257">
        <f t="shared" si="46"/>
        <v>217.02516159158938</v>
      </c>
      <c r="F722" s="263"/>
      <c r="G722" s="190" t="str">
        <f t="shared" si="47"/>
        <v/>
      </c>
      <c r="H722" s="259" t="str">
        <f t="shared" si="48"/>
        <v/>
      </c>
      <c r="I722" s="260"/>
    </row>
    <row r="723" spans="1:9">
      <c r="A723" s="255">
        <f t="shared" si="45"/>
        <v>721</v>
      </c>
      <c r="B723" s="256">
        <v>45342</v>
      </c>
      <c r="C723" s="257">
        <v>147.89119399999998</v>
      </c>
      <c r="D723" s="258">
        <v>217.02516159158938</v>
      </c>
      <c r="E723" s="257">
        <f t="shared" si="46"/>
        <v>147.89119399999998</v>
      </c>
      <c r="F723" s="263"/>
      <c r="G723" s="190" t="str">
        <f t="shared" si="47"/>
        <v/>
      </c>
      <c r="H723" s="259" t="str">
        <f t="shared" si="48"/>
        <v/>
      </c>
      <c r="I723" s="260"/>
    </row>
    <row r="724" spans="1:9">
      <c r="A724" s="255">
        <f t="shared" si="45"/>
        <v>722</v>
      </c>
      <c r="B724" s="256">
        <v>45343</v>
      </c>
      <c r="C724" s="257">
        <v>141.72768400000001</v>
      </c>
      <c r="D724" s="258">
        <v>217.02516159158938</v>
      </c>
      <c r="E724" s="257">
        <f t="shared" si="46"/>
        <v>141.72768400000001</v>
      </c>
      <c r="F724" s="263"/>
      <c r="G724" s="190" t="str">
        <f t="shared" si="47"/>
        <v/>
      </c>
      <c r="H724" s="259" t="str">
        <f t="shared" si="48"/>
        <v/>
      </c>
      <c r="I724" s="260"/>
    </row>
    <row r="725" spans="1:9">
      <c r="A725" s="255">
        <f t="shared" si="45"/>
        <v>723</v>
      </c>
      <c r="B725" s="256">
        <v>45344</v>
      </c>
      <c r="C725" s="257">
        <v>375.53033899999997</v>
      </c>
      <c r="D725" s="258">
        <v>217.02516159158938</v>
      </c>
      <c r="E725" s="257">
        <f t="shared" si="46"/>
        <v>217.02516159158938</v>
      </c>
      <c r="F725" s="263"/>
      <c r="G725" s="190" t="str">
        <f t="shared" si="47"/>
        <v/>
      </c>
      <c r="H725" s="259" t="str">
        <f t="shared" si="48"/>
        <v/>
      </c>
      <c r="I725" s="260"/>
    </row>
    <row r="726" spans="1:9">
      <c r="A726" s="255">
        <f t="shared" si="45"/>
        <v>724</v>
      </c>
      <c r="B726" s="256">
        <v>45345</v>
      </c>
      <c r="C726" s="257">
        <v>391.22846600000003</v>
      </c>
      <c r="D726" s="258">
        <v>217.02516159158938</v>
      </c>
      <c r="E726" s="257">
        <f t="shared" si="46"/>
        <v>217.02516159158938</v>
      </c>
      <c r="F726" s="263"/>
      <c r="G726" s="190" t="str">
        <f t="shared" si="47"/>
        <v/>
      </c>
      <c r="H726" s="259" t="str">
        <f t="shared" si="48"/>
        <v/>
      </c>
      <c r="I726" s="260"/>
    </row>
    <row r="727" spans="1:9">
      <c r="A727" s="255">
        <f t="shared" ref="A727:A763" si="49">+A726+1</f>
        <v>725</v>
      </c>
      <c r="B727" s="256">
        <v>45346</v>
      </c>
      <c r="C727" s="257">
        <v>348.254188</v>
      </c>
      <c r="D727" s="258">
        <v>217.02516159158938</v>
      </c>
      <c r="E727" s="257">
        <f t="shared" ref="E727:E760" si="50">IF(C727&gt;D727,D727,C727)</f>
        <v>217.02516159158938</v>
      </c>
      <c r="F727" s="263"/>
      <c r="G727" s="190" t="str">
        <f t="shared" si="47"/>
        <v/>
      </c>
      <c r="H727" s="259" t="str">
        <f t="shared" si="48"/>
        <v/>
      </c>
      <c r="I727" s="260"/>
    </row>
    <row r="728" spans="1:9">
      <c r="A728" s="255">
        <f t="shared" si="49"/>
        <v>726</v>
      </c>
      <c r="B728" s="256">
        <v>45347</v>
      </c>
      <c r="C728" s="257">
        <v>358.702517</v>
      </c>
      <c r="D728" s="258">
        <v>217.02516159158938</v>
      </c>
      <c r="E728" s="257">
        <f t="shared" si="50"/>
        <v>217.02516159158938</v>
      </c>
      <c r="F728" s="263"/>
      <c r="G728" s="190" t="str">
        <f t="shared" si="47"/>
        <v/>
      </c>
      <c r="H728" s="259" t="str">
        <f t="shared" si="48"/>
        <v/>
      </c>
      <c r="I728" s="260"/>
    </row>
    <row r="729" spans="1:9">
      <c r="A729" s="255">
        <f t="shared" si="49"/>
        <v>727</v>
      </c>
      <c r="B729" s="256">
        <v>45348</v>
      </c>
      <c r="C729" s="257">
        <v>369.38583699999998</v>
      </c>
      <c r="D729" s="258">
        <v>217.02516159158938</v>
      </c>
      <c r="E729" s="257">
        <f t="shared" si="50"/>
        <v>217.02516159158938</v>
      </c>
      <c r="F729" s="263"/>
      <c r="G729" s="190" t="str">
        <f t="shared" si="47"/>
        <v/>
      </c>
      <c r="H729" s="259" t="str">
        <f t="shared" si="48"/>
        <v/>
      </c>
      <c r="I729" s="260"/>
    </row>
    <row r="730" spans="1:9">
      <c r="A730" s="255">
        <f t="shared" si="49"/>
        <v>728</v>
      </c>
      <c r="B730" s="256">
        <v>45349</v>
      </c>
      <c r="C730" s="257">
        <v>341.05037099999998</v>
      </c>
      <c r="D730" s="258">
        <v>217.02516159158938</v>
      </c>
      <c r="E730" s="257">
        <f t="shared" si="50"/>
        <v>217.02516159158938</v>
      </c>
      <c r="F730" s="263"/>
      <c r="G730" s="190" t="str">
        <f t="shared" si="47"/>
        <v/>
      </c>
      <c r="H730" s="259" t="str">
        <f t="shared" si="48"/>
        <v/>
      </c>
      <c r="I730" s="260"/>
    </row>
    <row r="731" spans="1:9">
      <c r="A731" s="255">
        <f t="shared" si="49"/>
        <v>729</v>
      </c>
      <c r="B731" s="256">
        <v>45350</v>
      </c>
      <c r="C731" s="257">
        <v>273.71320200000002</v>
      </c>
      <c r="D731" s="258">
        <v>217.02516159158938</v>
      </c>
      <c r="E731" s="257">
        <f t="shared" si="50"/>
        <v>217.02516159158938</v>
      </c>
      <c r="F731" s="263"/>
      <c r="G731" s="190" t="str">
        <f t="shared" si="47"/>
        <v/>
      </c>
      <c r="H731" s="259" t="str">
        <f t="shared" si="48"/>
        <v/>
      </c>
      <c r="I731" s="260"/>
    </row>
    <row r="732" spans="1:9">
      <c r="A732" s="255">
        <f t="shared" si="49"/>
        <v>730</v>
      </c>
      <c r="B732" s="256">
        <v>45351</v>
      </c>
      <c r="C732" s="257">
        <v>282.46823000000001</v>
      </c>
      <c r="D732" s="258">
        <v>217.02516159158938</v>
      </c>
      <c r="E732" s="257">
        <f t="shared" si="50"/>
        <v>217.02516159158938</v>
      </c>
      <c r="F732" s="260"/>
      <c r="G732" s="190" t="str">
        <f t="shared" si="47"/>
        <v/>
      </c>
      <c r="H732" s="259" t="str">
        <f t="shared" si="48"/>
        <v/>
      </c>
      <c r="I732" s="260"/>
    </row>
    <row r="733" spans="1:9">
      <c r="A733" s="255">
        <f t="shared" si="49"/>
        <v>731</v>
      </c>
      <c r="B733" s="256">
        <v>45352</v>
      </c>
      <c r="C733" s="257">
        <v>302.58799700000003</v>
      </c>
      <c r="D733" s="258">
        <v>223.03625876074639</v>
      </c>
      <c r="E733" s="257">
        <f t="shared" si="50"/>
        <v>223.03625876074639</v>
      </c>
      <c r="F733" s="263"/>
      <c r="G733" s="190" t="str">
        <f t="shared" si="47"/>
        <v/>
      </c>
      <c r="H733" s="259" t="str">
        <f t="shared" si="48"/>
        <v/>
      </c>
      <c r="I733" s="260"/>
    </row>
    <row r="734" spans="1:9">
      <c r="A734" s="255">
        <f t="shared" si="49"/>
        <v>732</v>
      </c>
      <c r="B734" s="256">
        <v>45353</v>
      </c>
      <c r="C734" s="257">
        <v>308.47750099999996</v>
      </c>
      <c r="D734" s="258">
        <v>223.03625876074639</v>
      </c>
      <c r="E734" s="257">
        <f t="shared" si="50"/>
        <v>223.03625876074639</v>
      </c>
      <c r="F734" s="263"/>
      <c r="G734" s="190" t="str">
        <f t="shared" si="47"/>
        <v/>
      </c>
      <c r="H734" s="259" t="str">
        <f t="shared" si="48"/>
        <v/>
      </c>
      <c r="I734" s="260"/>
    </row>
    <row r="735" spans="1:9">
      <c r="A735" s="255">
        <f t="shared" si="49"/>
        <v>733</v>
      </c>
      <c r="B735" s="256">
        <v>45354</v>
      </c>
      <c r="C735" s="257">
        <v>274.92086799999998</v>
      </c>
      <c r="D735" s="258">
        <v>223.03625876074639</v>
      </c>
      <c r="E735" s="257">
        <f t="shared" si="50"/>
        <v>223.03625876074639</v>
      </c>
      <c r="F735" s="263"/>
      <c r="G735" s="190" t="str">
        <f t="shared" si="47"/>
        <v/>
      </c>
      <c r="H735" s="259" t="str">
        <f t="shared" si="48"/>
        <v/>
      </c>
      <c r="I735" s="260"/>
    </row>
    <row r="736" spans="1:9">
      <c r="A736" s="255">
        <f t="shared" si="49"/>
        <v>734</v>
      </c>
      <c r="B736" s="256">
        <v>45355</v>
      </c>
      <c r="C736" s="257">
        <v>304.23699199999999</v>
      </c>
      <c r="D736" s="258">
        <v>223.03625876074639</v>
      </c>
      <c r="E736" s="257">
        <f t="shared" si="50"/>
        <v>223.03625876074639</v>
      </c>
      <c r="F736" s="263"/>
      <c r="G736" s="190" t="str">
        <f t="shared" si="47"/>
        <v/>
      </c>
      <c r="H736" s="259" t="str">
        <f t="shared" si="48"/>
        <v/>
      </c>
      <c r="I736" s="260"/>
    </row>
    <row r="737" spans="1:9">
      <c r="A737" s="255">
        <f t="shared" si="49"/>
        <v>735</v>
      </c>
      <c r="B737" s="256">
        <v>45356</v>
      </c>
      <c r="C737" s="257">
        <v>142.24659299999999</v>
      </c>
      <c r="D737" s="258">
        <v>223.03625876074639</v>
      </c>
      <c r="E737" s="257">
        <f t="shared" si="50"/>
        <v>142.24659299999999</v>
      </c>
      <c r="F737" s="263"/>
      <c r="G737" s="190" t="str">
        <f t="shared" si="47"/>
        <v/>
      </c>
      <c r="H737" s="259" t="str">
        <f t="shared" si="48"/>
        <v/>
      </c>
      <c r="I737" s="260"/>
    </row>
    <row r="738" spans="1:9">
      <c r="A738" s="255">
        <f t="shared" si="49"/>
        <v>736</v>
      </c>
      <c r="B738" s="256">
        <v>45357</v>
      </c>
      <c r="C738" s="257">
        <v>73.999161999999998</v>
      </c>
      <c r="D738" s="258">
        <v>223.03625876074639</v>
      </c>
      <c r="E738" s="257">
        <f t="shared" si="50"/>
        <v>73.999161999999998</v>
      </c>
      <c r="F738" s="263"/>
      <c r="G738" s="190" t="str">
        <f t="shared" si="47"/>
        <v/>
      </c>
      <c r="H738" s="259" t="str">
        <f t="shared" si="48"/>
        <v/>
      </c>
      <c r="I738" s="260"/>
    </row>
    <row r="739" spans="1:9">
      <c r="A739" s="255">
        <f t="shared" si="49"/>
        <v>737</v>
      </c>
      <c r="B739" s="256">
        <v>45358</v>
      </c>
      <c r="C739" s="257">
        <v>288.50652500000001</v>
      </c>
      <c r="D739" s="258">
        <v>223.03625876074639</v>
      </c>
      <c r="E739" s="257">
        <f t="shared" si="50"/>
        <v>223.03625876074639</v>
      </c>
      <c r="F739" s="263"/>
      <c r="G739" s="190" t="str">
        <f t="shared" si="47"/>
        <v/>
      </c>
      <c r="H739" s="259" t="str">
        <f t="shared" si="48"/>
        <v/>
      </c>
      <c r="I739" s="260"/>
    </row>
    <row r="740" spans="1:9">
      <c r="A740" s="255">
        <f t="shared" si="49"/>
        <v>738</v>
      </c>
      <c r="B740" s="256">
        <v>45359</v>
      </c>
      <c r="C740" s="257">
        <v>299.56948600000004</v>
      </c>
      <c r="D740" s="258">
        <v>223.03625876074639</v>
      </c>
      <c r="E740" s="257">
        <f t="shared" si="50"/>
        <v>223.03625876074639</v>
      </c>
      <c r="F740" s="263"/>
      <c r="G740" s="190" t="str">
        <f t="shared" si="47"/>
        <v/>
      </c>
      <c r="H740" s="259" t="str">
        <f t="shared" si="48"/>
        <v/>
      </c>
      <c r="I740" s="260"/>
    </row>
    <row r="741" spans="1:9">
      <c r="A741" s="255">
        <f t="shared" si="49"/>
        <v>739</v>
      </c>
      <c r="B741" s="256">
        <v>45360</v>
      </c>
      <c r="C741" s="257">
        <v>291.02707799999996</v>
      </c>
      <c r="D741" s="258">
        <v>223.03625876074639</v>
      </c>
      <c r="E741" s="257">
        <f t="shared" si="50"/>
        <v>223.03625876074639</v>
      </c>
      <c r="F741" s="263"/>
      <c r="G741" s="190" t="str">
        <f t="shared" si="47"/>
        <v/>
      </c>
      <c r="H741" s="259" t="str">
        <f t="shared" si="48"/>
        <v/>
      </c>
      <c r="I741" s="260"/>
    </row>
    <row r="742" spans="1:9">
      <c r="A742" s="255">
        <f t="shared" si="49"/>
        <v>740</v>
      </c>
      <c r="B742" s="256">
        <v>45361</v>
      </c>
      <c r="C742" s="257">
        <v>247.33821599999999</v>
      </c>
      <c r="D742" s="258">
        <v>223.03625876074639</v>
      </c>
      <c r="E742" s="257">
        <f t="shared" si="50"/>
        <v>223.03625876074639</v>
      </c>
      <c r="F742" s="263"/>
      <c r="G742" s="190" t="str">
        <f t="shared" si="47"/>
        <v/>
      </c>
      <c r="H742" s="259" t="str">
        <f t="shared" si="48"/>
        <v/>
      </c>
      <c r="I742" s="260"/>
    </row>
    <row r="743" spans="1:9">
      <c r="A743" s="255">
        <f t="shared" si="49"/>
        <v>741</v>
      </c>
      <c r="B743" s="256">
        <v>45362</v>
      </c>
      <c r="C743" s="257">
        <v>232.651847</v>
      </c>
      <c r="D743" s="258">
        <v>223.03625876074639</v>
      </c>
      <c r="E743" s="257">
        <f t="shared" si="50"/>
        <v>223.03625876074639</v>
      </c>
      <c r="F743" s="263"/>
      <c r="G743" s="190" t="str">
        <f t="shared" si="47"/>
        <v/>
      </c>
      <c r="H743" s="259" t="str">
        <f t="shared" si="48"/>
        <v/>
      </c>
      <c r="I743" s="260"/>
    </row>
    <row r="744" spans="1:9">
      <c r="A744" s="255">
        <f t="shared" si="49"/>
        <v>742</v>
      </c>
      <c r="B744" s="256">
        <v>45363</v>
      </c>
      <c r="C744" s="257">
        <v>92.806984999999997</v>
      </c>
      <c r="D744" s="258">
        <v>223.03625876074639</v>
      </c>
      <c r="E744" s="257">
        <f t="shared" si="50"/>
        <v>92.806984999999997</v>
      </c>
      <c r="F744" s="263"/>
      <c r="G744" s="190" t="str">
        <f t="shared" si="47"/>
        <v/>
      </c>
      <c r="H744" s="259" t="str">
        <f t="shared" si="48"/>
        <v/>
      </c>
      <c r="I744" s="260"/>
    </row>
    <row r="745" spans="1:9">
      <c r="A745" s="255">
        <f t="shared" si="49"/>
        <v>743</v>
      </c>
      <c r="B745" s="256">
        <v>45364</v>
      </c>
      <c r="C745" s="257">
        <v>77.202893000000003</v>
      </c>
      <c r="D745" s="258">
        <v>223.03625876074639</v>
      </c>
      <c r="E745" s="257">
        <f t="shared" si="50"/>
        <v>77.202893000000003</v>
      </c>
      <c r="F745" s="263"/>
      <c r="G745" s="190" t="str">
        <f t="shared" si="47"/>
        <v/>
      </c>
      <c r="H745" s="259" t="str">
        <f t="shared" si="48"/>
        <v/>
      </c>
      <c r="I745" s="260"/>
    </row>
    <row r="746" spans="1:9">
      <c r="A746" s="255">
        <f t="shared" si="49"/>
        <v>744</v>
      </c>
      <c r="B746" s="256">
        <v>45365</v>
      </c>
      <c r="C746" s="257">
        <v>155.45879300000001</v>
      </c>
      <c r="D746" s="258">
        <v>223.03625876074639</v>
      </c>
      <c r="E746" s="257">
        <f t="shared" si="50"/>
        <v>155.45879300000001</v>
      </c>
      <c r="F746" s="263"/>
      <c r="G746" s="190" t="str">
        <f t="shared" si="47"/>
        <v/>
      </c>
      <c r="H746" s="259" t="str">
        <f t="shared" si="48"/>
        <v/>
      </c>
      <c r="I746" s="260"/>
    </row>
    <row r="747" spans="1:9">
      <c r="A747" s="255">
        <f t="shared" si="49"/>
        <v>745</v>
      </c>
      <c r="B747" s="256">
        <v>45366</v>
      </c>
      <c r="C747" s="257">
        <v>123.792081</v>
      </c>
      <c r="D747" s="258">
        <v>223.03625876074639</v>
      </c>
      <c r="E747" s="257">
        <f t="shared" si="50"/>
        <v>123.792081</v>
      </c>
      <c r="F747" s="263"/>
      <c r="G747" s="190" t="str">
        <f t="shared" si="47"/>
        <v>M</v>
      </c>
      <c r="H747" s="259" t="str">
        <f t="shared" si="48"/>
        <v>223,0</v>
      </c>
      <c r="I747" s="260"/>
    </row>
    <row r="748" spans="1:9">
      <c r="A748" s="255">
        <f t="shared" si="49"/>
        <v>746</v>
      </c>
      <c r="B748" s="256">
        <v>45367</v>
      </c>
      <c r="C748" s="257">
        <v>93.912283000000002</v>
      </c>
      <c r="D748" s="258">
        <v>223.03625876074639</v>
      </c>
      <c r="E748" s="257">
        <f t="shared" si="50"/>
        <v>93.912283000000002</v>
      </c>
      <c r="F748" s="263"/>
      <c r="G748" s="190" t="str">
        <f t="shared" si="47"/>
        <v/>
      </c>
      <c r="H748" s="259" t="str">
        <f t="shared" si="48"/>
        <v/>
      </c>
      <c r="I748" s="260"/>
    </row>
    <row r="749" spans="1:9">
      <c r="A749" s="255">
        <f t="shared" si="49"/>
        <v>747</v>
      </c>
      <c r="B749" s="256">
        <v>45368</v>
      </c>
      <c r="C749" s="257">
        <v>83.048638000000011</v>
      </c>
      <c r="D749" s="258">
        <v>223.03625876074639</v>
      </c>
      <c r="E749" s="257">
        <f t="shared" si="50"/>
        <v>83.048638000000011</v>
      </c>
      <c r="F749" s="263"/>
      <c r="G749" s="190" t="str">
        <f t="shared" si="47"/>
        <v/>
      </c>
      <c r="H749" s="259" t="str">
        <f t="shared" si="48"/>
        <v/>
      </c>
      <c r="I749" s="260"/>
    </row>
    <row r="750" spans="1:9">
      <c r="A750" s="255">
        <f t="shared" si="49"/>
        <v>748</v>
      </c>
      <c r="B750" s="256">
        <v>45369</v>
      </c>
      <c r="C750" s="257">
        <v>35.575354999999995</v>
      </c>
      <c r="D750" s="258">
        <v>223.03625876074639</v>
      </c>
      <c r="E750" s="257">
        <f t="shared" si="50"/>
        <v>35.575354999999995</v>
      </c>
      <c r="F750" s="263"/>
      <c r="G750" s="190" t="str">
        <f t="shared" si="47"/>
        <v/>
      </c>
      <c r="H750" s="259" t="str">
        <f t="shared" si="48"/>
        <v/>
      </c>
      <c r="I750" s="260"/>
    </row>
    <row r="751" spans="1:9">
      <c r="A751" s="255">
        <f t="shared" si="49"/>
        <v>749</v>
      </c>
      <c r="B751" s="256">
        <v>45370</v>
      </c>
      <c r="C751" s="257">
        <v>42.525300999999999</v>
      </c>
      <c r="D751" s="258">
        <v>223.03625876074639</v>
      </c>
      <c r="E751" s="257">
        <f t="shared" si="50"/>
        <v>42.525300999999999</v>
      </c>
      <c r="F751" s="263"/>
      <c r="G751" s="190" t="str">
        <f t="shared" si="47"/>
        <v/>
      </c>
      <c r="H751" s="259" t="str">
        <f t="shared" si="48"/>
        <v/>
      </c>
      <c r="I751" s="260"/>
    </row>
    <row r="752" spans="1:9">
      <c r="A752" s="255">
        <f t="shared" si="49"/>
        <v>750</v>
      </c>
      <c r="B752" s="256">
        <v>45371</v>
      </c>
      <c r="C752" s="257">
        <v>129.293679</v>
      </c>
      <c r="D752" s="258">
        <v>223.03625876074639</v>
      </c>
      <c r="E752" s="257">
        <f t="shared" si="50"/>
        <v>129.293679</v>
      </c>
      <c r="F752" s="263"/>
      <c r="G752" s="190" t="str">
        <f t="shared" si="47"/>
        <v/>
      </c>
      <c r="H752" s="259" t="str">
        <f t="shared" si="48"/>
        <v/>
      </c>
      <c r="I752" s="260"/>
    </row>
    <row r="753" spans="1:9">
      <c r="A753" s="255">
        <f t="shared" si="49"/>
        <v>751</v>
      </c>
      <c r="B753" s="256">
        <v>45372</v>
      </c>
      <c r="C753" s="257">
        <v>187.288241</v>
      </c>
      <c r="D753" s="258">
        <v>223.03625876074639</v>
      </c>
      <c r="E753" s="257">
        <f t="shared" si="50"/>
        <v>187.288241</v>
      </c>
      <c r="F753" s="263"/>
      <c r="G753" s="190" t="str">
        <f t="shared" si="47"/>
        <v/>
      </c>
      <c r="H753" s="259" t="str">
        <f t="shared" si="48"/>
        <v/>
      </c>
      <c r="I753" s="260"/>
    </row>
    <row r="754" spans="1:9">
      <c r="A754" s="255">
        <f t="shared" si="49"/>
        <v>752</v>
      </c>
      <c r="B754" s="256">
        <v>45373</v>
      </c>
      <c r="C754" s="257">
        <v>133.58196000000001</v>
      </c>
      <c r="D754" s="258">
        <v>223.03625876074639</v>
      </c>
      <c r="E754" s="257">
        <f t="shared" si="50"/>
        <v>133.58196000000001</v>
      </c>
      <c r="F754" s="263"/>
      <c r="G754" s="190" t="str">
        <f t="shared" si="47"/>
        <v/>
      </c>
      <c r="H754" s="259" t="str">
        <f t="shared" si="48"/>
        <v/>
      </c>
      <c r="I754" s="260"/>
    </row>
    <row r="755" spans="1:9">
      <c r="A755" s="255">
        <f t="shared" si="49"/>
        <v>753</v>
      </c>
      <c r="B755" s="256">
        <v>45374</v>
      </c>
      <c r="C755" s="257">
        <v>252.199883</v>
      </c>
      <c r="D755" s="258">
        <v>223.03625876074639</v>
      </c>
      <c r="E755" s="257">
        <f t="shared" si="50"/>
        <v>223.03625876074639</v>
      </c>
      <c r="F755" s="263"/>
      <c r="G755" s="190" t="str">
        <f t="shared" si="47"/>
        <v/>
      </c>
      <c r="H755" s="259" t="str">
        <f t="shared" si="48"/>
        <v/>
      </c>
      <c r="I755" s="260"/>
    </row>
    <row r="756" spans="1:9">
      <c r="A756" s="255">
        <f t="shared" si="49"/>
        <v>754</v>
      </c>
      <c r="B756" s="256">
        <v>45375</v>
      </c>
      <c r="C756" s="257">
        <v>191.61256399999999</v>
      </c>
      <c r="D756" s="258">
        <v>223.03625876074639</v>
      </c>
      <c r="E756" s="257">
        <f t="shared" si="50"/>
        <v>191.61256399999999</v>
      </c>
      <c r="F756" s="263"/>
      <c r="G756" s="190" t="str">
        <f t="shared" si="47"/>
        <v/>
      </c>
      <c r="H756" s="259" t="str">
        <f t="shared" si="48"/>
        <v/>
      </c>
      <c r="I756" s="260"/>
    </row>
    <row r="757" spans="1:9">
      <c r="A757" s="255">
        <f t="shared" si="49"/>
        <v>755</v>
      </c>
      <c r="B757" s="256">
        <v>45376</v>
      </c>
      <c r="C757" s="257">
        <v>196.29643099999998</v>
      </c>
      <c r="D757" s="258">
        <v>223.03625876074639</v>
      </c>
      <c r="E757" s="257">
        <f t="shared" si="50"/>
        <v>196.29643099999998</v>
      </c>
      <c r="F757" s="263"/>
      <c r="G757" s="190" t="str">
        <f t="shared" si="47"/>
        <v/>
      </c>
      <c r="H757" s="259" t="str">
        <f t="shared" si="48"/>
        <v/>
      </c>
      <c r="I757" s="260"/>
    </row>
    <row r="758" spans="1:9">
      <c r="A758" s="255">
        <f t="shared" si="49"/>
        <v>756</v>
      </c>
      <c r="B758" s="256">
        <v>45377</v>
      </c>
      <c r="C758" s="257">
        <v>259.00618500000002</v>
      </c>
      <c r="D758" s="258">
        <v>223.03625876074639</v>
      </c>
      <c r="E758" s="257">
        <f t="shared" si="50"/>
        <v>223.03625876074639</v>
      </c>
      <c r="F758" s="263"/>
      <c r="G758" s="190" t="str">
        <f t="shared" si="47"/>
        <v/>
      </c>
      <c r="H758" s="259" t="str">
        <f t="shared" si="48"/>
        <v/>
      </c>
      <c r="I758" s="260"/>
    </row>
    <row r="759" spans="1:9">
      <c r="A759" s="255">
        <f t="shared" si="49"/>
        <v>757</v>
      </c>
      <c r="B759" s="256">
        <v>45378</v>
      </c>
      <c r="C759" s="257">
        <v>330.68768499999999</v>
      </c>
      <c r="D759" s="258">
        <v>223.03625876074639</v>
      </c>
      <c r="E759" s="257">
        <f t="shared" si="50"/>
        <v>223.03625876074639</v>
      </c>
      <c r="F759" s="263"/>
      <c r="G759" s="190" t="str">
        <f t="shared" si="47"/>
        <v/>
      </c>
      <c r="H759" s="259" t="str">
        <f t="shared" si="48"/>
        <v/>
      </c>
      <c r="I759" s="260"/>
    </row>
    <row r="760" spans="1:9">
      <c r="A760" s="255">
        <f t="shared" si="49"/>
        <v>758</v>
      </c>
      <c r="B760" s="256">
        <v>45379</v>
      </c>
      <c r="C760" s="257">
        <v>291.58597100000003</v>
      </c>
      <c r="D760" s="258">
        <v>223.03625876074639</v>
      </c>
      <c r="E760" s="257">
        <f t="shared" si="50"/>
        <v>223.03625876074639</v>
      </c>
      <c r="F760" s="263"/>
      <c r="G760" s="190" t="str">
        <f t="shared" si="47"/>
        <v/>
      </c>
      <c r="H760" s="259" t="str">
        <f t="shared" si="48"/>
        <v/>
      </c>
      <c r="I760" s="260"/>
    </row>
    <row r="761" spans="1:9">
      <c r="A761" s="255">
        <f t="shared" si="49"/>
        <v>759</v>
      </c>
      <c r="B761" s="256">
        <v>45380</v>
      </c>
      <c r="C761" s="257">
        <v>207.19015400000001</v>
      </c>
      <c r="D761" s="258">
        <v>223.03625876074639</v>
      </c>
      <c r="E761" s="257">
        <f t="shared" ref="E761:E763" si="51">IF(C761&gt;D761,D761,C761)</f>
        <v>207.19015400000001</v>
      </c>
      <c r="F761" s="263"/>
      <c r="G761" s="190"/>
      <c r="H761" s="259"/>
      <c r="I761" s="260"/>
    </row>
    <row r="762" spans="1:9">
      <c r="A762" s="255">
        <f t="shared" si="49"/>
        <v>760</v>
      </c>
      <c r="B762" s="256">
        <v>45381</v>
      </c>
      <c r="C762" s="257">
        <v>184.87734599999999</v>
      </c>
      <c r="D762" s="258">
        <v>223.03625876074639</v>
      </c>
      <c r="E762" s="257">
        <f t="shared" si="51"/>
        <v>184.87734599999999</v>
      </c>
      <c r="F762" s="263"/>
      <c r="G762" s="190"/>
      <c r="H762" s="259"/>
      <c r="I762" s="260"/>
    </row>
    <row r="763" spans="1:9">
      <c r="A763" s="255">
        <f t="shared" si="49"/>
        <v>761</v>
      </c>
      <c r="B763" s="256">
        <v>45382</v>
      </c>
      <c r="C763" s="257">
        <v>225.72189900000001</v>
      </c>
      <c r="D763" s="258">
        <v>223.03625876074639</v>
      </c>
      <c r="E763" s="257">
        <f t="shared" si="51"/>
        <v>223.03625876074639</v>
      </c>
      <c r="F763" s="263"/>
      <c r="G763" s="190"/>
      <c r="H763" s="259"/>
      <c r="I763" s="260"/>
    </row>
    <row r="764" spans="1:9">
      <c r="B764" s="256"/>
      <c r="C764" s="257"/>
      <c r="D764" s="258"/>
      <c r="E764" s="257"/>
      <c r="F764" s="263"/>
      <c r="G764" s="190"/>
      <c r="H764" s="259"/>
      <c r="I764" s="260"/>
    </row>
    <row r="765" spans="1:9">
      <c r="B765" s="256"/>
      <c r="C765" s="257"/>
      <c r="D765" s="258"/>
      <c r="E765" s="257"/>
      <c r="F765" s="263"/>
      <c r="G765" s="190"/>
      <c r="H765" s="259"/>
      <c r="I765" s="260"/>
    </row>
    <row r="766" spans="1:9">
      <c r="B766" s="256"/>
      <c r="C766" s="257"/>
      <c r="D766" s="258"/>
      <c r="E766" s="257"/>
      <c r="F766" s="263"/>
      <c r="G766" s="190"/>
      <c r="H766" s="259"/>
      <c r="I766" s="260"/>
    </row>
    <row r="767" spans="1:9">
      <c r="B767" s="256"/>
      <c r="C767" s="257"/>
      <c r="D767" s="258"/>
      <c r="E767" s="257"/>
      <c r="F767" s="263"/>
      <c r="G767" s="190"/>
      <c r="H767" s="259"/>
      <c r="I767" s="260"/>
    </row>
    <row r="768" spans="1:9">
      <c r="B768" s="256"/>
      <c r="C768" s="257"/>
      <c r="D768" s="258"/>
      <c r="E768" s="257"/>
      <c r="F768" s="263"/>
      <c r="G768" s="190"/>
      <c r="H768" s="259"/>
      <c r="I768" s="260"/>
    </row>
    <row r="769" spans="2:9">
      <c r="B769" s="256"/>
      <c r="C769" s="257"/>
      <c r="D769" s="258"/>
      <c r="E769" s="257"/>
      <c r="F769" s="263"/>
      <c r="G769" s="190"/>
      <c r="H769" s="259"/>
      <c r="I769" s="260"/>
    </row>
    <row r="770" spans="2:9">
      <c r="B770" s="256"/>
      <c r="C770" s="257"/>
      <c r="D770" s="258"/>
      <c r="E770" s="257"/>
      <c r="F770" s="263"/>
      <c r="G770" s="190"/>
      <c r="H770" s="259"/>
      <c r="I770" s="260"/>
    </row>
    <row r="771" spans="2:9">
      <c r="B771" s="256"/>
      <c r="C771" s="257"/>
      <c r="D771" s="258"/>
      <c r="E771" s="257"/>
      <c r="F771" s="263"/>
      <c r="G771" s="190"/>
      <c r="H771" s="259"/>
      <c r="I771" s="260"/>
    </row>
    <row r="772" spans="2:9">
      <c r="B772" s="256"/>
      <c r="C772" s="257"/>
      <c r="D772" s="258"/>
      <c r="E772" s="257"/>
      <c r="F772" s="263"/>
      <c r="G772" s="190"/>
      <c r="H772" s="259"/>
      <c r="I772" s="260"/>
    </row>
    <row r="773" spans="2:9">
      <c r="B773" s="256"/>
      <c r="C773" s="257"/>
      <c r="D773" s="258"/>
      <c r="E773" s="257"/>
      <c r="F773" s="263"/>
      <c r="G773" s="190"/>
      <c r="H773" s="259"/>
      <c r="I773" s="260"/>
    </row>
    <row r="774" spans="2:9">
      <c r="B774" s="256"/>
      <c r="C774" s="257"/>
      <c r="D774" s="258"/>
      <c r="E774" s="257"/>
      <c r="F774" s="263"/>
      <c r="G774" s="190"/>
      <c r="H774" s="259"/>
      <c r="I774" s="260"/>
    </row>
    <row r="775" spans="2:9">
      <c r="B775" s="256"/>
      <c r="C775" s="257"/>
      <c r="D775" s="258"/>
      <c r="E775" s="257"/>
      <c r="F775" s="263"/>
      <c r="G775" s="190"/>
      <c r="H775" s="259"/>
      <c r="I775" s="260"/>
    </row>
    <row r="776" spans="2:9">
      <c r="B776" s="256"/>
      <c r="C776" s="257"/>
      <c r="D776" s="258"/>
      <c r="E776" s="257"/>
      <c r="F776" s="263"/>
      <c r="G776" s="190"/>
      <c r="H776" s="259"/>
      <c r="I776" s="260"/>
    </row>
    <row r="777" spans="2:9">
      <c r="B777" s="256"/>
      <c r="C777" s="257"/>
      <c r="D777" s="258"/>
      <c r="E777" s="257"/>
      <c r="F777" s="263"/>
      <c r="G777" s="190"/>
      <c r="H777" s="259"/>
      <c r="I777" s="260"/>
    </row>
    <row r="778" spans="2:9">
      <c r="B778" s="256"/>
      <c r="C778" s="257"/>
      <c r="D778" s="258"/>
      <c r="E778" s="257"/>
      <c r="F778" s="263"/>
      <c r="G778" s="190"/>
      <c r="H778" s="259"/>
      <c r="I778" s="260"/>
    </row>
    <row r="779" spans="2:9">
      <c r="B779" s="256"/>
      <c r="C779" s="257"/>
      <c r="D779" s="258"/>
      <c r="E779" s="257"/>
      <c r="F779" s="263"/>
      <c r="G779" s="190"/>
      <c r="H779" s="259"/>
      <c r="I779" s="260"/>
    </row>
    <row r="780" spans="2:9">
      <c r="B780" s="256"/>
      <c r="C780" s="257"/>
      <c r="D780" s="258"/>
      <c r="E780" s="257"/>
      <c r="F780" s="263"/>
      <c r="G780" s="190"/>
      <c r="H780" s="259"/>
      <c r="I780" s="260"/>
    </row>
    <row r="781" spans="2:9">
      <c r="B781" s="256"/>
      <c r="C781" s="257"/>
      <c r="D781" s="258"/>
      <c r="E781" s="257"/>
      <c r="F781" s="263"/>
      <c r="G781" s="190"/>
      <c r="H781" s="259"/>
      <c r="I781" s="260"/>
    </row>
    <row r="782" spans="2:9">
      <c r="B782" s="256"/>
      <c r="C782" s="257"/>
      <c r="D782" s="258"/>
      <c r="E782" s="257"/>
      <c r="F782" s="263"/>
      <c r="G782" s="190"/>
      <c r="H782" s="259"/>
      <c r="I782" s="260"/>
    </row>
    <row r="783" spans="2:9">
      <c r="B783" s="256"/>
      <c r="C783" s="257"/>
      <c r="D783" s="258"/>
      <c r="E783" s="257"/>
      <c r="F783" s="263"/>
      <c r="G783" s="190"/>
      <c r="H783" s="259"/>
      <c r="I783" s="260"/>
    </row>
    <row r="784" spans="2:9">
      <c r="B784" s="256"/>
      <c r="C784" s="257"/>
      <c r="D784" s="258"/>
      <c r="E784" s="257"/>
      <c r="F784" s="263"/>
      <c r="G784" s="190"/>
      <c r="H784" s="259"/>
      <c r="I784" s="260"/>
    </row>
    <row r="785" spans="2:9">
      <c r="B785" s="256"/>
      <c r="C785" s="257"/>
      <c r="D785" s="258"/>
      <c r="E785" s="257"/>
      <c r="F785" s="263"/>
      <c r="G785" s="190"/>
      <c r="H785" s="259"/>
      <c r="I785" s="260"/>
    </row>
    <row r="786" spans="2:9">
      <c r="B786" s="256"/>
      <c r="C786" s="257"/>
      <c r="D786" s="258"/>
      <c r="E786" s="257"/>
      <c r="F786" s="263"/>
      <c r="G786" s="190"/>
      <c r="H786" s="259"/>
      <c r="I786" s="260"/>
    </row>
    <row r="787" spans="2:9">
      <c r="B787" s="256"/>
      <c r="C787" s="257"/>
      <c r="D787" s="258"/>
      <c r="E787" s="257"/>
      <c r="F787" s="263"/>
      <c r="G787" s="190"/>
      <c r="H787" s="259"/>
      <c r="I787" s="260"/>
    </row>
    <row r="788" spans="2:9">
      <c r="B788" s="256"/>
      <c r="C788" s="257"/>
      <c r="D788" s="258"/>
      <c r="E788" s="257"/>
      <c r="F788" s="263"/>
      <c r="G788" s="190"/>
      <c r="H788" s="259"/>
      <c r="I788" s="260"/>
    </row>
    <row r="789" spans="2:9">
      <c r="B789" s="256"/>
      <c r="C789" s="257"/>
      <c r="D789" s="258"/>
      <c r="E789" s="257"/>
      <c r="F789" s="263"/>
      <c r="G789" s="190"/>
      <c r="H789" s="259"/>
      <c r="I789" s="260"/>
    </row>
    <row r="790" spans="2:9">
      <c r="B790" s="256"/>
      <c r="C790" s="257"/>
      <c r="D790" s="258"/>
      <c r="E790" s="257"/>
      <c r="F790" s="263"/>
      <c r="G790" s="190"/>
      <c r="H790" s="259"/>
      <c r="I790" s="260"/>
    </row>
    <row r="791" spans="2:9">
      <c r="B791" s="256"/>
      <c r="C791" s="257"/>
      <c r="D791" s="258"/>
      <c r="E791" s="257"/>
      <c r="F791" s="263"/>
      <c r="G791" s="190"/>
      <c r="H791" s="259"/>
      <c r="I791" s="260"/>
    </row>
    <row r="792" spans="2:9">
      <c r="B792" s="256"/>
      <c r="C792" s="257"/>
      <c r="D792" s="258"/>
      <c r="E792" s="257"/>
      <c r="F792" s="263"/>
      <c r="G792" s="190"/>
      <c r="H792" s="259"/>
      <c r="I792" s="260"/>
    </row>
    <row r="793" spans="2:9">
      <c r="B793" s="256"/>
      <c r="C793" s="257"/>
      <c r="D793" s="258"/>
      <c r="E793" s="257"/>
      <c r="F793" s="263"/>
      <c r="G793" s="190"/>
      <c r="H793" s="259"/>
      <c r="I793" s="260"/>
    </row>
    <row r="794" spans="2:9">
      <c r="B794" s="256"/>
      <c r="C794" s="257"/>
      <c r="D794" s="258"/>
      <c r="E794" s="257"/>
      <c r="F794" s="263"/>
      <c r="G794" s="190"/>
      <c r="H794" s="259"/>
      <c r="I794" s="260"/>
    </row>
    <row r="795" spans="2:9">
      <c r="B795" s="256"/>
      <c r="C795" s="257"/>
      <c r="D795" s="258"/>
      <c r="E795" s="257"/>
      <c r="F795" s="263"/>
      <c r="G795" s="190"/>
      <c r="H795" s="259"/>
      <c r="I795" s="260"/>
    </row>
    <row r="796" spans="2:9">
      <c r="B796" s="256"/>
      <c r="C796" s="257"/>
      <c r="D796" s="258"/>
      <c r="E796" s="257"/>
      <c r="F796" s="263"/>
      <c r="G796" s="190"/>
      <c r="H796" s="259"/>
      <c r="I796" s="260"/>
    </row>
    <row r="797" spans="2:9">
      <c r="B797" s="256"/>
      <c r="C797" s="257"/>
      <c r="D797" s="258"/>
      <c r="E797" s="257"/>
      <c r="F797" s="263"/>
      <c r="G797" s="190"/>
      <c r="H797" s="259"/>
      <c r="I797" s="260"/>
    </row>
    <row r="798" spans="2:9">
      <c r="B798" s="256"/>
      <c r="C798" s="257"/>
      <c r="D798" s="258"/>
      <c r="E798" s="257"/>
      <c r="F798" s="263"/>
      <c r="G798" s="190"/>
      <c r="H798" s="259"/>
      <c r="I798" s="260"/>
    </row>
    <row r="799" spans="2:9">
      <c r="B799" s="256"/>
      <c r="C799" s="257"/>
      <c r="D799" s="258"/>
      <c r="E799" s="257"/>
      <c r="F799" s="263"/>
      <c r="G799" s="190"/>
      <c r="H799" s="259"/>
      <c r="I799" s="260"/>
    </row>
    <row r="800" spans="2:9">
      <c r="B800" s="256"/>
      <c r="C800" s="257"/>
      <c r="D800" s="258"/>
      <c r="E800" s="257"/>
      <c r="F800" s="263"/>
      <c r="G800" s="190"/>
      <c r="H800" s="259"/>
      <c r="I800" s="260"/>
    </row>
    <row r="801" spans="2:9">
      <c r="B801" s="256"/>
      <c r="C801" s="257"/>
      <c r="D801" s="258"/>
      <c r="E801" s="257"/>
      <c r="F801" s="263"/>
      <c r="G801" s="190"/>
      <c r="H801" s="259"/>
      <c r="I801" s="260"/>
    </row>
    <row r="802" spans="2:9">
      <c r="B802" s="256"/>
      <c r="C802" s="257"/>
      <c r="D802" s="258"/>
      <c r="E802" s="257"/>
      <c r="F802" s="263"/>
      <c r="G802" s="190"/>
      <c r="H802" s="259"/>
      <c r="I802" s="260"/>
    </row>
    <row r="803" spans="2:9">
      <c r="B803" s="256"/>
      <c r="C803" s="257"/>
      <c r="D803" s="258"/>
      <c r="E803" s="257"/>
      <c r="F803" s="263"/>
      <c r="G803" s="190"/>
      <c r="H803" s="259"/>
      <c r="I803" s="260"/>
    </row>
    <row r="804" spans="2:9">
      <c r="B804" s="256"/>
      <c r="C804" s="257"/>
      <c r="D804" s="258"/>
      <c r="E804" s="257"/>
      <c r="F804" s="263"/>
      <c r="G804" s="190"/>
      <c r="H804" s="259"/>
      <c r="I804" s="260"/>
    </row>
  </sheetData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8558B6-D783-4C61-9AE9-F24AA47FB6BB}">
  <dimension ref="A1:I806"/>
  <sheetViews>
    <sheetView workbookViewId="0">
      <selection activeCell="I9" sqref="I9"/>
    </sheetView>
  </sheetViews>
  <sheetFormatPr baseColWidth="10" defaultColWidth="11.42578125" defaultRowHeight="15"/>
  <cols>
    <col min="1" max="1" width="11.42578125" style="255"/>
    <col min="2" max="2" width="12.5703125" style="255" bestFit="1" customWidth="1"/>
    <col min="3" max="7" width="11.42578125" style="255"/>
    <col min="8" max="8" width="11.5703125" style="255" bestFit="1" customWidth="1"/>
    <col min="9" max="28" width="11.42578125" style="255"/>
    <col min="29" max="29" width="11.5703125" style="255" bestFit="1" customWidth="1"/>
    <col min="30" max="16384" width="11.42578125" style="255"/>
  </cols>
  <sheetData>
    <row r="1" spans="1:9" ht="60">
      <c r="B1" s="254" t="s">
        <v>141</v>
      </c>
      <c r="C1" s="294" t="s">
        <v>214</v>
      </c>
      <c r="D1" s="294" t="s">
        <v>215</v>
      </c>
    </row>
    <row r="2" spans="1:9">
      <c r="A2" s="255">
        <v>0</v>
      </c>
      <c r="B2" s="256">
        <v>44621</v>
      </c>
      <c r="C2" s="257">
        <v>76.296301</v>
      </c>
      <c r="D2" s="258">
        <v>69.9909135552316</v>
      </c>
      <c r="E2" s="257">
        <f>IF(C2&gt;D2,D2,C2)</f>
        <v>69.9909135552316</v>
      </c>
      <c r="F2" s="260">
        <f>YEAR(B2)</f>
        <v>2022</v>
      </c>
      <c r="G2" s="190"/>
      <c r="H2" s="259" t="str">
        <f>IF(DAY($B2)=15,TEXT(D2,"#,0"),"")</f>
        <v/>
      </c>
      <c r="I2" s="260"/>
    </row>
    <row r="3" spans="1:9">
      <c r="A3" s="255">
        <f>+A2+1</f>
        <v>1</v>
      </c>
      <c r="B3" s="256">
        <v>44622</v>
      </c>
      <c r="C3" s="257">
        <v>71.628574000000015</v>
      </c>
      <c r="D3" s="258">
        <v>69.9909135552316</v>
      </c>
      <c r="E3" s="257">
        <f>IF(C3&gt;D3,D3,C3)</f>
        <v>69.9909135552316</v>
      </c>
      <c r="F3" s="263"/>
      <c r="G3" s="190" t="str">
        <f t="shared" ref="G3" si="0">IF(DAY(B3)=15,IF(MONTH(B3)=1,"E",IF(MONTH(B3)=2,"F",IF(MONTH(B3)=3,"M",IF(MONTH(B3)=4,"A",IF(MONTH(B3)=5,"M",IF(MONTH(B3)=6,"J",IF(MONTH(B3)=7,"J",IF(MONTH(B3)=8,"A",IF(MONTH(B3)=9,"S",IF(MONTH(B3)=10,"O",IF(MONTH(B3)=11,"N",IF(MONTH(B3)=12,"D","")))))))))))),"")</f>
        <v/>
      </c>
      <c r="H3" s="259" t="str">
        <f t="shared" ref="H3" si="1">IF(DAY($B3)=15,TEXT(D3,"#,0"),"")</f>
        <v/>
      </c>
      <c r="I3" s="260"/>
    </row>
    <row r="4" spans="1:9">
      <c r="A4" s="255">
        <f t="shared" ref="A4:A67" si="2">+A3+1</f>
        <v>2</v>
      </c>
      <c r="B4" s="256">
        <v>44623</v>
      </c>
      <c r="C4" s="257">
        <v>35.527419999999999</v>
      </c>
      <c r="D4" s="258">
        <v>69.9909135552316</v>
      </c>
      <c r="E4" s="257">
        <f t="shared" ref="E4:E67" si="3">IF(C4&gt;D4,D4,C4)</f>
        <v>35.527419999999999</v>
      </c>
      <c r="F4" s="263"/>
      <c r="G4" s="190" t="str">
        <f t="shared" ref="G4:G67" si="4">IF(DAY(B4)=15,IF(MONTH(B4)=1,"E",IF(MONTH(B4)=2,"F",IF(MONTH(B4)=3,"M",IF(MONTH(B4)=4,"A",IF(MONTH(B4)=5,"M",IF(MONTH(B4)=6,"J",IF(MONTH(B4)=7,"J",IF(MONTH(B4)=8,"A",IF(MONTH(B4)=9,"S",IF(MONTH(B4)=10,"O",IF(MONTH(B4)=11,"N",IF(MONTH(B4)=12,"D","")))))))))))),"")</f>
        <v/>
      </c>
      <c r="H4" s="259" t="str">
        <f t="shared" ref="H4:H67" si="5">IF(DAY($B4)=15,TEXT(D4,"#,0"),"")</f>
        <v/>
      </c>
      <c r="I4" s="260"/>
    </row>
    <row r="5" spans="1:9">
      <c r="A5" s="255">
        <f t="shared" si="2"/>
        <v>3</v>
      </c>
      <c r="B5" s="256">
        <v>44624</v>
      </c>
      <c r="C5" s="257">
        <v>54.084353999999998</v>
      </c>
      <c r="D5" s="258">
        <v>69.9909135552316</v>
      </c>
      <c r="E5" s="257">
        <f t="shared" si="3"/>
        <v>54.084353999999998</v>
      </c>
      <c r="F5" s="263"/>
      <c r="G5" s="190" t="str">
        <f t="shared" si="4"/>
        <v/>
      </c>
      <c r="H5" s="259" t="str">
        <f t="shared" si="5"/>
        <v/>
      </c>
      <c r="I5" s="260"/>
    </row>
    <row r="6" spans="1:9">
      <c r="A6" s="255">
        <f t="shared" si="2"/>
        <v>4</v>
      </c>
      <c r="B6" s="256">
        <v>44625</v>
      </c>
      <c r="C6" s="257">
        <v>56.345740000000006</v>
      </c>
      <c r="D6" s="258">
        <v>69.9909135552316</v>
      </c>
      <c r="E6" s="257">
        <f t="shared" si="3"/>
        <v>56.345740000000006</v>
      </c>
      <c r="F6" s="263"/>
      <c r="G6" s="190" t="str">
        <f t="shared" si="4"/>
        <v/>
      </c>
      <c r="H6" s="259" t="str">
        <f t="shared" si="5"/>
        <v/>
      </c>
      <c r="I6" s="260"/>
    </row>
    <row r="7" spans="1:9">
      <c r="A7" s="255">
        <f t="shared" si="2"/>
        <v>5</v>
      </c>
      <c r="B7" s="256">
        <v>44626</v>
      </c>
      <c r="C7" s="257">
        <v>57.480072999999997</v>
      </c>
      <c r="D7" s="258">
        <v>69.9909135552316</v>
      </c>
      <c r="E7" s="257">
        <f t="shared" si="3"/>
        <v>57.480072999999997</v>
      </c>
      <c r="F7" s="263"/>
      <c r="G7" s="190" t="str">
        <f t="shared" si="4"/>
        <v/>
      </c>
      <c r="H7" s="259" t="str">
        <f t="shared" si="5"/>
        <v/>
      </c>
      <c r="I7" s="260"/>
    </row>
    <row r="8" spans="1:9">
      <c r="A8" s="255">
        <f t="shared" si="2"/>
        <v>6</v>
      </c>
      <c r="B8" s="256">
        <v>44627</v>
      </c>
      <c r="C8" s="257">
        <v>46.524450999999999</v>
      </c>
      <c r="D8" s="258">
        <v>69.9909135552316</v>
      </c>
      <c r="E8" s="257">
        <f t="shared" si="3"/>
        <v>46.524450999999999</v>
      </c>
      <c r="F8" s="263"/>
      <c r="G8" s="190" t="str">
        <f t="shared" si="4"/>
        <v/>
      </c>
      <c r="H8" s="259" t="str">
        <f t="shared" si="5"/>
        <v/>
      </c>
      <c r="I8" s="260"/>
    </row>
    <row r="9" spans="1:9">
      <c r="A9" s="255">
        <f t="shared" si="2"/>
        <v>7</v>
      </c>
      <c r="B9" s="256">
        <v>44628</v>
      </c>
      <c r="C9" s="257">
        <v>51.734838000000003</v>
      </c>
      <c r="D9" s="258">
        <v>69.9909135552316</v>
      </c>
      <c r="E9" s="257">
        <f t="shared" si="3"/>
        <v>51.734838000000003</v>
      </c>
      <c r="F9" s="263"/>
      <c r="G9" s="190" t="str">
        <f t="shared" si="4"/>
        <v/>
      </c>
      <c r="H9" s="259" t="str">
        <f t="shared" si="5"/>
        <v/>
      </c>
      <c r="I9" s="260"/>
    </row>
    <row r="10" spans="1:9">
      <c r="A10" s="255">
        <f t="shared" si="2"/>
        <v>8</v>
      </c>
      <c r="B10" s="256">
        <v>44629</v>
      </c>
      <c r="C10" s="257">
        <v>67.636289999999988</v>
      </c>
      <c r="D10" s="258">
        <v>69.9909135552316</v>
      </c>
      <c r="E10" s="257">
        <f t="shared" si="3"/>
        <v>67.636289999999988</v>
      </c>
      <c r="F10" s="263"/>
      <c r="G10" s="190" t="str">
        <f t="shared" si="4"/>
        <v/>
      </c>
      <c r="H10" s="259" t="str">
        <f t="shared" si="5"/>
        <v/>
      </c>
      <c r="I10" s="260"/>
    </row>
    <row r="11" spans="1:9">
      <c r="A11" s="255">
        <f t="shared" si="2"/>
        <v>9</v>
      </c>
      <c r="B11" s="256">
        <v>44630</v>
      </c>
      <c r="C11" s="257">
        <v>66.398049</v>
      </c>
      <c r="D11" s="258">
        <v>69.9909135552316</v>
      </c>
      <c r="E11" s="257">
        <f t="shared" si="3"/>
        <v>66.398049</v>
      </c>
      <c r="F11" s="263"/>
      <c r="G11" s="190" t="str">
        <f t="shared" si="4"/>
        <v/>
      </c>
      <c r="H11" s="259" t="str">
        <f t="shared" si="5"/>
        <v/>
      </c>
      <c r="I11" s="260"/>
    </row>
    <row r="12" spans="1:9">
      <c r="A12" s="255">
        <f t="shared" si="2"/>
        <v>10</v>
      </c>
      <c r="B12" s="256">
        <v>44631</v>
      </c>
      <c r="C12" s="257">
        <v>24.921495</v>
      </c>
      <c r="D12" s="258">
        <v>69.9909135552316</v>
      </c>
      <c r="E12" s="257">
        <f t="shared" si="3"/>
        <v>24.921495</v>
      </c>
      <c r="F12" s="263"/>
      <c r="G12" s="190" t="str">
        <f t="shared" si="4"/>
        <v/>
      </c>
      <c r="H12" s="259" t="str">
        <f t="shared" si="5"/>
        <v/>
      </c>
      <c r="I12" s="260"/>
    </row>
    <row r="13" spans="1:9">
      <c r="A13" s="255">
        <f t="shared" si="2"/>
        <v>11</v>
      </c>
      <c r="B13" s="256">
        <v>44632</v>
      </c>
      <c r="C13" s="257">
        <v>61.151569000000002</v>
      </c>
      <c r="D13" s="258">
        <v>69.9909135552316</v>
      </c>
      <c r="E13" s="257">
        <f t="shared" si="3"/>
        <v>61.151569000000002</v>
      </c>
      <c r="F13" s="263"/>
      <c r="G13" s="190" t="str">
        <f t="shared" si="4"/>
        <v/>
      </c>
      <c r="H13" s="259" t="str">
        <f t="shared" si="5"/>
        <v/>
      </c>
      <c r="I13" s="260"/>
    </row>
    <row r="14" spans="1:9">
      <c r="A14" s="255">
        <f t="shared" si="2"/>
        <v>12</v>
      </c>
      <c r="B14" s="256">
        <v>44633</v>
      </c>
      <c r="C14" s="257">
        <v>75.262876000000006</v>
      </c>
      <c r="D14" s="258">
        <v>69.9909135552316</v>
      </c>
      <c r="E14" s="257">
        <f t="shared" si="3"/>
        <v>69.9909135552316</v>
      </c>
      <c r="F14" s="263"/>
      <c r="G14" s="190" t="str">
        <f t="shared" si="4"/>
        <v/>
      </c>
      <c r="H14" s="259" t="str">
        <f t="shared" si="5"/>
        <v/>
      </c>
      <c r="I14" s="260"/>
    </row>
    <row r="15" spans="1:9">
      <c r="A15" s="255">
        <f t="shared" si="2"/>
        <v>13</v>
      </c>
      <c r="B15" s="256">
        <v>44634</v>
      </c>
      <c r="C15" s="257">
        <v>18.20748</v>
      </c>
      <c r="D15" s="258">
        <v>69.9909135552316</v>
      </c>
      <c r="E15" s="257">
        <f t="shared" si="3"/>
        <v>18.20748</v>
      </c>
      <c r="F15" s="263"/>
      <c r="G15" s="190" t="str">
        <f t="shared" si="4"/>
        <v/>
      </c>
      <c r="H15" s="259" t="str">
        <f t="shared" si="5"/>
        <v/>
      </c>
      <c r="I15" s="260"/>
    </row>
    <row r="16" spans="1:9">
      <c r="A16" s="255">
        <f t="shared" si="2"/>
        <v>14</v>
      </c>
      <c r="B16" s="256">
        <v>44635</v>
      </c>
      <c r="C16" s="257">
        <v>19.085939</v>
      </c>
      <c r="D16" s="258">
        <v>69.9909135552316</v>
      </c>
      <c r="E16" s="257">
        <f t="shared" si="3"/>
        <v>19.085939</v>
      </c>
      <c r="F16" s="263"/>
      <c r="G16" s="190" t="str">
        <f t="shared" si="4"/>
        <v>M</v>
      </c>
      <c r="H16" s="259" t="str">
        <f t="shared" si="5"/>
        <v>70,0</v>
      </c>
      <c r="I16" s="260"/>
    </row>
    <row r="17" spans="1:9">
      <c r="A17" s="255">
        <f t="shared" si="2"/>
        <v>15</v>
      </c>
      <c r="B17" s="256">
        <v>44636</v>
      </c>
      <c r="C17" s="257">
        <v>10.901577</v>
      </c>
      <c r="D17" s="258">
        <v>69.9909135552316</v>
      </c>
      <c r="E17" s="257">
        <f t="shared" si="3"/>
        <v>10.901577</v>
      </c>
      <c r="F17" s="263"/>
      <c r="G17" s="190" t="str">
        <f t="shared" si="4"/>
        <v/>
      </c>
      <c r="H17" s="259" t="str">
        <f t="shared" si="5"/>
        <v/>
      </c>
      <c r="I17" s="190"/>
    </row>
    <row r="18" spans="1:9">
      <c r="A18" s="255">
        <f t="shared" si="2"/>
        <v>16</v>
      </c>
      <c r="B18" s="256">
        <v>44637</v>
      </c>
      <c r="C18" s="257">
        <v>23.206485000000001</v>
      </c>
      <c r="D18" s="258">
        <v>69.9909135552316</v>
      </c>
      <c r="E18" s="257">
        <f t="shared" si="3"/>
        <v>23.206485000000001</v>
      </c>
      <c r="F18" s="263"/>
      <c r="G18" s="190" t="str">
        <f t="shared" si="4"/>
        <v/>
      </c>
      <c r="H18" s="259" t="str">
        <f t="shared" si="5"/>
        <v/>
      </c>
      <c r="I18" s="260"/>
    </row>
    <row r="19" spans="1:9">
      <c r="A19" s="255">
        <f t="shared" si="2"/>
        <v>17</v>
      </c>
      <c r="B19" s="256">
        <v>44638</v>
      </c>
      <c r="C19" s="257">
        <v>38.313834999999997</v>
      </c>
      <c r="D19" s="258">
        <v>69.9909135552316</v>
      </c>
      <c r="E19" s="257">
        <f t="shared" si="3"/>
        <v>38.313834999999997</v>
      </c>
      <c r="F19" s="263"/>
      <c r="G19" s="190" t="str">
        <f t="shared" si="4"/>
        <v/>
      </c>
      <c r="H19" s="259" t="str">
        <f t="shared" si="5"/>
        <v/>
      </c>
      <c r="I19" s="260"/>
    </row>
    <row r="20" spans="1:9">
      <c r="A20" s="255">
        <f t="shared" si="2"/>
        <v>18</v>
      </c>
      <c r="B20" s="256">
        <v>44639</v>
      </c>
      <c r="C20" s="257">
        <v>45.825392999999998</v>
      </c>
      <c r="D20" s="258">
        <v>69.9909135552316</v>
      </c>
      <c r="E20" s="257">
        <f t="shared" si="3"/>
        <v>45.825392999999998</v>
      </c>
      <c r="F20" s="263"/>
      <c r="G20" s="190" t="str">
        <f t="shared" si="4"/>
        <v/>
      </c>
      <c r="H20" s="259" t="str">
        <f t="shared" si="5"/>
        <v/>
      </c>
      <c r="I20" s="260"/>
    </row>
    <row r="21" spans="1:9">
      <c r="A21" s="255">
        <f t="shared" si="2"/>
        <v>19</v>
      </c>
      <c r="B21" s="256">
        <v>44640</v>
      </c>
      <c r="C21" s="257">
        <v>43.448278000000002</v>
      </c>
      <c r="D21" s="258">
        <v>69.9909135552316</v>
      </c>
      <c r="E21" s="257">
        <f t="shared" si="3"/>
        <v>43.448278000000002</v>
      </c>
      <c r="F21" s="263"/>
      <c r="G21" s="190" t="str">
        <f t="shared" si="4"/>
        <v/>
      </c>
      <c r="H21" s="259" t="str">
        <f t="shared" si="5"/>
        <v/>
      </c>
      <c r="I21" s="260"/>
    </row>
    <row r="22" spans="1:9">
      <c r="A22" s="255">
        <f t="shared" si="2"/>
        <v>20</v>
      </c>
      <c r="B22" s="256">
        <v>44641</v>
      </c>
      <c r="C22" s="257">
        <v>31.658595999999999</v>
      </c>
      <c r="D22" s="258">
        <v>69.9909135552316</v>
      </c>
      <c r="E22" s="257">
        <f t="shared" si="3"/>
        <v>31.658595999999999</v>
      </c>
      <c r="F22" s="263"/>
      <c r="G22" s="190" t="str">
        <f t="shared" si="4"/>
        <v/>
      </c>
      <c r="H22" s="259" t="str">
        <f t="shared" si="5"/>
        <v/>
      </c>
      <c r="I22" s="260"/>
    </row>
    <row r="23" spans="1:9">
      <c r="A23" s="255">
        <f t="shared" si="2"/>
        <v>21</v>
      </c>
      <c r="B23" s="256">
        <v>44642</v>
      </c>
      <c r="C23" s="257">
        <v>36.070926</v>
      </c>
      <c r="D23" s="258">
        <v>69.9909135552316</v>
      </c>
      <c r="E23" s="257">
        <f t="shared" si="3"/>
        <v>36.070926</v>
      </c>
      <c r="F23" s="263"/>
      <c r="G23" s="190" t="str">
        <f t="shared" si="4"/>
        <v/>
      </c>
      <c r="H23" s="259" t="str">
        <f t="shared" si="5"/>
        <v/>
      </c>
      <c r="I23" s="260"/>
    </row>
    <row r="24" spans="1:9">
      <c r="A24" s="255">
        <f t="shared" si="2"/>
        <v>22</v>
      </c>
      <c r="B24" s="256">
        <v>44643</v>
      </c>
      <c r="C24" s="257">
        <v>27.752193999999999</v>
      </c>
      <c r="D24" s="258">
        <v>69.9909135552316</v>
      </c>
      <c r="E24" s="257">
        <f t="shared" si="3"/>
        <v>27.752193999999999</v>
      </c>
      <c r="F24" s="263"/>
      <c r="G24" s="190" t="str">
        <f t="shared" si="4"/>
        <v/>
      </c>
      <c r="H24" s="259" t="str">
        <f t="shared" si="5"/>
        <v/>
      </c>
      <c r="I24" s="260"/>
    </row>
    <row r="25" spans="1:9">
      <c r="A25" s="255">
        <f t="shared" si="2"/>
        <v>23</v>
      </c>
      <c r="B25" s="256">
        <v>44644</v>
      </c>
      <c r="C25" s="257">
        <v>21.947319</v>
      </c>
      <c r="D25" s="258">
        <v>69.9909135552316</v>
      </c>
      <c r="E25" s="257">
        <f t="shared" si="3"/>
        <v>21.947319</v>
      </c>
      <c r="F25" s="263"/>
      <c r="G25" s="190" t="str">
        <f t="shared" si="4"/>
        <v/>
      </c>
      <c r="H25" s="259" t="str">
        <f t="shared" si="5"/>
        <v/>
      </c>
      <c r="I25" s="260"/>
    </row>
    <row r="26" spans="1:9">
      <c r="A26" s="255">
        <f t="shared" si="2"/>
        <v>24</v>
      </c>
      <c r="B26" s="256">
        <v>44645</v>
      </c>
      <c r="C26" s="257">
        <v>26.550758000000002</v>
      </c>
      <c r="D26" s="258">
        <v>69.9909135552316</v>
      </c>
      <c r="E26" s="257">
        <f t="shared" si="3"/>
        <v>26.550758000000002</v>
      </c>
      <c r="F26" s="263"/>
      <c r="G26" s="190" t="str">
        <f t="shared" si="4"/>
        <v/>
      </c>
      <c r="H26" s="259" t="str">
        <f t="shared" si="5"/>
        <v/>
      </c>
      <c r="I26" s="260"/>
    </row>
    <row r="27" spans="1:9">
      <c r="A27" s="255">
        <f t="shared" si="2"/>
        <v>25</v>
      </c>
      <c r="B27" s="256">
        <v>44646</v>
      </c>
      <c r="C27" s="257">
        <v>42.189472000000002</v>
      </c>
      <c r="D27" s="258">
        <v>69.9909135552316</v>
      </c>
      <c r="E27" s="257">
        <f t="shared" si="3"/>
        <v>42.189472000000002</v>
      </c>
      <c r="F27" s="263"/>
      <c r="G27" s="190" t="str">
        <f t="shared" si="4"/>
        <v/>
      </c>
      <c r="H27" s="259" t="str">
        <f t="shared" si="5"/>
        <v/>
      </c>
      <c r="I27" s="260"/>
    </row>
    <row r="28" spans="1:9">
      <c r="A28" s="255">
        <f t="shared" si="2"/>
        <v>26</v>
      </c>
      <c r="B28" s="256">
        <v>44647</v>
      </c>
      <c r="C28" s="257">
        <v>68.668347999999995</v>
      </c>
      <c r="D28" s="258">
        <v>69.9909135552316</v>
      </c>
      <c r="E28" s="257">
        <f t="shared" si="3"/>
        <v>68.668347999999995</v>
      </c>
      <c r="F28" s="263"/>
      <c r="G28" s="190" t="str">
        <f t="shared" si="4"/>
        <v/>
      </c>
      <c r="H28" s="259" t="str">
        <f t="shared" si="5"/>
        <v/>
      </c>
      <c r="I28" s="260"/>
    </row>
    <row r="29" spans="1:9">
      <c r="A29" s="255">
        <f t="shared" si="2"/>
        <v>27</v>
      </c>
      <c r="B29" s="256">
        <v>44648</v>
      </c>
      <c r="C29" s="257">
        <v>55.508578</v>
      </c>
      <c r="D29" s="258">
        <v>69.9909135552316</v>
      </c>
      <c r="E29" s="257">
        <f t="shared" si="3"/>
        <v>55.508578</v>
      </c>
      <c r="F29" s="263"/>
      <c r="G29" s="190" t="str">
        <f t="shared" si="4"/>
        <v/>
      </c>
      <c r="H29" s="259" t="str">
        <f t="shared" si="5"/>
        <v/>
      </c>
      <c r="I29" s="260"/>
    </row>
    <row r="30" spans="1:9">
      <c r="A30" s="255">
        <f t="shared" si="2"/>
        <v>28</v>
      </c>
      <c r="B30" s="256">
        <v>44649</v>
      </c>
      <c r="C30" s="257">
        <v>40.792732000000001</v>
      </c>
      <c r="D30" s="258">
        <v>69.9909135552316</v>
      </c>
      <c r="E30" s="257">
        <f t="shared" si="3"/>
        <v>40.792732000000001</v>
      </c>
      <c r="F30" s="263"/>
      <c r="G30" s="190" t="str">
        <f t="shared" si="4"/>
        <v/>
      </c>
      <c r="H30" s="259" t="str">
        <f t="shared" si="5"/>
        <v/>
      </c>
      <c r="I30" s="260"/>
    </row>
    <row r="31" spans="1:9">
      <c r="A31" s="255">
        <f t="shared" si="2"/>
        <v>29</v>
      </c>
      <c r="B31" s="256">
        <v>44650</v>
      </c>
      <c r="C31" s="257">
        <v>53.814214</v>
      </c>
      <c r="D31" s="258">
        <v>69.9909135552316</v>
      </c>
      <c r="E31" s="257">
        <f t="shared" si="3"/>
        <v>53.814214</v>
      </c>
      <c r="F31" s="263"/>
      <c r="G31" s="190" t="str">
        <f t="shared" si="4"/>
        <v/>
      </c>
      <c r="H31" s="259" t="str">
        <f t="shared" si="5"/>
        <v/>
      </c>
      <c r="I31" s="260"/>
    </row>
    <row r="32" spans="1:9">
      <c r="A32" s="255">
        <f t="shared" si="2"/>
        <v>30</v>
      </c>
      <c r="B32" s="256">
        <v>44651</v>
      </c>
      <c r="C32" s="257">
        <v>68.404088000000002</v>
      </c>
      <c r="D32" s="258">
        <v>69.9909135552316</v>
      </c>
      <c r="E32" s="257">
        <f t="shared" si="3"/>
        <v>68.404088000000002</v>
      </c>
      <c r="F32" s="263"/>
      <c r="G32" s="190" t="str">
        <f t="shared" si="4"/>
        <v/>
      </c>
      <c r="H32" s="259" t="str">
        <f t="shared" si="5"/>
        <v/>
      </c>
      <c r="I32" s="260"/>
    </row>
    <row r="33" spans="1:9">
      <c r="A33" s="255">
        <f t="shared" si="2"/>
        <v>31</v>
      </c>
      <c r="B33" s="256">
        <v>44652</v>
      </c>
      <c r="C33" s="257">
        <v>87.895004</v>
      </c>
      <c r="D33" s="258">
        <v>75.313562685937214</v>
      </c>
      <c r="E33" s="257">
        <f t="shared" si="3"/>
        <v>75.313562685937214</v>
      </c>
      <c r="F33" s="260"/>
      <c r="G33" s="190" t="str">
        <f t="shared" si="4"/>
        <v/>
      </c>
      <c r="H33" s="259" t="str">
        <f t="shared" si="5"/>
        <v/>
      </c>
      <c r="I33" s="260"/>
    </row>
    <row r="34" spans="1:9">
      <c r="A34" s="255">
        <f t="shared" si="2"/>
        <v>32</v>
      </c>
      <c r="B34" s="256">
        <v>44653</v>
      </c>
      <c r="C34" s="257">
        <v>104.82602</v>
      </c>
      <c r="D34" s="258">
        <v>75.313562685937214</v>
      </c>
      <c r="E34" s="257">
        <f t="shared" si="3"/>
        <v>75.313562685937214</v>
      </c>
      <c r="F34" s="263"/>
      <c r="G34" s="190" t="str">
        <f t="shared" si="4"/>
        <v/>
      </c>
      <c r="H34" s="259" t="str">
        <f t="shared" si="5"/>
        <v/>
      </c>
      <c r="I34" s="260"/>
    </row>
    <row r="35" spans="1:9">
      <c r="A35" s="255">
        <f t="shared" si="2"/>
        <v>33</v>
      </c>
      <c r="B35" s="256">
        <v>44654</v>
      </c>
      <c r="C35" s="257">
        <v>99.979323000000008</v>
      </c>
      <c r="D35" s="258">
        <v>75.313562685937214</v>
      </c>
      <c r="E35" s="257">
        <f t="shared" si="3"/>
        <v>75.313562685937214</v>
      </c>
      <c r="F35" s="263"/>
      <c r="G35" s="190" t="str">
        <f t="shared" si="4"/>
        <v/>
      </c>
      <c r="H35" s="259" t="str">
        <f t="shared" si="5"/>
        <v/>
      </c>
      <c r="I35" s="260"/>
    </row>
    <row r="36" spans="1:9">
      <c r="A36" s="255">
        <f t="shared" si="2"/>
        <v>34</v>
      </c>
      <c r="B36" s="256">
        <v>44655</v>
      </c>
      <c r="C36" s="257">
        <v>55.087336000000001</v>
      </c>
      <c r="D36" s="258">
        <v>75.313562685937214</v>
      </c>
      <c r="E36" s="257">
        <f t="shared" si="3"/>
        <v>55.087336000000001</v>
      </c>
      <c r="F36" s="263"/>
      <c r="G36" s="190" t="str">
        <f t="shared" si="4"/>
        <v/>
      </c>
      <c r="H36" s="259" t="str">
        <f t="shared" si="5"/>
        <v/>
      </c>
      <c r="I36" s="260"/>
    </row>
    <row r="37" spans="1:9">
      <c r="A37" s="255">
        <f t="shared" si="2"/>
        <v>35</v>
      </c>
      <c r="B37" s="256">
        <v>44656</v>
      </c>
      <c r="C37" s="257">
        <v>39.091197000000001</v>
      </c>
      <c r="D37" s="258">
        <v>75.313562685937214</v>
      </c>
      <c r="E37" s="257">
        <f t="shared" si="3"/>
        <v>39.091197000000001</v>
      </c>
      <c r="F37" s="263"/>
      <c r="G37" s="190" t="str">
        <f t="shared" si="4"/>
        <v/>
      </c>
      <c r="H37" s="259" t="str">
        <f t="shared" si="5"/>
        <v/>
      </c>
      <c r="I37" s="260"/>
    </row>
    <row r="38" spans="1:9">
      <c r="A38" s="255">
        <f t="shared" si="2"/>
        <v>36</v>
      </c>
      <c r="B38" s="256">
        <v>44657</v>
      </c>
      <c r="C38" s="257">
        <v>93.150326000000007</v>
      </c>
      <c r="D38" s="258">
        <v>75.313562685937214</v>
      </c>
      <c r="E38" s="257">
        <f t="shared" si="3"/>
        <v>75.313562685937214</v>
      </c>
      <c r="F38" s="263"/>
      <c r="G38" s="190" t="str">
        <f t="shared" si="4"/>
        <v/>
      </c>
      <c r="H38" s="259" t="str">
        <f t="shared" si="5"/>
        <v/>
      </c>
      <c r="I38" s="260"/>
    </row>
    <row r="39" spans="1:9">
      <c r="A39" s="255">
        <f t="shared" si="2"/>
        <v>37</v>
      </c>
      <c r="B39" s="256">
        <v>44658</v>
      </c>
      <c r="C39" s="257">
        <v>105.14336499999999</v>
      </c>
      <c r="D39" s="258">
        <v>75.313562685937214</v>
      </c>
      <c r="E39" s="257">
        <f t="shared" si="3"/>
        <v>75.313562685937214</v>
      </c>
      <c r="F39" s="263"/>
      <c r="G39" s="190" t="str">
        <f t="shared" si="4"/>
        <v/>
      </c>
      <c r="H39" s="259" t="str">
        <f t="shared" si="5"/>
        <v/>
      </c>
      <c r="I39" s="260"/>
    </row>
    <row r="40" spans="1:9">
      <c r="A40" s="255">
        <f t="shared" si="2"/>
        <v>38</v>
      </c>
      <c r="B40" s="256">
        <v>44659</v>
      </c>
      <c r="C40" s="257">
        <v>77.472667000000001</v>
      </c>
      <c r="D40" s="258">
        <v>75.313562685937214</v>
      </c>
      <c r="E40" s="257">
        <f t="shared" si="3"/>
        <v>75.313562685937214</v>
      </c>
      <c r="F40" s="263"/>
      <c r="G40" s="190" t="str">
        <f t="shared" si="4"/>
        <v/>
      </c>
      <c r="H40" s="259" t="str">
        <f t="shared" si="5"/>
        <v/>
      </c>
      <c r="I40" s="260"/>
    </row>
    <row r="41" spans="1:9">
      <c r="A41" s="255">
        <f t="shared" si="2"/>
        <v>39</v>
      </c>
      <c r="B41" s="256">
        <v>44660</v>
      </c>
      <c r="C41" s="257">
        <v>80.196585999999996</v>
      </c>
      <c r="D41" s="258">
        <v>75.313562685937214</v>
      </c>
      <c r="E41" s="257">
        <f t="shared" si="3"/>
        <v>75.313562685937214</v>
      </c>
      <c r="F41" s="263"/>
      <c r="G41" s="190" t="str">
        <f t="shared" si="4"/>
        <v/>
      </c>
      <c r="H41" s="259" t="str">
        <f t="shared" si="5"/>
        <v/>
      </c>
      <c r="I41" s="260"/>
    </row>
    <row r="42" spans="1:9">
      <c r="A42" s="255">
        <f t="shared" si="2"/>
        <v>40</v>
      </c>
      <c r="B42" s="256">
        <v>44661</v>
      </c>
      <c r="C42" s="257">
        <v>97.129922000000008</v>
      </c>
      <c r="D42" s="258">
        <v>75.313562685937214</v>
      </c>
      <c r="E42" s="257">
        <f t="shared" si="3"/>
        <v>75.313562685937214</v>
      </c>
      <c r="F42" s="263"/>
      <c r="G42" s="190" t="str">
        <f t="shared" si="4"/>
        <v/>
      </c>
      <c r="H42" s="259" t="str">
        <f t="shared" si="5"/>
        <v/>
      </c>
      <c r="I42" s="260"/>
    </row>
    <row r="43" spans="1:9">
      <c r="A43" s="255">
        <f t="shared" si="2"/>
        <v>41</v>
      </c>
      <c r="B43" s="256">
        <v>44662</v>
      </c>
      <c r="C43" s="257">
        <v>69.466175000000007</v>
      </c>
      <c r="D43" s="258">
        <v>75.313562685937214</v>
      </c>
      <c r="E43" s="257">
        <f t="shared" si="3"/>
        <v>69.466175000000007</v>
      </c>
      <c r="F43" s="263"/>
      <c r="G43" s="190" t="str">
        <f t="shared" si="4"/>
        <v/>
      </c>
      <c r="H43" s="259" t="str">
        <f t="shared" si="5"/>
        <v/>
      </c>
      <c r="I43" s="260"/>
    </row>
    <row r="44" spans="1:9">
      <c r="A44" s="255">
        <f t="shared" si="2"/>
        <v>42</v>
      </c>
      <c r="B44" s="256">
        <v>44663</v>
      </c>
      <c r="C44" s="257">
        <v>51.714264999999997</v>
      </c>
      <c r="D44" s="258">
        <v>75.313562685937214</v>
      </c>
      <c r="E44" s="257">
        <f t="shared" si="3"/>
        <v>51.714264999999997</v>
      </c>
      <c r="F44" s="263"/>
      <c r="G44" s="190" t="str">
        <f t="shared" si="4"/>
        <v/>
      </c>
      <c r="H44" s="259" t="str">
        <f t="shared" si="5"/>
        <v/>
      </c>
      <c r="I44" s="260"/>
    </row>
    <row r="45" spans="1:9">
      <c r="A45" s="255">
        <f t="shared" si="2"/>
        <v>43</v>
      </c>
      <c r="B45" s="256">
        <v>44664</v>
      </c>
      <c r="C45" s="257">
        <v>75.035882000000001</v>
      </c>
      <c r="D45" s="258">
        <v>75.313562685937214</v>
      </c>
      <c r="E45" s="257">
        <f t="shared" si="3"/>
        <v>75.035882000000001</v>
      </c>
      <c r="F45" s="263"/>
      <c r="G45" s="190" t="str">
        <f t="shared" si="4"/>
        <v/>
      </c>
      <c r="H45" s="259" t="str">
        <f t="shared" si="5"/>
        <v/>
      </c>
      <c r="I45" s="260"/>
    </row>
    <row r="46" spans="1:9">
      <c r="A46" s="255">
        <f t="shared" si="2"/>
        <v>44</v>
      </c>
      <c r="B46" s="256">
        <v>44665</v>
      </c>
      <c r="C46" s="257">
        <v>95.315332999999995</v>
      </c>
      <c r="D46" s="258">
        <v>75.313562685937214</v>
      </c>
      <c r="E46" s="257">
        <f t="shared" si="3"/>
        <v>75.313562685937214</v>
      </c>
      <c r="F46" s="263"/>
      <c r="G46" s="190" t="str">
        <f t="shared" si="4"/>
        <v/>
      </c>
      <c r="H46" s="259" t="str">
        <f t="shared" si="5"/>
        <v/>
      </c>
      <c r="I46" s="260"/>
    </row>
    <row r="47" spans="1:9">
      <c r="A47" s="255">
        <f t="shared" si="2"/>
        <v>45</v>
      </c>
      <c r="B47" s="256">
        <v>44666</v>
      </c>
      <c r="C47" s="257">
        <v>103.832346</v>
      </c>
      <c r="D47" s="258">
        <v>75.313562685937214</v>
      </c>
      <c r="E47" s="257">
        <f t="shared" si="3"/>
        <v>75.313562685937214</v>
      </c>
      <c r="F47" s="263"/>
      <c r="G47" s="190" t="str">
        <f t="shared" si="4"/>
        <v>A</v>
      </c>
      <c r="H47" s="259" t="str">
        <f t="shared" si="5"/>
        <v>75,3</v>
      </c>
      <c r="I47" s="260"/>
    </row>
    <row r="48" spans="1:9">
      <c r="A48" s="255">
        <f t="shared" si="2"/>
        <v>46</v>
      </c>
      <c r="B48" s="256">
        <v>44667</v>
      </c>
      <c r="C48" s="257">
        <v>110.89655999999999</v>
      </c>
      <c r="D48" s="258">
        <v>75.313562685937214</v>
      </c>
      <c r="E48" s="257">
        <f t="shared" si="3"/>
        <v>75.313562685937214</v>
      </c>
      <c r="F48" s="263"/>
      <c r="G48" s="190" t="str">
        <f t="shared" si="4"/>
        <v/>
      </c>
      <c r="H48" s="259" t="str">
        <f t="shared" si="5"/>
        <v/>
      </c>
      <c r="I48" s="260"/>
    </row>
    <row r="49" spans="1:9">
      <c r="A49" s="255">
        <f t="shared" si="2"/>
        <v>47</v>
      </c>
      <c r="B49" s="256">
        <v>44668</v>
      </c>
      <c r="C49" s="257">
        <v>101.88423</v>
      </c>
      <c r="D49" s="258">
        <v>75.313562685937214</v>
      </c>
      <c r="E49" s="257">
        <f t="shared" si="3"/>
        <v>75.313562685937214</v>
      </c>
      <c r="F49" s="263"/>
      <c r="G49" s="190" t="str">
        <f t="shared" si="4"/>
        <v/>
      </c>
      <c r="H49" s="259" t="str">
        <f t="shared" si="5"/>
        <v/>
      </c>
      <c r="I49" s="260"/>
    </row>
    <row r="50" spans="1:9">
      <c r="A50" s="255">
        <f t="shared" si="2"/>
        <v>48</v>
      </c>
      <c r="B50" s="256">
        <v>44669</v>
      </c>
      <c r="C50" s="257">
        <v>106.44025000000001</v>
      </c>
      <c r="D50" s="258">
        <v>75.313562685937214</v>
      </c>
      <c r="E50" s="257">
        <f t="shared" si="3"/>
        <v>75.313562685937214</v>
      </c>
      <c r="F50" s="263"/>
      <c r="G50" s="190" t="str">
        <f t="shared" si="4"/>
        <v/>
      </c>
      <c r="H50" s="259" t="str">
        <f t="shared" si="5"/>
        <v/>
      </c>
      <c r="I50" s="260"/>
    </row>
    <row r="51" spans="1:9">
      <c r="A51" s="255">
        <f t="shared" si="2"/>
        <v>49</v>
      </c>
      <c r="B51" s="256">
        <v>44670</v>
      </c>
      <c r="C51" s="257">
        <v>69.877051999999992</v>
      </c>
      <c r="D51" s="258">
        <v>75.313562685937214</v>
      </c>
      <c r="E51" s="257">
        <f t="shared" si="3"/>
        <v>69.877051999999992</v>
      </c>
      <c r="F51" s="263"/>
      <c r="G51" s="190" t="str">
        <f t="shared" si="4"/>
        <v/>
      </c>
      <c r="H51" s="259" t="str">
        <f t="shared" si="5"/>
        <v/>
      </c>
      <c r="I51" s="260"/>
    </row>
    <row r="52" spans="1:9">
      <c r="A52" s="255">
        <f t="shared" si="2"/>
        <v>50</v>
      </c>
      <c r="B52" s="256">
        <v>44671</v>
      </c>
      <c r="C52" s="257">
        <v>49.988691999999993</v>
      </c>
      <c r="D52" s="258">
        <v>75.313562685937214</v>
      </c>
      <c r="E52" s="257">
        <f t="shared" si="3"/>
        <v>49.988691999999993</v>
      </c>
      <c r="F52" s="263"/>
      <c r="G52" s="190" t="str">
        <f t="shared" si="4"/>
        <v/>
      </c>
      <c r="H52" s="259" t="str">
        <f t="shared" si="5"/>
        <v/>
      </c>
      <c r="I52" s="260"/>
    </row>
    <row r="53" spans="1:9">
      <c r="A53" s="255">
        <f t="shared" si="2"/>
        <v>51</v>
      </c>
      <c r="B53" s="256">
        <v>44672</v>
      </c>
      <c r="C53" s="257">
        <v>98.236498000000012</v>
      </c>
      <c r="D53" s="258">
        <v>75.313562685937214</v>
      </c>
      <c r="E53" s="257">
        <f t="shared" si="3"/>
        <v>75.313562685937214</v>
      </c>
      <c r="F53" s="263"/>
      <c r="G53" s="190" t="str">
        <f t="shared" si="4"/>
        <v/>
      </c>
      <c r="H53" s="259" t="str">
        <f t="shared" si="5"/>
        <v/>
      </c>
      <c r="I53" s="260"/>
    </row>
    <row r="54" spans="1:9">
      <c r="A54" s="255">
        <f t="shared" si="2"/>
        <v>52</v>
      </c>
      <c r="B54" s="256">
        <v>44673</v>
      </c>
      <c r="C54" s="257">
        <v>37.812838999999997</v>
      </c>
      <c r="D54" s="258">
        <v>75.313562685937214</v>
      </c>
      <c r="E54" s="257">
        <f t="shared" si="3"/>
        <v>37.812838999999997</v>
      </c>
      <c r="F54" s="263"/>
      <c r="G54" s="190" t="str">
        <f t="shared" si="4"/>
        <v/>
      </c>
      <c r="H54" s="259" t="str">
        <f t="shared" si="5"/>
        <v/>
      </c>
      <c r="I54" s="260"/>
    </row>
    <row r="55" spans="1:9">
      <c r="A55" s="255">
        <f t="shared" si="2"/>
        <v>53</v>
      </c>
      <c r="B55" s="256">
        <v>44674</v>
      </c>
      <c r="C55" s="257">
        <v>70.766553999999999</v>
      </c>
      <c r="D55" s="258">
        <v>75.313562685937214</v>
      </c>
      <c r="E55" s="257">
        <f t="shared" si="3"/>
        <v>70.766553999999999</v>
      </c>
      <c r="F55" s="263"/>
      <c r="G55" s="190" t="str">
        <f t="shared" si="4"/>
        <v/>
      </c>
      <c r="H55" s="259" t="str">
        <f t="shared" si="5"/>
        <v/>
      </c>
      <c r="I55" s="260"/>
    </row>
    <row r="56" spans="1:9">
      <c r="A56" s="255">
        <f t="shared" si="2"/>
        <v>54</v>
      </c>
      <c r="B56" s="256">
        <v>44675</v>
      </c>
      <c r="C56" s="257">
        <v>105.22932</v>
      </c>
      <c r="D56" s="258">
        <v>75.313562685937214</v>
      </c>
      <c r="E56" s="257">
        <f t="shared" si="3"/>
        <v>75.313562685937214</v>
      </c>
      <c r="F56" s="263"/>
      <c r="G56" s="190" t="str">
        <f t="shared" si="4"/>
        <v/>
      </c>
      <c r="H56" s="259" t="str">
        <f t="shared" si="5"/>
        <v/>
      </c>
      <c r="I56" s="260"/>
    </row>
    <row r="57" spans="1:9">
      <c r="A57" s="255">
        <f t="shared" si="2"/>
        <v>55</v>
      </c>
      <c r="B57" s="256">
        <v>44676</v>
      </c>
      <c r="C57" s="257">
        <v>115.178146</v>
      </c>
      <c r="D57" s="258">
        <v>75.313562685937214</v>
      </c>
      <c r="E57" s="257">
        <f t="shared" si="3"/>
        <v>75.313562685937214</v>
      </c>
      <c r="F57" s="263"/>
      <c r="G57" s="190" t="str">
        <f t="shared" si="4"/>
        <v/>
      </c>
      <c r="H57" s="259" t="str">
        <f t="shared" si="5"/>
        <v/>
      </c>
      <c r="I57" s="260"/>
    </row>
    <row r="58" spans="1:9">
      <c r="A58" s="255">
        <f t="shared" si="2"/>
        <v>56</v>
      </c>
      <c r="B58" s="256">
        <v>44677</v>
      </c>
      <c r="C58" s="257">
        <v>84.243058999999988</v>
      </c>
      <c r="D58" s="258">
        <v>75.313562685937214</v>
      </c>
      <c r="E58" s="257">
        <f t="shared" si="3"/>
        <v>75.313562685937214</v>
      </c>
      <c r="F58" s="263"/>
      <c r="G58" s="190" t="str">
        <f t="shared" si="4"/>
        <v/>
      </c>
      <c r="H58" s="259" t="str">
        <f t="shared" si="5"/>
        <v/>
      </c>
      <c r="I58" s="260"/>
    </row>
    <row r="59" spans="1:9">
      <c r="A59" s="255">
        <f t="shared" si="2"/>
        <v>57</v>
      </c>
      <c r="B59" s="256">
        <v>44678</v>
      </c>
      <c r="C59" s="257">
        <v>66.081136999999998</v>
      </c>
      <c r="D59" s="258">
        <v>75.313562685937214</v>
      </c>
      <c r="E59" s="257">
        <f t="shared" si="3"/>
        <v>66.081136999999998</v>
      </c>
      <c r="F59" s="263"/>
      <c r="G59" s="190" t="str">
        <f t="shared" si="4"/>
        <v/>
      </c>
      <c r="H59" s="259" t="str">
        <f t="shared" si="5"/>
        <v/>
      </c>
      <c r="I59" s="260"/>
    </row>
    <row r="60" spans="1:9">
      <c r="A60" s="255">
        <f t="shared" si="2"/>
        <v>58</v>
      </c>
      <c r="B60" s="256">
        <v>44679</v>
      </c>
      <c r="C60" s="257">
        <v>67.240855999999994</v>
      </c>
      <c r="D60" s="258">
        <v>75.313562685937214</v>
      </c>
      <c r="E60" s="257">
        <f t="shared" si="3"/>
        <v>67.240855999999994</v>
      </c>
      <c r="F60" s="263"/>
      <c r="G60" s="190" t="str">
        <f t="shared" si="4"/>
        <v/>
      </c>
      <c r="H60" s="259" t="str">
        <f t="shared" si="5"/>
        <v/>
      </c>
      <c r="I60" s="260"/>
    </row>
    <row r="61" spans="1:9">
      <c r="A61" s="255">
        <f t="shared" si="2"/>
        <v>59</v>
      </c>
      <c r="B61" s="256">
        <v>44680</v>
      </c>
      <c r="C61" s="257">
        <v>112.928438</v>
      </c>
      <c r="D61" s="258">
        <v>75.313562685937214</v>
      </c>
      <c r="E61" s="257">
        <f t="shared" si="3"/>
        <v>75.313562685937214</v>
      </c>
      <c r="F61" s="263"/>
      <c r="G61" s="190" t="str">
        <f t="shared" si="4"/>
        <v/>
      </c>
      <c r="H61" s="259" t="str">
        <f t="shared" si="5"/>
        <v/>
      </c>
      <c r="I61" s="260"/>
    </row>
    <row r="62" spans="1:9">
      <c r="A62" s="255">
        <f t="shared" si="2"/>
        <v>60</v>
      </c>
      <c r="B62" s="256">
        <v>44681</v>
      </c>
      <c r="C62" s="257">
        <v>103.47963300000001</v>
      </c>
      <c r="D62" s="258">
        <v>75.313562685937214</v>
      </c>
      <c r="E62" s="257">
        <f t="shared" si="3"/>
        <v>75.313562685937214</v>
      </c>
      <c r="F62" s="263"/>
      <c r="G62" s="190" t="str">
        <f t="shared" si="4"/>
        <v/>
      </c>
      <c r="H62" s="259" t="str">
        <f t="shared" si="5"/>
        <v/>
      </c>
      <c r="I62" s="260"/>
    </row>
    <row r="63" spans="1:9">
      <c r="A63" s="255">
        <f t="shared" si="2"/>
        <v>61</v>
      </c>
      <c r="B63" s="256">
        <v>44682</v>
      </c>
      <c r="C63" s="257">
        <v>111.138558</v>
      </c>
      <c r="D63" s="258">
        <v>88.924363397018055</v>
      </c>
      <c r="E63" s="257">
        <f t="shared" si="3"/>
        <v>88.924363397018055</v>
      </c>
      <c r="F63" s="260"/>
      <c r="G63" s="190" t="str">
        <f t="shared" si="4"/>
        <v/>
      </c>
      <c r="H63" s="259" t="str">
        <f t="shared" si="5"/>
        <v/>
      </c>
      <c r="I63" s="260"/>
    </row>
    <row r="64" spans="1:9">
      <c r="A64" s="255">
        <f t="shared" si="2"/>
        <v>62</v>
      </c>
      <c r="B64" s="256">
        <v>44683</v>
      </c>
      <c r="C64" s="257">
        <v>85.090758000000008</v>
      </c>
      <c r="D64" s="258">
        <v>88.924363397018055</v>
      </c>
      <c r="E64" s="257">
        <f t="shared" si="3"/>
        <v>85.090758000000008</v>
      </c>
      <c r="F64" s="263"/>
      <c r="G64" s="190" t="str">
        <f t="shared" si="4"/>
        <v/>
      </c>
      <c r="H64" s="259" t="str">
        <f t="shared" si="5"/>
        <v/>
      </c>
      <c r="I64" s="260"/>
    </row>
    <row r="65" spans="1:9">
      <c r="A65" s="255">
        <f t="shared" si="2"/>
        <v>63</v>
      </c>
      <c r="B65" s="256">
        <v>44684</v>
      </c>
      <c r="C65" s="257">
        <v>66.185267999999994</v>
      </c>
      <c r="D65" s="258">
        <v>88.924363397018055</v>
      </c>
      <c r="E65" s="257">
        <f t="shared" si="3"/>
        <v>66.185267999999994</v>
      </c>
      <c r="F65" s="263"/>
      <c r="G65" s="190" t="str">
        <f t="shared" si="4"/>
        <v/>
      </c>
      <c r="H65" s="259" t="str">
        <f t="shared" si="5"/>
        <v/>
      </c>
      <c r="I65" s="260"/>
    </row>
    <row r="66" spans="1:9">
      <c r="A66" s="255">
        <f t="shared" si="2"/>
        <v>64</v>
      </c>
      <c r="B66" s="256">
        <v>44685</v>
      </c>
      <c r="C66" s="257">
        <v>72.241969999999995</v>
      </c>
      <c r="D66" s="258">
        <v>88.924363397018055</v>
      </c>
      <c r="E66" s="257">
        <f t="shared" si="3"/>
        <v>72.241969999999995</v>
      </c>
      <c r="F66" s="263"/>
      <c r="G66" s="190" t="str">
        <f t="shared" si="4"/>
        <v/>
      </c>
      <c r="H66" s="259" t="str">
        <f t="shared" si="5"/>
        <v/>
      </c>
      <c r="I66" s="260"/>
    </row>
    <row r="67" spans="1:9">
      <c r="A67" s="255">
        <f t="shared" si="2"/>
        <v>65</v>
      </c>
      <c r="B67" s="256">
        <v>44686</v>
      </c>
      <c r="C67" s="257">
        <v>111.378096</v>
      </c>
      <c r="D67" s="258">
        <v>88.924363397018055</v>
      </c>
      <c r="E67" s="257">
        <f t="shared" si="3"/>
        <v>88.924363397018055</v>
      </c>
      <c r="F67" s="263"/>
      <c r="G67" s="190" t="str">
        <f t="shared" si="4"/>
        <v/>
      </c>
      <c r="H67" s="259" t="str">
        <f t="shared" si="5"/>
        <v/>
      </c>
      <c r="I67" s="260"/>
    </row>
    <row r="68" spans="1:9">
      <c r="A68" s="255">
        <f t="shared" ref="A68:A131" si="6">+A67+1</f>
        <v>66</v>
      </c>
      <c r="B68" s="256">
        <v>44687</v>
      </c>
      <c r="C68" s="257">
        <v>121.32761000000001</v>
      </c>
      <c r="D68" s="258">
        <v>88.924363397018055</v>
      </c>
      <c r="E68" s="257">
        <f t="shared" ref="E68:E131" si="7">IF(C68&gt;D68,D68,C68)</f>
        <v>88.924363397018055</v>
      </c>
      <c r="F68" s="263"/>
      <c r="G68" s="190" t="str">
        <f t="shared" ref="G68:G131" si="8">IF(DAY(B68)=15,IF(MONTH(B68)=1,"E",IF(MONTH(B68)=2,"F",IF(MONTH(B68)=3,"M",IF(MONTH(B68)=4,"A",IF(MONTH(B68)=5,"M",IF(MONTH(B68)=6,"J",IF(MONTH(B68)=7,"J",IF(MONTH(B68)=8,"A",IF(MONTH(B68)=9,"S",IF(MONTH(B68)=10,"O",IF(MONTH(B68)=11,"N",IF(MONTH(B68)=12,"D","")))))))))))),"")</f>
        <v/>
      </c>
      <c r="H68" s="259" t="str">
        <f t="shared" ref="H68:H131" si="9">IF(DAY($B68)=15,TEXT(D68,"#,0"),"")</f>
        <v/>
      </c>
      <c r="I68" s="260"/>
    </row>
    <row r="69" spans="1:9">
      <c r="A69" s="255">
        <f t="shared" si="6"/>
        <v>67</v>
      </c>
      <c r="B69" s="256">
        <v>44688</v>
      </c>
      <c r="C69" s="257">
        <v>120.202611</v>
      </c>
      <c r="D69" s="258">
        <v>88.924363397018055</v>
      </c>
      <c r="E69" s="257">
        <f t="shared" si="7"/>
        <v>88.924363397018055</v>
      </c>
      <c r="F69" s="263"/>
      <c r="G69" s="190" t="str">
        <f t="shared" si="8"/>
        <v/>
      </c>
      <c r="H69" s="259" t="str">
        <f t="shared" si="9"/>
        <v/>
      </c>
      <c r="I69" s="260"/>
    </row>
    <row r="70" spans="1:9">
      <c r="A70" s="255">
        <f t="shared" si="6"/>
        <v>68</v>
      </c>
      <c r="B70" s="256">
        <v>44689</v>
      </c>
      <c r="C70" s="257">
        <v>117.552834</v>
      </c>
      <c r="D70" s="258">
        <v>88.924363397018055</v>
      </c>
      <c r="E70" s="257">
        <f t="shared" si="7"/>
        <v>88.924363397018055</v>
      </c>
      <c r="F70" s="263"/>
      <c r="G70" s="190" t="str">
        <f t="shared" si="8"/>
        <v/>
      </c>
      <c r="H70" s="259" t="str">
        <f t="shared" si="9"/>
        <v/>
      </c>
      <c r="I70" s="260"/>
    </row>
    <row r="71" spans="1:9">
      <c r="A71" s="255">
        <f t="shared" si="6"/>
        <v>69</v>
      </c>
      <c r="B71" s="256">
        <v>44690</v>
      </c>
      <c r="C71" s="257">
        <v>119.16309800000001</v>
      </c>
      <c r="D71" s="258">
        <v>88.924363397018055</v>
      </c>
      <c r="E71" s="257">
        <f t="shared" si="7"/>
        <v>88.924363397018055</v>
      </c>
      <c r="F71" s="263"/>
      <c r="G71" s="190" t="str">
        <f t="shared" si="8"/>
        <v/>
      </c>
      <c r="H71" s="259" t="str">
        <f t="shared" si="9"/>
        <v/>
      </c>
      <c r="I71" s="260"/>
    </row>
    <row r="72" spans="1:9">
      <c r="A72" s="255">
        <f t="shared" si="6"/>
        <v>70</v>
      </c>
      <c r="B72" s="256">
        <v>44691</v>
      </c>
      <c r="C72" s="257">
        <v>119.58870300000001</v>
      </c>
      <c r="D72" s="258">
        <v>88.924363397018055</v>
      </c>
      <c r="E72" s="257">
        <f t="shared" si="7"/>
        <v>88.924363397018055</v>
      </c>
      <c r="F72" s="263"/>
      <c r="G72" s="190" t="str">
        <f t="shared" si="8"/>
        <v/>
      </c>
      <c r="H72" s="259" t="str">
        <f t="shared" si="9"/>
        <v/>
      </c>
      <c r="I72" s="260"/>
    </row>
    <row r="73" spans="1:9">
      <c r="A73" s="255">
        <f t="shared" si="6"/>
        <v>71</v>
      </c>
      <c r="B73" s="256">
        <v>44692</v>
      </c>
      <c r="C73" s="257">
        <v>112.651034</v>
      </c>
      <c r="D73" s="258">
        <v>88.924363397018055</v>
      </c>
      <c r="E73" s="257">
        <f t="shared" si="7"/>
        <v>88.924363397018055</v>
      </c>
      <c r="F73" s="263"/>
      <c r="G73" s="190" t="str">
        <f t="shared" si="8"/>
        <v/>
      </c>
      <c r="H73" s="259" t="str">
        <f t="shared" si="9"/>
        <v/>
      </c>
      <c r="I73" s="260"/>
    </row>
    <row r="74" spans="1:9">
      <c r="A74" s="255">
        <f t="shared" si="6"/>
        <v>72</v>
      </c>
      <c r="B74" s="256">
        <v>44693</v>
      </c>
      <c r="C74" s="257">
        <v>100.531626</v>
      </c>
      <c r="D74" s="258">
        <v>88.924363397018055</v>
      </c>
      <c r="E74" s="257">
        <f t="shared" si="7"/>
        <v>88.924363397018055</v>
      </c>
      <c r="F74" s="263"/>
      <c r="G74" s="190" t="str">
        <f t="shared" si="8"/>
        <v/>
      </c>
      <c r="H74" s="259" t="str">
        <f t="shared" si="9"/>
        <v/>
      </c>
      <c r="I74" s="260"/>
    </row>
    <row r="75" spans="1:9">
      <c r="A75" s="255">
        <f t="shared" si="6"/>
        <v>73</v>
      </c>
      <c r="B75" s="256">
        <v>44694</v>
      </c>
      <c r="C75" s="257">
        <v>114.21579700000001</v>
      </c>
      <c r="D75" s="258">
        <v>88.924363397018055</v>
      </c>
      <c r="E75" s="257">
        <f t="shared" si="7"/>
        <v>88.924363397018055</v>
      </c>
      <c r="F75" s="263"/>
      <c r="G75" s="190" t="str">
        <f t="shared" si="8"/>
        <v/>
      </c>
      <c r="H75" s="259" t="str">
        <f t="shared" si="9"/>
        <v/>
      </c>
      <c r="I75" s="260"/>
    </row>
    <row r="76" spans="1:9">
      <c r="A76" s="255">
        <f t="shared" si="6"/>
        <v>74</v>
      </c>
      <c r="B76" s="256">
        <v>44695</v>
      </c>
      <c r="C76" s="257">
        <v>97.462623999999991</v>
      </c>
      <c r="D76" s="258">
        <v>88.924363397018055</v>
      </c>
      <c r="E76" s="257">
        <f t="shared" si="7"/>
        <v>88.924363397018055</v>
      </c>
      <c r="F76" s="263"/>
      <c r="G76" s="190" t="str">
        <f t="shared" si="8"/>
        <v/>
      </c>
      <c r="H76" s="259" t="str">
        <f t="shared" si="9"/>
        <v/>
      </c>
      <c r="I76" s="260"/>
    </row>
    <row r="77" spans="1:9">
      <c r="A77" s="255">
        <f t="shared" si="6"/>
        <v>75</v>
      </c>
      <c r="B77" s="256">
        <v>44696</v>
      </c>
      <c r="C77" s="257">
        <v>96.442486000000002</v>
      </c>
      <c r="D77" s="258">
        <v>88.924363397018055</v>
      </c>
      <c r="E77" s="257">
        <f t="shared" si="7"/>
        <v>88.924363397018055</v>
      </c>
      <c r="F77" s="263"/>
      <c r="G77" s="190" t="str">
        <f t="shared" si="8"/>
        <v>M</v>
      </c>
      <c r="H77" s="259" t="str">
        <f t="shared" si="9"/>
        <v>88,9</v>
      </c>
      <c r="I77" s="260"/>
    </row>
    <row r="78" spans="1:9">
      <c r="A78" s="255">
        <f t="shared" si="6"/>
        <v>76</v>
      </c>
      <c r="B78" s="256">
        <v>44697</v>
      </c>
      <c r="C78" s="257">
        <v>116.139053</v>
      </c>
      <c r="D78" s="258">
        <v>88.924363397018055</v>
      </c>
      <c r="E78" s="257">
        <f t="shared" si="7"/>
        <v>88.924363397018055</v>
      </c>
      <c r="F78" s="263"/>
      <c r="G78" s="190" t="str">
        <f t="shared" si="8"/>
        <v/>
      </c>
      <c r="H78" s="259" t="str">
        <f t="shared" si="9"/>
        <v/>
      </c>
      <c r="I78" s="260"/>
    </row>
    <row r="79" spans="1:9">
      <c r="A79" s="255">
        <f t="shared" si="6"/>
        <v>77</v>
      </c>
      <c r="B79" s="256">
        <v>44698</v>
      </c>
      <c r="C79" s="257">
        <v>117.95047199999999</v>
      </c>
      <c r="D79" s="258">
        <v>88.924363397018055</v>
      </c>
      <c r="E79" s="257">
        <f t="shared" si="7"/>
        <v>88.924363397018055</v>
      </c>
      <c r="F79" s="263"/>
      <c r="G79" s="190" t="str">
        <f t="shared" si="8"/>
        <v/>
      </c>
      <c r="H79" s="259" t="str">
        <f t="shared" si="9"/>
        <v/>
      </c>
      <c r="I79" s="260"/>
    </row>
    <row r="80" spans="1:9">
      <c r="A80" s="255">
        <f t="shared" si="6"/>
        <v>78</v>
      </c>
      <c r="B80" s="256">
        <v>44699</v>
      </c>
      <c r="C80" s="257">
        <v>108.768536</v>
      </c>
      <c r="D80" s="258">
        <v>88.924363397018055</v>
      </c>
      <c r="E80" s="257">
        <f t="shared" si="7"/>
        <v>88.924363397018055</v>
      </c>
      <c r="F80" s="263"/>
      <c r="G80" s="190" t="str">
        <f t="shared" si="8"/>
        <v/>
      </c>
      <c r="H80" s="259" t="str">
        <f t="shared" si="9"/>
        <v/>
      </c>
      <c r="I80" s="260"/>
    </row>
    <row r="81" spans="1:9">
      <c r="A81" s="255">
        <f t="shared" si="6"/>
        <v>79</v>
      </c>
      <c r="B81" s="256">
        <v>44700</v>
      </c>
      <c r="C81" s="257">
        <v>107.064959</v>
      </c>
      <c r="D81" s="258">
        <v>88.924363397018055</v>
      </c>
      <c r="E81" s="257">
        <f t="shared" si="7"/>
        <v>88.924363397018055</v>
      </c>
      <c r="F81" s="263"/>
      <c r="G81" s="190" t="str">
        <f t="shared" si="8"/>
        <v/>
      </c>
      <c r="H81" s="259" t="str">
        <f t="shared" si="9"/>
        <v/>
      </c>
      <c r="I81" s="260"/>
    </row>
    <row r="82" spans="1:9">
      <c r="A82" s="255">
        <f t="shared" si="6"/>
        <v>80</v>
      </c>
      <c r="B82" s="256">
        <v>44701</v>
      </c>
      <c r="C82" s="257">
        <v>92.292722999999995</v>
      </c>
      <c r="D82" s="258">
        <v>88.924363397018055</v>
      </c>
      <c r="E82" s="257">
        <f t="shared" si="7"/>
        <v>88.924363397018055</v>
      </c>
      <c r="F82" s="263"/>
      <c r="G82" s="190" t="str">
        <f t="shared" si="8"/>
        <v/>
      </c>
      <c r="H82" s="259" t="str">
        <f t="shared" si="9"/>
        <v/>
      </c>
      <c r="I82" s="260"/>
    </row>
    <row r="83" spans="1:9">
      <c r="A83" s="255">
        <f t="shared" si="6"/>
        <v>81</v>
      </c>
      <c r="B83" s="256">
        <v>44702</v>
      </c>
      <c r="C83" s="257">
        <v>82.564250999999999</v>
      </c>
      <c r="D83" s="258">
        <v>88.924363397018055</v>
      </c>
      <c r="E83" s="257">
        <f t="shared" si="7"/>
        <v>82.564250999999999</v>
      </c>
      <c r="F83" s="263"/>
      <c r="G83" s="190" t="str">
        <f t="shared" si="8"/>
        <v/>
      </c>
      <c r="H83" s="259" t="str">
        <f t="shared" si="9"/>
        <v/>
      </c>
      <c r="I83" s="260"/>
    </row>
    <row r="84" spans="1:9">
      <c r="A84" s="255">
        <f t="shared" si="6"/>
        <v>82</v>
      </c>
      <c r="B84" s="256">
        <v>44703</v>
      </c>
      <c r="C84" s="257">
        <v>80.571767000000008</v>
      </c>
      <c r="D84" s="258">
        <v>88.924363397018055</v>
      </c>
      <c r="E84" s="257">
        <f t="shared" si="7"/>
        <v>80.571767000000008</v>
      </c>
      <c r="F84" s="263"/>
      <c r="G84" s="190" t="str">
        <f t="shared" si="8"/>
        <v/>
      </c>
      <c r="H84" s="259" t="str">
        <f t="shared" si="9"/>
        <v/>
      </c>
      <c r="I84" s="260"/>
    </row>
    <row r="85" spans="1:9">
      <c r="A85" s="255">
        <f t="shared" si="6"/>
        <v>83</v>
      </c>
      <c r="B85" s="256">
        <v>44704</v>
      </c>
      <c r="C85" s="257">
        <v>113.180476</v>
      </c>
      <c r="D85" s="258">
        <v>88.924363397018055</v>
      </c>
      <c r="E85" s="257">
        <f t="shared" si="7"/>
        <v>88.924363397018055</v>
      </c>
      <c r="F85" s="263"/>
      <c r="G85" s="190" t="str">
        <f t="shared" si="8"/>
        <v/>
      </c>
      <c r="H85" s="259" t="str">
        <f t="shared" si="9"/>
        <v/>
      </c>
      <c r="I85" s="260"/>
    </row>
    <row r="86" spans="1:9">
      <c r="A86" s="255">
        <f t="shared" si="6"/>
        <v>84</v>
      </c>
      <c r="B86" s="256">
        <v>44705</v>
      </c>
      <c r="C86" s="257">
        <v>95.798518999999999</v>
      </c>
      <c r="D86" s="258">
        <v>88.924363397018055</v>
      </c>
      <c r="E86" s="257">
        <f t="shared" si="7"/>
        <v>88.924363397018055</v>
      </c>
      <c r="F86" s="263"/>
      <c r="G86" s="190" t="str">
        <f t="shared" si="8"/>
        <v/>
      </c>
      <c r="H86" s="259" t="str">
        <f t="shared" si="9"/>
        <v/>
      </c>
      <c r="I86" s="260"/>
    </row>
    <row r="87" spans="1:9">
      <c r="A87" s="255">
        <f t="shared" si="6"/>
        <v>85</v>
      </c>
      <c r="B87" s="256">
        <v>44706</v>
      </c>
      <c r="C87" s="257">
        <v>115.30036800000001</v>
      </c>
      <c r="D87" s="258">
        <v>88.924363397018055</v>
      </c>
      <c r="E87" s="257">
        <f t="shared" si="7"/>
        <v>88.924363397018055</v>
      </c>
      <c r="F87" s="263"/>
      <c r="G87" s="190" t="str">
        <f t="shared" si="8"/>
        <v/>
      </c>
      <c r="H87" s="259" t="str">
        <f t="shared" si="9"/>
        <v/>
      </c>
      <c r="I87" s="260"/>
    </row>
    <row r="88" spans="1:9">
      <c r="A88" s="255">
        <f t="shared" si="6"/>
        <v>86</v>
      </c>
      <c r="B88" s="256">
        <v>44707</v>
      </c>
      <c r="C88" s="257">
        <v>126.23812800000002</v>
      </c>
      <c r="D88" s="258">
        <v>88.924363397018055</v>
      </c>
      <c r="E88" s="257">
        <f t="shared" si="7"/>
        <v>88.924363397018055</v>
      </c>
      <c r="F88" s="263"/>
      <c r="G88" s="190" t="str">
        <f t="shared" si="8"/>
        <v/>
      </c>
      <c r="H88" s="259" t="str">
        <f t="shared" si="9"/>
        <v/>
      </c>
      <c r="I88" s="260"/>
    </row>
    <row r="89" spans="1:9">
      <c r="A89" s="255">
        <f t="shared" si="6"/>
        <v>87</v>
      </c>
      <c r="B89" s="256">
        <v>44708</v>
      </c>
      <c r="C89" s="257">
        <v>124.336591</v>
      </c>
      <c r="D89" s="258">
        <v>88.924363397018055</v>
      </c>
      <c r="E89" s="257">
        <f t="shared" si="7"/>
        <v>88.924363397018055</v>
      </c>
      <c r="F89" s="263"/>
      <c r="G89" s="190" t="str">
        <f t="shared" si="8"/>
        <v/>
      </c>
      <c r="H89" s="259" t="str">
        <f t="shared" si="9"/>
        <v/>
      </c>
      <c r="I89" s="260"/>
    </row>
    <row r="90" spans="1:9">
      <c r="A90" s="255">
        <f t="shared" si="6"/>
        <v>88</v>
      </c>
      <c r="B90" s="256">
        <v>44709</v>
      </c>
      <c r="C90" s="257">
        <v>120.71422</v>
      </c>
      <c r="D90" s="258">
        <v>88.924363397018055</v>
      </c>
      <c r="E90" s="257">
        <f t="shared" si="7"/>
        <v>88.924363397018055</v>
      </c>
      <c r="F90" s="263"/>
      <c r="G90" s="190" t="str">
        <f t="shared" si="8"/>
        <v/>
      </c>
      <c r="H90" s="259" t="str">
        <f t="shared" si="9"/>
        <v/>
      </c>
      <c r="I90" s="260"/>
    </row>
    <row r="91" spans="1:9">
      <c r="A91" s="255">
        <f t="shared" si="6"/>
        <v>89</v>
      </c>
      <c r="B91" s="256">
        <v>44710</v>
      </c>
      <c r="C91" s="257">
        <v>112.37822199999999</v>
      </c>
      <c r="D91" s="258">
        <v>88.924363397018055</v>
      </c>
      <c r="E91" s="257">
        <f t="shared" si="7"/>
        <v>88.924363397018055</v>
      </c>
      <c r="F91" s="263"/>
      <c r="G91" s="190" t="str">
        <f t="shared" si="8"/>
        <v/>
      </c>
      <c r="H91" s="259" t="str">
        <f t="shared" si="9"/>
        <v/>
      </c>
      <c r="I91" s="260"/>
    </row>
    <row r="92" spans="1:9">
      <c r="A92" s="255">
        <f t="shared" si="6"/>
        <v>90</v>
      </c>
      <c r="B92" s="256">
        <v>44711</v>
      </c>
      <c r="C92" s="257">
        <v>94.097832999999994</v>
      </c>
      <c r="D92" s="258">
        <v>88.924363397018055</v>
      </c>
      <c r="E92" s="257">
        <f t="shared" si="7"/>
        <v>88.924363397018055</v>
      </c>
      <c r="F92" s="263"/>
      <c r="G92" s="190" t="str">
        <f t="shared" si="8"/>
        <v/>
      </c>
      <c r="H92" s="259" t="str">
        <f t="shared" si="9"/>
        <v/>
      </c>
      <c r="I92" s="260"/>
    </row>
    <row r="93" spans="1:9">
      <c r="A93" s="255">
        <f t="shared" si="6"/>
        <v>91</v>
      </c>
      <c r="B93" s="256">
        <v>44712</v>
      </c>
      <c r="C93" s="257">
        <v>120.835729</v>
      </c>
      <c r="D93" s="258">
        <v>88.924363397018055</v>
      </c>
      <c r="E93" s="257">
        <f t="shared" si="7"/>
        <v>88.924363397018055</v>
      </c>
      <c r="F93" s="263"/>
      <c r="G93" s="190" t="str">
        <f t="shared" si="8"/>
        <v/>
      </c>
      <c r="H93" s="259" t="str">
        <f t="shared" si="9"/>
        <v/>
      </c>
      <c r="I93" s="260"/>
    </row>
    <row r="94" spans="1:9">
      <c r="A94" s="255">
        <f t="shared" si="6"/>
        <v>92</v>
      </c>
      <c r="B94" s="256">
        <v>44713</v>
      </c>
      <c r="C94" s="257">
        <v>104.083229</v>
      </c>
      <c r="D94" s="258">
        <v>93.325941984536158</v>
      </c>
      <c r="E94" s="257">
        <f t="shared" si="7"/>
        <v>93.325941984536158</v>
      </c>
      <c r="F94" s="260"/>
      <c r="G94" s="190" t="str">
        <f t="shared" si="8"/>
        <v/>
      </c>
      <c r="H94" s="259" t="str">
        <f t="shared" si="9"/>
        <v/>
      </c>
      <c r="I94" s="260"/>
    </row>
    <row r="95" spans="1:9">
      <c r="A95" s="255">
        <f t="shared" si="6"/>
        <v>93</v>
      </c>
      <c r="B95" s="256">
        <v>44714</v>
      </c>
      <c r="C95" s="257">
        <v>96.941939000000005</v>
      </c>
      <c r="D95" s="258">
        <v>93.325941984536158</v>
      </c>
      <c r="E95" s="257">
        <f t="shared" si="7"/>
        <v>93.325941984536158</v>
      </c>
      <c r="F95" s="263"/>
      <c r="G95" s="190" t="str">
        <f t="shared" si="8"/>
        <v/>
      </c>
      <c r="H95" s="259" t="str">
        <f t="shared" si="9"/>
        <v/>
      </c>
      <c r="I95" s="260"/>
    </row>
    <row r="96" spans="1:9">
      <c r="A96" s="255">
        <f t="shared" si="6"/>
        <v>94</v>
      </c>
      <c r="B96" s="256">
        <v>44715</v>
      </c>
      <c r="C96" s="257">
        <v>106.861419</v>
      </c>
      <c r="D96" s="258">
        <v>93.325941984536158</v>
      </c>
      <c r="E96" s="257">
        <f t="shared" si="7"/>
        <v>93.325941984536158</v>
      </c>
      <c r="F96" s="263"/>
      <c r="G96" s="190" t="str">
        <f t="shared" si="8"/>
        <v/>
      </c>
      <c r="H96" s="259" t="str">
        <f t="shared" si="9"/>
        <v/>
      </c>
      <c r="I96" s="260"/>
    </row>
    <row r="97" spans="1:9">
      <c r="A97" s="255">
        <f t="shared" si="6"/>
        <v>95</v>
      </c>
      <c r="B97" s="256">
        <v>44716</v>
      </c>
      <c r="C97" s="257">
        <v>107.799632</v>
      </c>
      <c r="D97" s="258">
        <v>93.325941984536158</v>
      </c>
      <c r="E97" s="257">
        <f t="shared" si="7"/>
        <v>93.325941984536158</v>
      </c>
      <c r="F97" s="263"/>
      <c r="G97" s="190" t="str">
        <f t="shared" si="8"/>
        <v/>
      </c>
      <c r="H97" s="259" t="str">
        <f t="shared" si="9"/>
        <v/>
      </c>
      <c r="I97" s="260"/>
    </row>
    <row r="98" spans="1:9">
      <c r="A98" s="255">
        <f t="shared" si="6"/>
        <v>96</v>
      </c>
      <c r="B98" s="256">
        <v>44717</v>
      </c>
      <c r="C98" s="257">
        <v>122.337391</v>
      </c>
      <c r="D98" s="258">
        <v>93.325941984536158</v>
      </c>
      <c r="E98" s="257">
        <f t="shared" si="7"/>
        <v>93.325941984536158</v>
      </c>
      <c r="F98" s="263"/>
      <c r="G98" s="190" t="str">
        <f t="shared" si="8"/>
        <v/>
      </c>
      <c r="H98" s="259" t="str">
        <f t="shared" si="9"/>
        <v/>
      </c>
      <c r="I98" s="260"/>
    </row>
    <row r="99" spans="1:9">
      <c r="A99" s="255">
        <f t="shared" si="6"/>
        <v>97</v>
      </c>
      <c r="B99" s="256">
        <v>44718</v>
      </c>
      <c r="C99" s="257">
        <v>111.287632</v>
      </c>
      <c r="D99" s="258">
        <v>93.325941984536158</v>
      </c>
      <c r="E99" s="257">
        <f t="shared" si="7"/>
        <v>93.325941984536158</v>
      </c>
      <c r="F99" s="263"/>
      <c r="G99" s="190" t="str">
        <f t="shared" si="8"/>
        <v/>
      </c>
      <c r="H99" s="259" t="str">
        <f t="shared" si="9"/>
        <v/>
      </c>
      <c r="I99" s="260"/>
    </row>
    <row r="100" spans="1:9">
      <c r="A100" s="255">
        <f t="shared" si="6"/>
        <v>98</v>
      </c>
      <c r="B100" s="256">
        <v>44719</v>
      </c>
      <c r="C100" s="257">
        <v>119.504161</v>
      </c>
      <c r="D100" s="258">
        <v>93.325941984536158</v>
      </c>
      <c r="E100" s="257">
        <f t="shared" si="7"/>
        <v>93.325941984536158</v>
      </c>
      <c r="F100" s="263"/>
      <c r="G100" s="190" t="str">
        <f t="shared" si="8"/>
        <v/>
      </c>
      <c r="H100" s="259" t="str">
        <f t="shared" si="9"/>
        <v/>
      </c>
      <c r="I100" s="260"/>
    </row>
    <row r="101" spans="1:9">
      <c r="A101" s="255">
        <f t="shared" si="6"/>
        <v>99</v>
      </c>
      <c r="B101" s="256">
        <v>44720</v>
      </c>
      <c r="C101" s="257">
        <v>96.868734000000003</v>
      </c>
      <c r="D101" s="258">
        <v>93.325941984536158</v>
      </c>
      <c r="E101" s="257">
        <f t="shared" si="7"/>
        <v>93.325941984536158</v>
      </c>
      <c r="F101" s="263"/>
      <c r="G101" s="190" t="str">
        <f t="shared" si="8"/>
        <v/>
      </c>
      <c r="H101" s="259" t="str">
        <f t="shared" si="9"/>
        <v/>
      </c>
      <c r="I101" s="260"/>
    </row>
    <row r="102" spans="1:9">
      <c r="A102" s="255">
        <f t="shared" si="6"/>
        <v>100</v>
      </c>
      <c r="B102" s="256">
        <v>44721</v>
      </c>
      <c r="C102" s="257">
        <v>121.76086599999999</v>
      </c>
      <c r="D102" s="258">
        <v>93.325941984536158</v>
      </c>
      <c r="E102" s="257">
        <f t="shared" si="7"/>
        <v>93.325941984536158</v>
      </c>
      <c r="F102" s="263"/>
      <c r="G102" s="190" t="str">
        <f t="shared" si="8"/>
        <v/>
      </c>
      <c r="H102" s="259" t="str">
        <f t="shared" si="9"/>
        <v/>
      </c>
      <c r="I102" s="260"/>
    </row>
    <row r="103" spans="1:9">
      <c r="A103" s="255">
        <f t="shared" si="6"/>
        <v>101</v>
      </c>
      <c r="B103" s="256">
        <v>44722</v>
      </c>
      <c r="C103" s="257">
        <v>104.01856600000001</v>
      </c>
      <c r="D103" s="258">
        <v>93.325941984536158</v>
      </c>
      <c r="E103" s="257">
        <f t="shared" si="7"/>
        <v>93.325941984536158</v>
      </c>
      <c r="F103" s="263"/>
      <c r="G103" s="190" t="str">
        <f t="shared" si="8"/>
        <v/>
      </c>
      <c r="H103" s="259" t="str">
        <f t="shared" si="9"/>
        <v/>
      </c>
      <c r="I103" s="260"/>
    </row>
    <row r="104" spans="1:9">
      <c r="A104" s="255">
        <f t="shared" si="6"/>
        <v>102</v>
      </c>
      <c r="B104" s="256">
        <v>44723</v>
      </c>
      <c r="C104" s="257">
        <v>108.42855800000001</v>
      </c>
      <c r="D104" s="258">
        <v>93.325941984536158</v>
      </c>
      <c r="E104" s="257">
        <f t="shared" si="7"/>
        <v>93.325941984536158</v>
      </c>
      <c r="F104" s="263"/>
      <c r="G104" s="190" t="str">
        <f t="shared" si="8"/>
        <v/>
      </c>
      <c r="H104" s="259" t="str">
        <f t="shared" si="9"/>
        <v/>
      </c>
      <c r="I104" s="260"/>
    </row>
    <row r="105" spans="1:9">
      <c r="A105" s="255">
        <f t="shared" si="6"/>
        <v>103</v>
      </c>
      <c r="B105" s="256">
        <v>44724</v>
      </c>
      <c r="C105" s="257">
        <v>103.64943799999999</v>
      </c>
      <c r="D105" s="258">
        <v>93.325941984536158</v>
      </c>
      <c r="E105" s="257">
        <f t="shared" si="7"/>
        <v>93.325941984536158</v>
      </c>
      <c r="F105" s="263"/>
      <c r="G105" s="190" t="str">
        <f t="shared" si="8"/>
        <v/>
      </c>
      <c r="H105" s="259" t="str">
        <f t="shared" si="9"/>
        <v/>
      </c>
      <c r="I105" s="260"/>
    </row>
    <row r="106" spans="1:9">
      <c r="A106" s="255">
        <f t="shared" si="6"/>
        <v>104</v>
      </c>
      <c r="B106" s="256">
        <v>44725</v>
      </c>
      <c r="C106" s="257">
        <v>94.731854000000013</v>
      </c>
      <c r="D106" s="258">
        <v>93.325941984536158</v>
      </c>
      <c r="E106" s="257">
        <f t="shared" si="7"/>
        <v>93.325941984536158</v>
      </c>
      <c r="F106" s="263"/>
      <c r="G106" s="190" t="str">
        <f t="shared" si="8"/>
        <v/>
      </c>
      <c r="H106" s="259" t="str">
        <f t="shared" si="9"/>
        <v/>
      </c>
      <c r="I106" s="260"/>
    </row>
    <row r="107" spans="1:9">
      <c r="A107" s="255">
        <f t="shared" si="6"/>
        <v>105</v>
      </c>
      <c r="B107" s="256">
        <v>44726</v>
      </c>
      <c r="C107" s="257">
        <v>98.790509</v>
      </c>
      <c r="D107" s="258">
        <v>93.325941984536158</v>
      </c>
      <c r="E107" s="257">
        <f t="shared" si="7"/>
        <v>93.325941984536158</v>
      </c>
      <c r="F107" s="263"/>
      <c r="G107" s="190" t="str">
        <f t="shared" si="8"/>
        <v/>
      </c>
      <c r="H107" s="259" t="str">
        <f t="shared" si="9"/>
        <v/>
      </c>
      <c r="I107" s="260"/>
    </row>
    <row r="108" spans="1:9">
      <c r="A108" s="255">
        <f t="shared" si="6"/>
        <v>106</v>
      </c>
      <c r="B108" s="256">
        <v>44727</v>
      </c>
      <c r="C108" s="257">
        <v>84.602587999999997</v>
      </c>
      <c r="D108" s="258">
        <v>93.325941984536158</v>
      </c>
      <c r="E108" s="257">
        <f t="shared" si="7"/>
        <v>84.602587999999997</v>
      </c>
      <c r="F108" s="263"/>
      <c r="G108" s="190" t="str">
        <f t="shared" si="8"/>
        <v>J</v>
      </c>
      <c r="H108" s="259" t="str">
        <f t="shared" si="9"/>
        <v>93,3</v>
      </c>
      <c r="I108" s="260"/>
    </row>
    <row r="109" spans="1:9">
      <c r="A109" s="255">
        <f t="shared" si="6"/>
        <v>107</v>
      </c>
      <c r="B109" s="256">
        <v>44728</v>
      </c>
      <c r="C109" s="257">
        <v>88.870991000000004</v>
      </c>
      <c r="D109" s="258">
        <v>93.325941984536158</v>
      </c>
      <c r="E109" s="257">
        <f t="shared" si="7"/>
        <v>88.870991000000004</v>
      </c>
      <c r="F109" s="263"/>
      <c r="G109" s="190" t="str">
        <f t="shared" si="8"/>
        <v/>
      </c>
      <c r="H109" s="259" t="str">
        <f t="shared" si="9"/>
        <v/>
      </c>
      <c r="I109" s="260"/>
    </row>
    <row r="110" spans="1:9">
      <c r="A110" s="255">
        <f t="shared" si="6"/>
        <v>108</v>
      </c>
      <c r="B110" s="256">
        <v>44729</v>
      </c>
      <c r="C110" s="257">
        <v>96.983722</v>
      </c>
      <c r="D110" s="258">
        <v>93.325941984536158</v>
      </c>
      <c r="E110" s="257">
        <f t="shared" si="7"/>
        <v>93.325941984536158</v>
      </c>
      <c r="F110" s="263"/>
      <c r="G110" s="190" t="str">
        <f t="shared" si="8"/>
        <v/>
      </c>
      <c r="H110" s="259" t="str">
        <f t="shared" si="9"/>
        <v/>
      </c>
      <c r="I110" s="260"/>
    </row>
    <row r="111" spans="1:9">
      <c r="A111" s="255">
        <f t="shared" si="6"/>
        <v>109</v>
      </c>
      <c r="B111" s="256">
        <v>44730</v>
      </c>
      <c r="C111" s="257">
        <v>105.176568</v>
      </c>
      <c r="D111" s="258">
        <v>93.325941984536158</v>
      </c>
      <c r="E111" s="257">
        <f t="shared" si="7"/>
        <v>93.325941984536158</v>
      </c>
      <c r="F111" s="263"/>
      <c r="G111" s="190" t="str">
        <f t="shared" si="8"/>
        <v/>
      </c>
      <c r="H111" s="259" t="str">
        <f t="shared" si="9"/>
        <v/>
      </c>
      <c r="I111" s="260"/>
    </row>
    <row r="112" spans="1:9">
      <c r="A112" s="255">
        <f t="shared" si="6"/>
        <v>110</v>
      </c>
      <c r="B112" s="256">
        <v>44731</v>
      </c>
      <c r="C112" s="257">
        <v>103.564939</v>
      </c>
      <c r="D112" s="258">
        <v>93.325941984536158</v>
      </c>
      <c r="E112" s="257">
        <f t="shared" si="7"/>
        <v>93.325941984536158</v>
      </c>
      <c r="F112" s="263"/>
      <c r="G112" s="190" t="str">
        <f t="shared" si="8"/>
        <v/>
      </c>
      <c r="H112" s="259" t="str">
        <f t="shared" si="9"/>
        <v/>
      </c>
      <c r="I112" s="260"/>
    </row>
    <row r="113" spans="1:9">
      <c r="A113" s="255">
        <f t="shared" si="6"/>
        <v>111</v>
      </c>
      <c r="B113" s="256">
        <v>44732</v>
      </c>
      <c r="C113" s="257">
        <v>98.235765999999998</v>
      </c>
      <c r="D113" s="258">
        <v>93.325941984536158</v>
      </c>
      <c r="E113" s="257">
        <f t="shared" si="7"/>
        <v>93.325941984536158</v>
      </c>
      <c r="F113" s="263"/>
      <c r="G113" s="190" t="str">
        <f t="shared" si="8"/>
        <v/>
      </c>
      <c r="H113" s="259" t="str">
        <f t="shared" si="9"/>
        <v/>
      </c>
      <c r="I113" s="260"/>
    </row>
    <row r="114" spans="1:9">
      <c r="A114" s="255">
        <f t="shared" si="6"/>
        <v>112</v>
      </c>
      <c r="B114" s="256">
        <v>44733</v>
      </c>
      <c r="C114" s="257">
        <v>90.255692999999994</v>
      </c>
      <c r="D114" s="258">
        <v>93.325941984536158</v>
      </c>
      <c r="E114" s="257">
        <f t="shared" si="7"/>
        <v>90.255692999999994</v>
      </c>
      <c r="F114" s="263"/>
      <c r="G114" s="190" t="str">
        <f t="shared" si="8"/>
        <v/>
      </c>
      <c r="H114" s="259" t="str">
        <f t="shared" si="9"/>
        <v/>
      </c>
      <c r="I114" s="260"/>
    </row>
    <row r="115" spans="1:9">
      <c r="A115" s="255">
        <f t="shared" si="6"/>
        <v>113</v>
      </c>
      <c r="B115" s="256">
        <v>44734</v>
      </c>
      <c r="C115" s="257">
        <v>91.027507</v>
      </c>
      <c r="D115" s="258">
        <v>93.325941984536158</v>
      </c>
      <c r="E115" s="257">
        <f t="shared" si="7"/>
        <v>91.027507</v>
      </c>
      <c r="F115" s="263"/>
      <c r="G115" s="190" t="str">
        <f t="shared" si="8"/>
        <v/>
      </c>
      <c r="H115" s="259" t="str">
        <f t="shared" si="9"/>
        <v/>
      </c>
      <c r="I115" s="260"/>
    </row>
    <row r="116" spans="1:9">
      <c r="A116" s="255">
        <f t="shared" si="6"/>
        <v>114</v>
      </c>
      <c r="B116" s="256">
        <v>44735</v>
      </c>
      <c r="C116" s="257">
        <v>92.468627999999995</v>
      </c>
      <c r="D116" s="258">
        <v>93.325941984536158</v>
      </c>
      <c r="E116" s="257">
        <f t="shared" si="7"/>
        <v>92.468627999999995</v>
      </c>
      <c r="F116" s="263"/>
      <c r="G116" s="190" t="str">
        <f t="shared" si="8"/>
        <v/>
      </c>
      <c r="H116" s="259" t="str">
        <f t="shared" si="9"/>
        <v/>
      </c>
      <c r="I116" s="260"/>
    </row>
    <row r="117" spans="1:9">
      <c r="A117" s="255">
        <f t="shared" si="6"/>
        <v>115</v>
      </c>
      <c r="B117" s="256">
        <v>44736</v>
      </c>
      <c r="C117" s="257">
        <v>120.737334</v>
      </c>
      <c r="D117" s="258">
        <v>93.325941984536158</v>
      </c>
      <c r="E117" s="257">
        <f t="shared" si="7"/>
        <v>93.325941984536158</v>
      </c>
      <c r="F117" s="263"/>
      <c r="G117" s="190" t="str">
        <f t="shared" si="8"/>
        <v/>
      </c>
      <c r="H117" s="259" t="str">
        <f t="shared" si="9"/>
        <v/>
      </c>
      <c r="I117" s="260"/>
    </row>
    <row r="118" spans="1:9">
      <c r="A118" s="255">
        <f t="shared" si="6"/>
        <v>116</v>
      </c>
      <c r="B118" s="256">
        <v>44737</v>
      </c>
      <c r="C118" s="257">
        <v>112.647632</v>
      </c>
      <c r="D118" s="258">
        <v>93.325941984536158</v>
      </c>
      <c r="E118" s="257">
        <f t="shared" si="7"/>
        <v>93.325941984536158</v>
      </c>
      <c r="F118" s="263"/>
      <c r="G118" s="190" t="str">
        <f t="shared" si="8"/>
        <v/>
      </c>
      <c r="H118" s="259" t="str">
        <f t="shared" si="9"/>
        <v/>
      </c>
      <c r="I118" s="260"/>
    </row>
    <row r="119" spans="1:9">
      <c r="A119" s="255">
        <f t="shared" si="6"/>
        <v>117</v>
      </c>
      <c r="B119" s="256">
        <v>44738</v>
      </c>
      <c r="C119" s="257">
        <v>119.115561</v>
      </c>
      <c r="D119" s="258">
        <v>93.325941984536158</v>
      </c>
      <c r="E119" s="257">
        <f t="shared" si="7"/>
        <v>93.325941984536158</v>
      </c>
      <c r="F119" s="263"/>
      <c r="G119" s="190" t="str">
        <f t="shared" si="8"/>
        <v/>
      </c>
      <c r="H119" s="259" t="str">
        <f t="shared" si="9"/>
        <v/>
      </c>
      <c r="I119" s="260"/>
    </row>
    <row r="120" spans="1:9">
      <c r="A120" s="255">
        <f t="shared" si="6"/>
        <v>118</v>
      </c>
      <c r="B120" s="256">
        <v>44739</v>
      </c>
      <c r="C120" s="257">
        <v>110.757907</v>
      </c>
      <c r="D120" s="258">
        <v>93.325941984536158</v>
      </c>
      <c r="E120" s="257">
        <f t="shared" si="7"/>
        <v>93.325941984536158</v>
      </c>
      <c r="F120" s="263"/>
      <c r="G120" s="190" t="str">
        <f t="shared" si="8"/>
        <v/>
      </c>
      <c r="H120" s="259" t="str">
        <f t="shared" si="9"/>
        <v/>
      </c>
      <c r="I120" s="260"/>
    </row>
    <row r="121" spans="1:9">
      <c r="A121" s="255">
        <f t="shared" si="6"/>
        <v>119</v>
      </c>
      <c r="B121" s="256">
        <v>44740</v>
      </c>
      <c r="C121" s="257">
        <v>119.171032</v>
      </c>
      <c r="D121" s="258">
        <v>93.325941984536158</v>
      </c>
      <c r="E121" s="257">
        <f t="shared" si="7"/>
        <v>93.325941984536158</v>
      </c>
      <c r="F121" s="263"/>
      <c r="G121" s="190" t="str">
        <f t="shared" si="8"/>
        <v/>
      </c>
      <c r="H121" s="259" t="str">
        <f t="shared" si="9"/>
        <v/>
      </c>
      <c r="I121" s="260"/>
    </row>
    <row r="122" spans="1:9">
      <c r="A122" s="255">
        <f t="shared" si="6"/>
        <v>120</v>
      </c>
      <c r="B122" s="256">
        <v>44741</v>
      </c>
      <c r="C122" s="257">
        <v>122.26088100000001</v>
      </c>
      <c r="D122" s="258">
        <v>93.325941984536158</v>
      </c>
      <c r="E122" s="257">
        <f t="shared" si="7"/>
        <v>93.325941984536158</v>
      </c>
      <c r="F122" s="263"/>
      <c r="G122" s="190" t="str">
        <f t="shared" si="8"/>
        <v/>
      </c>
      <c r="H122" s="259" t="str">
        <f t="shared" si="9"/>
        <v/>
      </c>
      <c r="I122" s="260"/>
    </row>
    <row r="123" spans="1:9">
      <c r="A123" s="255">
        <f t="shared" si="6"/>
        <v>121</v>
      </c>
      <c r="B123" s="256">
        <v>44742</v>
      </c>
      <c r="C123" s="257">
        <v>115.170466</v>
      </c>
      <c r="D123" s="258">
        <v>93.325941984536158</v>
      </c>
      <c r="E123" s="257">
        <f t="shared" si="7"/>
        <v>93.325941984536158</v>
      </c>
      <c r="F123" s="263"/>
      <c r="G123" s="190" t="str">
        <f t="shared" si="8"/>
        <v/>
      </c>
      <c r="H123" s="259" t="str">
        <f t="shared" si="9"/>
        <v/>
      </c>
      <c r="I123" s="260"/>
    </row>
    <row r="124" spans="1:9">
      <c r="A124" s="255">
        <f t="shared" si="6"/>
        <v>122</v>
      </c>
      <c r="B124" s="256">
        <v>44743</v>
      </c>
      <c r="C124" s="257">
        <v>116.58381299999999</v>
      </c>
      <c r="D124" s="258">
        <v>95.205066243270252</v>
      </c>
      <c r="E124" s="257">
        <f t="shared" si="7"/>
        <v>95.205066243270252</v>
      </c>
      <c r="F124" s="260"/>
      <c r="G124" s="190" t="str">
        <f t="shared" si="8"/>
        <v/>
      </c>
      <c r="H124" s="259" t="str">
        <f t="shared" si="9"/>
        <v/>
      </c>
      <c r="I124" s="260"/>
    </row>
    <row r="125" spans="1:9">
      <c r="A125" s="255">
        <f t="shared" si="6"/>
        <v>123</v>
      </c>
      <c r="B125" s="256">
        <v>44744</v>
      </c>
      <c r="C125" s="257">
        <v>110.452427</v>
      </c>
      <c r="D125" s="258">
        <v>95.205066243270252</v>
      </c>
      <c r="E125" s="257">
        <f t="shared" si="7"/>
        <v>95.205066243270252</v>
      </c>
      <c r="F125" s="263"/>
      <c r="G125" s="190" t="str">
        <f t="shared" si="8"/>
        <v/>
      </c>
      <c r="H125" s="259" t="str">
        <f t="shared" si="9"/>
        <v/>
      </c>
      <c r="I125" s="260"/>
    </row>
    <row r="126" spans="1:9">
      <c r="A126" s="255">
        <f t="shared" si="6"/>
        <v>124</v>
      </c>
      <c r="B126" s="256">
        <v>44745</v>
      </c>
      <c r="C126" s="257">
        <v>98.633498000000003</v>
      </c>
      <c r="D126" s="258">
        <v>95.205066243270252</v>
      </c>
      <c r="E126" s="257">
        <f t="shared" si="7"/>
        <v>95.205066243270252</v>
      </c>
      <c r="F126" s="263"/>
      <c r="G126" s="190" t="str">
        <f t="shared" si="8"/>
        <v/>
      </c>
      <c r="H126" s="259" t="str">
        <f t="shared" si="9"/>
        <v/>
      </c>
      <c r="I126" s="260"/>
    </row>
    <row r="127" spans="1:9">
      <c r="A127" s="255">
        <f t="shared" si="6"/>
        <v>125</v>
      </c>
      <c r="B127" s="256">
        <v>44746</v>
      </c>
      <c r="C127" s="257">
        <v>116.44512</v>
      </c>
      <c r="D127" s="258">
        <v>95.205066243270252</v>
      </c>
      <c r="E127" s="257">
        <f t="shared" si="7"/>
        <v>95.205066243270252</v>
      </c>
      <c r="F127" s="263"/>
      <c r="G127" s="190" t="str">
        <f t="shared" si="8"/>
        <v/>
      </c>
      <c r="H127" s="259" t="str">
        <f t="shared" si="9"/>
        <v/>
      </c>
      <c r="I127" s="260"/>
    </row>
    <row r="128" spans="1:9">
      <c r="A128" s="255">
        <f t="shared" si="6"/>
        <v>126</v>
      </c>
      <c r="B128" s="256">
        <v>44747</v>
      </c>
      <c r="C128" s="257">
        <v>103.126893</v>
      </c>
      <c r="D128" s="258">
        <v>95.205066243270252</v>
      </c>
      <c r="E128" s="257">
        <f t="shared" si="7"/>
        <v>95.205066243270252</v>
      </c>
      <c r="F128" s="263"/>
      <c r="G128" s="190" t="str">
        <f t="shared" si="8"/>
        <v/>
      </c>
      <c r="H128" s="259" t="str">
        <f t="shared" si="9"/>
        <v/>
      </c>
      <c r="I128" s="260"/>
    </row>
    <row r="129" spans="1:9">
      <c r="A129" s="255">
        <f t="shared" si="6"/>
        <v>127</v>
      </c>
      <c r="B129" s="256">
        <v>44748</v>
      </c>
      <c r="C129" s="257">
        <v>99.138910999999993</v>
      </c>
      <c r="D129" s="258">
        <v>95.205066243270252</v>
      </c>
      <c r="E129" s="257">
        <f t="shared" si="7"/>
        <v>95.205066243270252</v>
      </c>
      <c r="F129" s="263"/>
      <c r="G129" s="190" t="str">
        <f t="shared" si="8"/>
        <v/>
      </c>
      <c r="H129" s="259" t="str">
        <f t="shared" si="9"/>
        <v/>
      </c>
      <c r="I129" s="260"/>
    </row>
    <row r="130" spans="1:9">
      <c r="A130" s="255">
        <f t="shared" si="6"/>
        <v>128</v>
      </c>
      <c r="B130" s="256">
        <v>44749</v>
      </c>
      <c r="C130" s="257">
        <v>115.21581500000001</v>
      </c>
      <c r="D130" s="258">
        <v>95.205066243270252</v>
      </c>
      <c r="E130" s="257">
        <f t="shared" si="7"/>
        <v>95.205066243270252</v>
      </c>
      <c r="F130" s="263"/>
      <c r="G130" s="190" t="str">
        <f t="shared" si="8"/>
        <v/>
      </c>
      <c r="H130" s="259" t="str">
        <f t="shared" si="9"/>
        <v/>
      </c>
      <c r="I130" s="260"/>
    </row>
    <row r="131" spans="1:9">
      <c r="A131" s="255">
        <f t="shared" si="6"/>
        <v>129</v>
      </c>
      <c r="B131" s="256">
        <v>44750</v>
      </c>
      <c r="C131" s="257">
        <v>115.75514</v>
      </c>
      <c r="D131" s="258">
        <v>95.205066243270252</v>
      </c>
      <c r="E131" s="257">
        <f t="shared" si="7"/>
        <v>95.205066243270252</v>
      </c>
      <c r="F131" s="263"/>
      <c r="G131" s="190" t="str">
        <f t="shared" si="8"/>
        <v/>
      </c>
      <c r="H131" s="259" t="str">
        <f t="shared" si="9"/>
        <v/>
      </c>
      <c r="I131" s="260"/>
    </row>
    <row r="132" spans="1:9">
      <c r="A132" s="255">
        <f t="shared" ref="A132:A195" si="10">+A131+1</f>
        <v>130</v>
      </c>
      <c r="B132" s="256">
        <v>44751</v>
      </c>
      <c r="C132" s="257">
        <v>118.009929</v>
      </c>
      <c r="D132" s="258">
        <v>95.205066243270252</v>
      </c>
      <c r="E132" s="257">
        <f t="shared" ref="E132:E195" si="11">IF(C132&gt;D132,D132,C132)</f>
        <v>95.205066243270252</v>
      </c>
      <c r="F132" s="263"/>
      <c r="G132" s="190" t="str">
        <f t="shared" ref="G132:G195" si="12">IF(DAY(B132)=15,IF(MONTH(B132)=1,"E",IF(MONTH(B132)=2,"F",IF(MONTH(B132)=3,"M",IF(MONTH(B132)=4,"A",IF(MONTH(B132)=5,"M",IF(MONTH(B132)=6,"J",IF(MONTH(B132)=7,"J",IF(MONTH(B132)=8,"A",IF(MONTH(B132)=9,"S",IF(MONTH(B132)=10,"O",IF(MONTH(B132)=11,"N",IF(MONTH(B132)=12,"D","")))))))))))),"")</f>
        <v/>
      </c>
      <c r="H132" s="259" t="str">
        <f t="shared" ref="H132:H195" si="13">IF(DAY($B132)=15,TEXT(D132,"#,0"),"")</f>
        <v/>
      </c>
      <c r="I132" s="260"/>
    </row>
    <row r="133" spans="1:9">
      <c r="A133" s="255">
        <f t="shared" si="10"/>
        <v>131</v>
      </c>
      <c r="B133" s="256">
        <v>44752</v>
      </c>
      <c r="C133" s="257">
        <v>110.51159699999999</v>
      </c>
      <c r="D133" s="258">
        <v>95.205066243270252</v>
      </c>
      <c r="E133" s="257">
        <f t="shared" si="11"/>
        <v>95.205066243270252</v>
      </c>
      <c r="F133" s="263"/>
      <c r="G133" s="190" t="str">
        <f t="shared" si="12"/>
        <v/>
      </c>
      <c r="H133" s="259" t="str">
        <f t="shared" si="13"/>
        <v/>
      </c>
      <c r="I133" s="260"/>
    </row>
    <row r="134" spans="1:9">
      <c r="A134" s="255">
        <f t="shared" si="10"/>
        <v>132</v>
      </c>
      <c r="B134" s="256">
        <v>44753</v>
      </c>
      <c r="C134" s="257">
        <v>106.59627</v>
      </c>
      <c r="D134" s="258">
        <v>95.205066243270252</v>
      </c>
      <c r="E134" s="257">
        <f t="shared" si="11"/>
        <v>95.205066243270252</v>
      </c>
      <c r="F134" s="263"/>
      <c r="G134" s="190" t="str">
        <f t="shared" si="12"/>
        <v/>
      </c>
      <c r="H134" s="259" t="str">
        <f t="shared" si="13"/>
        <v/>
      </c>
      <c r="I134" s="260"/>
    </row>
    <row r="135" spans="1:9">
      <c r="A135" s="255">
        <f t="shared" si="10"/>
        <v>133</v>
      </c>
      <c r="B135" s="256">
        <v>44754</v>
      </c>
      <c r="C135" s="257">
        <v>95.874361000000007</v>
      </c>
      <c r="D135" s="258">
        <v>95.205066243270252</v>
      </c>
      <c r="E135" s="257">
        <f t="shared" si="11"/>
        <v>95.205066243270252</v>
      </c>
      <c r="F135" s="263"/>
      <c r="G135" s="190" t="str">
        <f t="shared" si="12"/>
        <v/>
      </c>
      <c r="H135" s="259" t="str">
        <f t="shared" si="13"/>
        <v/>
      </c>
      <c r="I135" s="260"/>
    </row>
    <row r="136" spans="1:9">
      <c r="A136" s="255">
        <f t="shared" si="10"/>
        <v>134</v>
      </c>
      <c r="B136" s="256">
        <v>44755</v>
      </c>
      <c r="C136" s="257">
        <v>103.022245</v>
      </c>
      <c r="D136" s="258">
        <v>95.205066243270252</v>
      </c>
      <c r="E136" s="257">
        <f t="shared" si="11"/>
        <v>95.205066243270252</v>
      </c>
      <c r="F136" s="263"/>
      <c r="G136" s="190" t="str">
        <f t="shared" si="12"/>
        <v/>
      </c>
      <c r="H136" s="259" t="str">
        <f t="shared" si="13"/>
        <v/>
      </c>
      <c r="I136" s="260"/>
    </row>
    <row r="137" spans="1:9">
      <c r="A137" s="255">
        <f t="shared" si="10"/>
        <v>135</v>
      </c>
      <c r="B137" s="256">
        <v>44756</v>
      </c>
      <c r="C137" s="257">
        <v>97.873906000000005</v>
      </c>
      <c r="D137" s="258">
        <v>88.253446065690824</v>
      </c>
      <c r="E137" s="257">
        <f t="shared" si="11"/>
        <v>88.253446065690824</v>
      </c>
      <c r="F137" s="263"/>
      <c r="G137" s="190" t="str">
        <f t="shared" si="12"/>
        <v/>
      </c>
      <c r="H137" s="259" t="str">
        <f t="shared" si="13"/>
        <v/>
      </c>
      <c r="I137" s="260"/>
    </row>
    <row r="138" spans="1:9">
      <c r="A138" s="255">
        <f t="shared" si="10"/>
        <v>136</v>
      </c>
      <c r="B138" s="256">
        <v>44757</v>
      </c>
      <c r="C138" s="257">
        <v>97.851228000000006</v>
      </c>
      <c r="D138" s="258">
        <v>88.253446065690824</v>
      </c>
      <c r="E138" s="257">
        <f t="shared" si="11"/>
        <v>88.253446065690824</v>
      </c>
      <c r="F138" s="263"/>
      <c r="G138" s="190" t="str">
        <f t="shared" si="12"/>
        <v>J</v>
      </c>
      <c r="H138" s="259" t="str">
        <f t="shared" si="13"/>
        <v>88,3</v>
      </c>
      <c r="I138" s="260"/>
    </row>
    <row r="139" spans="1:9">
      <c r="A139" s="255">
        <f t="shared" si="10"/>
        <v>137</v>
      </c>
      <c r="B139" s="256">
        <v>44758</v>
      </c>
      <c r="C139" s="257">
        <v>105.386781</v>
      </c>
      <c r="D139" s="258">
        <v>88.253446065690824</v>
      </c>
      <c r="E139" s="257">
        <f t="shared" si="11"/>
        <v>88.253446065690824</v>
      </c>
      <c r="F139" s="263"/>
      <c r="G139" s="190" t="str">
        <f t="shared" si="12"/>
        <v/>
      </c>
      <c r="H139" s="259" t="str">
        <f t="shared" si="13"/>
        <v/>
      </c>
      <c r="I139" s="260"/>
    </row>
    <row r="140" spans="1:9">
      <c r="A140" s="255">
        <f t="shared" si="10"/>
        <v>138</v>
      </c>
      <c r="B140" s="256">
        <v>44759</v>
      </c>
      <c r="C140" s="257">
        <v>98.98554399999999</v>
      </c>
      <c r="D140" s="258">
        <v>88.253446065690824</v>
      </c>
      <c r="E140" s="257">
        <f t="shared" si="11"/>
        <v>88.253446065690824</v>
      </c>
      <c r="F140" s="263"/>
      <c r="G140" s="190" t="str">
        <f t="shared" si="12"/>
        <v/>
      </c>
      <c r="H140" s="259" t="str">
        <f t="shared" si="13"/>
        <v/>
      </c>
      <c r="I140" s="260"/>
    </row>
    <row r="141" spans="1:9">
      <c r="A141" s="255">
        <f t="shared" si="10"/>
        <v>139</v>
      </c>
      <c r="B141" s="256">
        <v>44760</v>
      </c>
      <c r="C141" s="257">
        <v>105.91879999999999</v>
      </c>
      <c r="D141" s="258">
        <v>88.253446065690824</v>
      </c>
      <c r="E141" s="257">
        <f t="shared" si="11"/>
        <v>88.253446065690824</v>
      </c>
      <c r="F141" s="263"/>
      <c r="G141" s="190" t="str">
        <f t="shared" si="12"/>
        <v/>
      </c>
      <c r="H141" s="259" t="str">
        <f t="shared" si="13"/>
        <v/>
      </c>
      <c r="I141" s="260"/>
    </row>
    <row r="142" spans="1:9">
      <c r="A142" s="255">
        <f t="shared" si="10"/>
        <v>140</v>
      </c>
      <c r="B142" s="256">
        <v>44761</v>
      </c>
      <c r="C142" s="257">
        <v>114.513373</v>
      </c>
      <c r="D142" s="258">
        <v>88.253446065690824</v>
      </c>
      <c r="E142" s="257">
        <f t="shared" si="11"/>
        <v>88.253446065690824</v>
      </c>
      <c r="F142" s="263"/>
      <c r="G142" s="190" t="str">
        <f t="shared" si="12"/>
        <v/>
      </c>
      <c r="H142" s="259" t="str">
        <f t="shared" si="13"/>
        <v/>
      </c>
      <c r="I142" s="260"/>
    </row>
    <row r="143" spans="1:9">
      <c r="A143" s="255">
        <f t="shared" si="10"/>
        <v>141</v>
      </c>
      <c r="B143" s="256">
        <v>44762</v>
      </c>
      <c r="C143" s="257">
        <v>116.04289600000001</v>
      </c>
      <c r="D143" s="258">
        <v>88.253446065690824</v>
      </c>
      <c r="E143" s="257">
        <f t="shared" si="11"/>
        <v>88.253446065690824</v>
      </c>
      <c r="F143" s="263"/>
      <c r="G143" s="190" t="str">
        <f t="shared" si="12"/>
        <v/>
      </c>
      <c r="H143" s="259" t="str">
        <f t="shared" si="13"/>
        <v/>
      </c>
      <c r="I143" s="260"/>
    </row>
    <row r="144" spans="1:9">
      <c r="A144" s="255">
        <f t="shared" si="10"/>
        <v>142</v>
      </c>
      <c r="B144" s="256">
        <v>44763</v>
      </c>
      <c r="C144" s="257">
        <v>113.04319599999999</v>
      </c>
      <c r="D144" s="258">
        <v>88.253446065690824</v>
      </c>
      <c r="E144" s="257">
        <f t="shared" si="11"/>
        <v>88.253446065690824</v>
      </c>
      <c r="F144" s="263"/>
      <c r="G144" s="190" t="str">
        <f t="shared" si="12"/>
        <v/>
      </c>
      <c r="H144" s="259" t="str">
        <f t="shared" si="13"/>
        <v/>
      </c>
      <c r="I144" s="260"/>
    </row>
    <row r="145" spans="1:9">
      <c r="A145" s="255">
        <f t="shared" si="10"/>
        <v>143</v>
      </c>
      <c r="B145" s="256">
        <v>44764</v>
      </c>
      <c r="C145" s="257">
        <v>108.79373199999999</v>
      </c>
      <c r="D145" s="258">
        <v>88.253446065690824</v>
      </c>
      <c r="E145" s="257">
        <f t="shared" si="11"/>
        <v>88.253446065690824</v>
      </c>
      <c r="F145" s="263"/>
      <c r="G145" s="190" t="str">
        <f t="shared" si="12"/>
        <v/>
      </c>
      <c r="H145" s="259" t="str">
        <f t="shared" si="13"/>
        <v/>
      </c>
      <c r="I145" s="260"/>
    </row>
    <row r="146" spans="1:9">
      <c r="A146" s="255">
        <f t="shared" si="10"/>
        <v>144</v>
      </c>
      <c r="B146" s="256">
        <v>44765</v>
      </c>
      <c r="C146" s="257">
        <v>111.474874</v>
      </c>
      <c r="D146" s="258">
        <v>88.253446065690824</v>
      </c>
      <c r="E146" s="257">
        <f t="shared" si="11"/>
        <v>88.253446065690824</v>
      </c>
      <c r="F146" s="263"/>
      <c r="G146" s="190" t="str">
        <f t="shared" si="12"/>
        <v/>
      </c>
      <c r="H146" s="259" t="str">
        <f t="shared" si="13"/>
        <v/>
      </c>
      <c r="I146" s="260"/>
    </row>
    <row r="147" spans="1:9">
      <c r="A147" s="255">
        <f t="shared" si="10"/>
        <v>145</v>
      </c>
      <c r="B147" s="256">
        <v>44766</v>
      </c>
      <c r="C147" s="257">
        <v>106.53438800000001</v>
      </c>
      <c r="D147" s="258">
        <v>88.253446065690824</v>
      </c>
      <c r="E147" s="257">
        <f t="shared" si="11"/>
        <v>88.253446065690824</v>
      </c>
      <c r="F147" s="263"/>
      <c r="G147" s="190" t="str">
        <f t="shared" si="12"/>
        <v/>
      </c>
      <c r="H147" s="259" t="str">
        <f t="shared" si="13"/>
        <v/>
      </c>
      <c r="I147" s="260"/>
    </row>
    <row r="148" spans="1:9">
      <c r="A148" s="255">
        <f t="shared" si="10"/>
        <v>146</v>
      </c>
      <c r="B148" s="256">
        <v>44767</v>
      </c>
      <c r="C148" s="257">
        <v>106.168576</v>
      </c>
      <c r="D148" s="258">
        <v>88.253446065690824</v>
      </c>
      <c r="E148" s="257">
        <f t="shared" si="11"/>
        <v>88.253446065690824</v>
      </c>
      <c r="F148" s="263"/>
      <c r="G148" s="190" t="str">
        <f t="shared" si="12"/>
        <v/>
      </c>
      <c r="H148" s="259" t="str">
        <f t="shared" si="13"/>
        <v/>
      </c>
      <c r="I148" s="260"/>
    </row>
    <row r="149" spans="1:9">
      <c r="A149" s="255">
        <f t="shared" si="10"/>
        <v>147</v>
      </c>
      <c r="B149" s="256">
        <v>44768</v>
      </c>
      <c r="C149" s="257">
        <v>111.07996399999999</v>
      </c>
      <c r="D149" s="258">
        <v>88.253446065690824</v>
      </c>
      <c r="E149" s="257">
        <f t="shared" si="11"/>
        <v>88.253446065690824</v>
      </c>
      <c r="F149" s="263"/>
      <c r="G149" s="190" t="str">
        <f t="shared" si="12"/>
        <v/>
      </c>
      <c r="H149" s="259" t="str">
        <f t="shared" si="13"/>
        <v/>
      </c>
      <c r="I149" s="260"/>
    </row>
    <row r="150" spans="1:9">
      <c r="A150" s="255">
        <f t="shared" si="10"/>
        <v>148</v>
      </c>
      <c r="B150" s="256">
        <v>44769</v>
      </c>
      <c r="C150" s="257">
        <v>111.32187399999999</v>
      </c>
      <c r="D150" s="258">
        <v>88.253446065690824</v>
      </c>
      <c r="E150" s="257">
        <f t="shared" si="11"/>
        <v>88.253446065690824</v>
      </c>
      <c r="F150" s="263"/>
      <c r="G150" s="190" t="str">
        <f t="shared" si="12"/>
        <v/>
      </c>
      <c r="H150" s="259" t="str">
        <f t="shared" si="13"/>
        <v/>
      </c>
      <c r="I150" s="260"/>
    </row>
    <row r="151" spans="1:9">
      <c r="A151" s="255">
        <f t="shared" si="10"/>
        <v>149</v>
      </c>
      <c r="B151" s="256">
        <v>44770</v>
      </c>
      <c r="C151" s="257">
        <v>110.28612700000001</v>
      </c>
      <c r="D151" s="258">
        <v>88.253446065690824</v>
      </c>
      <c r="E151" s="257">
        <f t="shared" si="11"/>
        <v>88.253446065690824</v>
      </c>
      <c r="F151" s="263"/>
      <c r="G151" s="190" t="str">
        <f t="shared" si="12"/>
        <v/>
      </c>
      <c r="H151" s="259" t="str">
        <f t="shared" si="13"/>
        <v/>
      </c>
      <c r="I151" s="260"/>
    </row>
    <row r="152" spans="1:9">
      <c r="A152" s="255">
        <f t="shared" si="10"/>
        <v>150</v>
      </c>
      <c r="B152" s="256">
        <v>44771</v>
      </c>
      <c r="C152" s="257">
        <v>106.11463900000001</v>
      </c>
      <c r="D152" s="258">
        <v>88.253446065690824</v>
      </c>
      <c r="E152" s="257">
        <f t="shared" si="11"/>
        <v>88.253446065690824</v>
      </c>
      <c r="F152" s="263"/>
      <c r="G152" s="190" t="str">
        <f t="shared" si="12"/>
        <v/>
      </c>
      <c r="H152" s="259" t="str">
        <f t="shared" si="13"/>
        <v/>
      </c>
      <c r="I152" s="260"/>
    </row>
    <row r="153" spans="1:9">
      <c r="A153" s="255">
        <f t="shared" si="10"/>
        <v>151</v>
      </c>
      <c r="B153" s="256">
        <v>44772</v>
      </c>
      <c r="C153" s="257">
        <v>98.030478000000002</v>
      </c>
      <c r="D153" s="258">
        <v>88.253446065690824</v>
      </c>
      <c r="E153" s="257">
        <f t="shared" si="11"/>
        <v>88.253446065690824</v>
      </c>
      <c r="F153" s="263"/>
      <c r="G153" s="190" t="str">
        <f t="shared" si="12"/>
        <v/>
      </c>
      <c r="H153" s="259" t="str">
        <f t="shared" si="13"/>
        <v/>
      </c>
      <c r="I153" s="260"/>
    </row>
    <row r="154" spans="1:9">
      <c r="A154" s="255">
        <f t="shared" si="10"/>
        <v>152</v>
      </c>
      <c r="B154" s="256">
        <v>44773</v>
      </c>
      <c r="C154" s="257">
        <v>107.301874</v>
      </c>
      <c r="D154" s="258">
        <v>88.253446065690824</v>
      </c>
      <c r="E154" s="257">
        <f t="shared" si="11"/>
        <v>88.253446065690824</v>
      </c>
      <c r="F154" s="263"/>
      <c r="G154" s="190" t="str">
        <f t="shared" si="12"/>
        <v/>
      </c>
      <c r="H154" s="259" t="str">
        <f t="shared" si="13"/>
        <v/>
      </c>
      <c r="I154" s="260"/>
    </row>
    <row r="155" spans="1:9">
      <c r="A155" s="255">
        <f t="shared" si="10"/>
        <v>153</v>
      </c>
      <c r="B155" s="256">
        <v>44774</v>
      </c>
      <c r="C155" s="257">
        <v>104.883492</v>
      </c>
      <c r="D155" s="258">
        <v>88.253446065690824</v>
      </c>
      <c r="E155" s="257">
        <f t="shared" si="11"/>
        <v>88.253446065690824</v>
      </c>
      <c r="F155" s="260"/>
      <c r="G155" s="190" t="str">
        <f t="shared" si="12"/>
        <v/>
      </c>
      <c r="H155" s="259" t="str">
        <f t="shared" si="13"/>
        <v/>
      </c>
      <c r="I155" s="260"/>
    </row>
    <row r="156" spans="1:9">
      <c r="A156" s="255">
        <f t="shared" si="10"/>
        <v>154</v>
      </c>
      <c r="B156" s="256">
        <v>44775</v>
      </c>
      <c r="C156" s="257">
        <v>103.92816499999999</v>
      </c>
      <c r="D156" s="258">
        <v>88.253446065690824</v>
      </c>
      <c r="E156" s="257">
        <f t="shared" si="11"/>
        <v>88.253446065690824</v>
      </c>
      <c r="F156" s="263"/>
      <c r="G156" s="190" t="str">
        <f t="shared" si="12"/>
        <v/>
      </c>
      <c r="H156" s="259" t="str">
        <f t="shared" si="13"/>
        <v/>
      </c>
      <c r="I156" s="260"/>
    </row>
    <row r="157" spans="1:9">
      <c r="A157" s="255">
        <f t="shared" si="10"/>
        <v>155</v>
      </c>
      <c r="B157" s="256">
        <v>44776</v>
      </c>
      <c r="C157" s="257">
        <v>105.714797</v>
      </c>
      <c r="D157" s="258">
        <v>88.253446065690824</v>
      </c>
      <c r="E157" s="257">
        <f t="shared" si="11"/>
        <v>88.253446065690824</v>
      </c>
      <c r="F157" s="263"/>
      <c r="G157" s="190" t="str">
        <f t="shared" si="12"/>
        <v/>
      </c>
      <c r="H157" s="259" t="str">
        <f t="shared" si="13"/>
        <v/>
      </c>
      <c r="I157" s="260"/>
    </row>
    <row r="158" spans="1:9">
      <c r="A158" s="255">
        <f t="shared" si="10"/>
        <v>156</v>
      </c>
      <c r="B158" s="256">
        <v>44777</v>
      </c>
      <c r="C158" s="257">
        <v>107.61541099999999</v>
      </c>
      <c r="D158" s="258">
        <v>88.253446065690824</v>
      </c>
      <c r="E158" s="257">
        <f t="shared" si="11"/>
        <v>88.253446065690824</v>
      </c>
      <c r="F158" s="263"/>
      <c r="G158" s="190" t="str">
        <f t="shared" si="12"/>
        <v/>
      </c>
      <c r="H158" s="259" t="str">
        <f t="shared" si="13"/>
        <v/>
      </c>
      <c r="I158" s="260"/>
    </row>
    <row r="159" spans="1:9">
      <c r="A159" s="255">
        <f t="shared" si="10"/>
        <v>157</v>
      </c>
      <c r="B159" s="256">
        <v>44778</v>
      </c>
      <c r="C159" s="257">
        <v>113.442243</v>
      </c>
      <c r="D159" s="258">
        <v>88.253446065690824</v>
      </c>
      <c r="E159" s="257">
        <f t="shared" si="11"/>
        <v>88.253446065690824</v>
      </c>
      <c r="F159" s="263"/>
      <c r="G159" s="190" t="str">
        <f t="shared" si="12"/>
        <v/>
      </c>
      <c r="H159" s="259" t="str">
        <f t="shared" si="13"/>
        <v/>
      </c>
      <c r="I159" s="260"/>
    </row>
    <row r="160" spans="1:9">
      <c r="A160" s="255">
        <f t="shared" si="10"/>
        <v>158</v>
      </c>
      <c r="B160" s="256">
        <v>44779</v>
      </c>
      <c r="C160" s="257">
        <v>111.025901</v>
      </c>
      <c r="D160" s="258">
        <v>88.253446065690824</v>
      </c>
      <c r="E160" s="257">
        <f t="shared" si="11"/>
        <v>88.253446065690824</v>
      </c>
      <c r="F160" s="263"/>
      <c r="G160" s="190" t="str">
        <f t="shared" si="12"/>
        <v/>
      </c>
      <c r="H160" s="259" t="str">
        <f t="shared" si="13"/>
        <v/>
      </c>
      <c r="I160" s="260"/>
    </row>
    <row r="161" spans="1:9">
      <c r="A161" s="255">
        <f t="shared" si="10"/>
        <v>159</v>
      </c>
      <c r="B161" s="256">
        <v>44780</v>
      </c>
      <c r="C161" s="257">
        <v>108.75178100000001</v>
      </c>
      <c r="D161" s="258">
        <v>88.253446065690824</v>
      </c>
      <c r="E161" s="257">
        <f t="shared" si="11"/>
        <v>88.253446065690824</v>
      </c>
      <c r="F161" s="263"/>
      <c r="G161" s="190" t="str">
        <f t="shared" si="12"/>
        <v/>
      </c>
      <c r="H161" s="259" t="str">
        <f t="shared" si="13"/>
        <v/>
      </c>
      <c r="I161" s="260"/>
    </row>
    <row r="162" spans="1:9">
      <c r="A162" s="255">
        <f t="shared" si="10"/>
        <v>160</v>
      </c>
      <c r="B162" s="256">
        <v>44781</v>
      </c>
      <c r="C162" s="257">
        <v>106.94131</v>
      </c>
      <c r="D162" s="258">
        <v>88.253446065690824</v>
      </c>
      <c r="E162" s="257">
        <f t="shared" si="11"/>
        <v>88.253446065690824</v>
      </c>
      <c r="F162" s="263"/>
      <c r="G162" s="190" t="str">
        <f t="shared" si="12"/>
        <v/>
      </c>
      <c r="H162" s="259" t="str">
        <f t="shared" si="13"/>
        <v/>
      </c>
      <c r="I162" s="260"/>
    </row>
    <row r="163" spans="1:9">
      <c r="A163" s="255">
        <f t="shared" si="10"/>
        <v>161</v>
      </c>
      <c r="B163" s="256">
        <v>44782</v>
      </c>
      <c r="C163" s="257">
        <v>100.025716</v>
      </c>
      <c r="D163" s="258">
        <v>88.253446065690824</v>
      </c>
      <c r="E163" s="257">
        <f t="shared" si="11"/>
        <v>88.253446065690824</v>
      </c>
      <c r="F163" s="263"/>
      <c r="G163" s="190" t="str">
        <f t="shared" si="12"/>
        <v/>
      </c>
      <c r="H163" s="259" t="str">
        <f t="shared" si="13"/>
        <v/>
      </c>
      <c r="I163" s="260"/>
    </row>
    <row r="164" spans="1:9">
      <c r="A164" s="255">
        <f t="shared" si="10"/>
        <v>162</v>
      </c>
      <c r="B164" s="256">
        <v>44783</v>
      </c>
      <c r="C164" s="257">
        <v>98.243588000000003</v>
      </c>
      <c r="D164" s="258">
        <v>88.253446065690824</v>
      </c>
      <c r="E164" s="257">
        <f t="shared" si="11"/>
        <v>88.253446065690824</v>
      </c>
      <c r="F164" s="263"/>
      <c r="G164" s="190" t="str">
        <f t="shared" si="12"/>
        <v/>
      </c>
      <c r="H164" s="259" t="str">
        <f t="shared" si="13"/>
        <v/>
      </c>
      <c r="I164" s="260"/>
    </row>
    <row r="165" spans="1:9">
      <c r="A165" s="255">
        <f t="shared" si="10"/>
        <v>163</v>
      </c>
      <c r="B165" s="256">
        <v>44784</v>
      </c>
      <c r="C165" s="257">
        <v>104.675783</v>
      </c>
      <c r="D165" s="258">
        <v>88.253446065690824</v>
      </c>
      <c r="E165" s="257">
        <f t="shared" si="11"/>
        <v>88.253446065690824</v>
      </c>
      <c r="F165" s="263"/>
      <c r="G165" s="190" t="str">
        <f t="shared" si="12"/>
        <v/>
      </c>
      <c r="H165" s="259" t="str">
        <f t="shared" si="13"/>
        <v/>
      </c>
      <c r="I165" s="260"/>
    </row>
    <row r="166" spans="1:9">
      <c r="A166" s="255">
        <f t="shared" si="10"/>
        <v>164</v>
      </c>
      <c r="B166" s="256">
        <v>44785</v>
      </c>
      <c r="C166" s="257">
        <v>95.983908999999997</v>
      </c>
      <c r="D166" s="258">
        <v>88.253446065690824</v>
      </c>
      <c r="E166" s="257">
        <f t="shared" si="11"/>
        <v>88.253446065690824</v>
      </c>
      <c r="F166" s="263"/>
      <c r="G166" s="190" t="str">
        <f t="shared" si="12"/>
        <v/>
      </c>
      <c r="H166" s="259" t="str">
        <f t="shared" si="13"/>
        <v/>
      </c>
      <c r="I166" s="260"/>
    </row>
    <row r="167" spans="1:9">
      <c r="A167" s="255">
        <f t="shared" si="10"/>
        <v>165</v>
      </c>
      <c r="B167" s="256">
        <v>44786</v>
      </c>
      <c r="C167" s="257">
        <v>50.748120999999998</v>
      </c>
      <c r="D167" s="258">
        <v>88.253446065690824</v>
      </c>
      <c r="E167" s="257">
        <f t="shared" si="11"/>
        <v>50.748120999999998</v>
      </c>
      <c r="F167" s="263"/>
      <c r="G167" s="190" t="str">
        <f t="shared" si="12"/>
        <v/>
      </c>
      <c r="H167" s="259" t="str">
        <f t="shared" si="13"/>
        <v/>
      </c>
      <c r="I167" s="260"/>
    </row>
    <row r="168" spans="1:9">
      <c r="A168" s="255">
        <f t="shared" si="10"/>
        <v>166</v>
      </c>
      <c r="B168" s="256">
        <v>44787</v>
      </c>
      <c r="C168" s="257">
        <v>108.196793</v>
      </c>
      <c r="D168" s="258">
        <v>88.253446065690824</v>
      </c>
      <c r="E168" s="257">
        <f t="shared" si="11"/>
        <v>88.253446065690824</v>
      </c>
      <c r="F168" s="263"/>
      <c r="G168" s="190" t="str">
        <f t="shared" si="12"/>
        <v/>
      </c>
      <c r="H168" s="259" t="str">
        <f t="shared" si="13"/>
        <v/>
      </c>
      <c r="I168" s="260"/>
    </row>
    <row r="169" spans="1:9">
      <c r="A169" s="255">
        <f t="shared" si="10"/>
        <v>167</v>
      </c>
      <c r="B169" s="256">
        <v>44788</v>
      </c>
      <c r="C169" s="257">
        <v>114.16419500000001</v>
      </c>
      <c r="D169" s="258">
        <v>88.253446065690824</v>
      </c>
      <c r="E169" s="257">
        <f t="shared" si="11"/>
        <v>88.253446065690824</v>
      </c>
      <c r="F169" s="263"/>
      <c r="G169" s="190" t="str">
        <f t="shared" si="12"/>
        <v>A</v>
      </c>
      <c r="H169" s="259" t="str">
        <f t="shared" si="13"/>
        <v>88,3</v>
      </c>
      <c r="I169" s="260"/>
    </row>
    <row r="170" spans="1:9">
      <c r="A170" s="255">
        <f t="shared" si="10"/>
        <v>168</v>
      </c>
      <c r="B170" s="256">
        <v>44789</v>
      </c>
      <c r="C170" s="257">
        <v>105.23657</v>
      </c>
      <c r="D170" s="258">
        <v>88.253446065690824</v>
      </c>
      <c r="E170" s="257">
        <f t="shared" si="11"/>
        <v>88.253446065690824</v>
      </c>
      <c r="F170" s="263"/>
      <c r="G170" s="190" t="str">
        <f t="shared" si="12"/>
        <v/>
      </c>
      <c r="H170" s="259" t="str">
        <f t="shared" si="13"/>
        <v/>
      </c>
      <c r="I170" s="260"/>
    </row>
    <row r="171" spans="1:9">
      <c r="A171" s="255">
        <f t="shared" si="10"/>
        <v>169</v>
      </c>
      <c r="B171" s="256">
        <v>44790</v>
      </c>
      <c r="C171" s="257">
        <v>109.50990700000001</v>
      </c>
      <c r="D171" s="258">
        <v>88.253446065690824</v>
      </c>
      <c r="E171" s="257">
        <f t="shared" si="11"/>
        <v>88.253446065690824</v>
      </c>
      <c r="F171" s="263"/>
      <c r="G171" s="190" t="str">
        <f t="shared" si="12"/>
        <v/>
      </c>
      <c r="H171" s="259" t="str">
        <f t="shared" si="13"/>
        <v/>
      </c>
      <c r="I171" s="260"/>
    </row>
    <row r="172" spans="1:9">
      <c r="A172" s="255">
        <f t="shared" si="10"/>
        <v>170</v>
      </c>
      <c r="B172" s="256">
        <v>44791</v>
      </c>
      <c r="C172" s="257">
        <v>112.26128</v>
      </c>
      <c r="D172" s="258">
        <v>88.253446065690824</v>
      </c>
      <c r="E172" s="257">
        <f t="shared" si="11"/>
        <v>88.253446065690824</v>
      </c>
      <c r="F172" s="263"/>
      <c r="G172" s="190" t="str">
        <f t="shared" si="12"/>
        <v/>
      </c>
      <c r="H172" s="259" t="str">
        <f t="shared" si="13"/>
        <v/>
      </c>
      <c r="I172" s="260"/>
    </row>
    <row r="173" spans="1:9">
      <c r="A173" s="255">
        <f t="shared" si="10"/>
        <v>171</v>
      </c>
      <c r="B173" s="256">
        <v>44792</v>
      </c>
      <c r="C173" s="257">
        <v>114.770071</v>
      </c>
      <c r="D173" s="258">
        <v>88.253446065690824</v>
      </c>
      <c r="E173" s="257">
        <f t="shared" si="11"/>
        <v>88.253446065690824</v>
      </c>
      <c r="F173" s="263"/>
      <c r="G173" s="190" t="str">
        <f t="shared" si="12"/>
        <v/>
      </c>
      <c r="H173" s="259" t="str">
        <f t="shared" si="13"/>
        <v/>
      </c>
      <c r="I173" s="260"/>
    </row>
    <row r="174" spans="1:9">
      <c r="A174" s="255">
        <f t="shared" si="10"/>
        <v>172</v>
      </c>
      <c r="B174" s="256">
        <v>44793</v>
      </c>
      <c r="C174" s="257">
        <v>111.32323</v>
      </c>
      <c r="D174" s="258">
        <v>88.253446065690824</v>
      </c>
      <c r="E174" s="257">
        <f t="shared" si="11"/>
        <v>88.253446065690824</v>
      </c>
      <c r="F174" s="263"/>
      <c r="G174" s="190" t="str">
        <f t="shared" si="12"/>
        <v/>
      </c>
      <c r="H174" s="259" t="str">
        <f t="shared" si="13"/>
        <v/>
      </c>
      <c r="I174" s="260"/>
    </row>
    <row r="175" spans="1:9">
      <c r="A175" s="255">
        <f t="shared" si="10"/>
        <v>173</v>
      </c>
      <c r="B175" s="256">
        <v>44794</v>
      </c>
      <c r="C175" s="257">
        <v>112.944857</v>
      </c>
      <c r="D175" s="258">
        <v>88.253446065690824</v>
      </c>
      <c r="E175" s="257">
        <f t="shared" si="11"/>
        <v>88.253446065690824</v>
      </c>
      <c r="F175" s="263"/>
      <c r="G175" s="190" t="str">
        <f t="shared" si="12"/>
        <v/>
      </c>
      <c r="H175" s="259" t="str">
        <f t="shared" si="13"/>
        <v/>
      </c>
      <c r="I175" s="260"/>
    </row>
    <row r="176" spans="1:9">
      <c r="A176" s="255">
        <f t="shared" si="10"/>
        <v>174</v>
      </c>
      <c r="B176" s="256">
        <v>44795</v>
      </c>
      <c r="C176" s="257">
        <v>112.02901800000001</v>
      </c>
      <c r="D176" s="258">
        <v>88.253446065690824</v>
      </c>
      <c r="E176" s="257">
        <f t="shared" si="11"/>
        <v>88.253446065690824</v>
      </c>
      <c r="F176" s="263"/>
      <c r="G176" s="190" t="str">
        <f t="shared" si="12"/>
        <v/>
      </c>
      <c r="H176" s="259" t="str">
        <f t="shared" si="13"/>
        <v/>
      </c>
      <c r="I176" s="260"/>
    </row>
    <row r="177" spans="1:9">
      <c r="A177" s="255">
        <f t="shared" si="10"/>
        <v>175</v>
      </c>
      <c r="B177" s="256">
        <v>44796</v>
      </c>
      <c r="C177" s="257">
        <v>103.475763</v>
      </c>
      <c r="D177" s="258">
        <v>88.253446065690824</v>
      </c>
      <c r="E177" s="257">
        <f t="shared" si="11"/>
        <v>88.253446065690824</v>
      </c>
      <c r="F177" s="263"/>
      <c r="G177" s="190" t="str">
        <f t="shared" si="12"/>
        <v/>
      </c>
      <c r="H177" s="259" t="str">
        <f t="shared" si="13"/>
        <v/>
      </c>
      <c r="I177" s="260"/>
    </row>
    <row r="178" spans="1:9">
      <c r="A178" s="255">
        <f t="shared" si="10"/>
        <v>176</v>
      </c>
      <c r="B178" s="256">
        <v>44797</v>
      </c>
      <c r="C178" s="257">
        <v>95.388464000000013</v>
      </c>
      <c r="D178" s="258">
        <v>88.253446065690824</v>
      </c>
      <c r="E178" s="257">
        <f t="shared" si="11"/>
        <v>88.253446065690824</v>
      </c>
      <c r="F178" s="263"/>
      <c r="G178" s="190" t="str">
        <f t="shared" si="12"/>
        <v/>
      </c>
      <c r="H178" s="259" t="str">
        <f t="shared" si="13"/>
        <v/>
      </c>
      <c r="I178" s="260"/>
    </row>
    <row r="179" spans="1:9">
      <c r="A179" s="255">
        <f t="shared" si="10"/>
        <v>177</v>
      </c>
      <c r="B179" s="256">
        <v>44798</v>
      </c>
      <c r="C179" s="257">
        <v>100.801827</v>
      </c>
      <c r="D179" s="258">
        <v>88.253446065690824</v>
      </c>
      <c r="E179" s="257">
        <f t="shared" si="11"/>
        <v>88.253446065690824</v>
      </c>
      <c r="F179" s="263"/>
      <c r="G179" s="190" t="str">
        <f t="shared" si="12"/>
        <v/>
      </c>
      <c r="H179" s="259" t="str">
        <f t="shared" si="13"/>
        <v/>
      </c>
      <c r="I179" s="260"/>
    </row>
    <row r="180" spans="1:9">
      <c r="A180" s="255">
        <f t="shared" si="10"/>
        <v>178</v>
      </c>
      <c r="B180" s="256">
        <v>44799</v>
      </c>
      <c r="C180" s="257">
        <v>100.194118</v>
      </c>
      <c r="D180" s="258">
        <v>88.253446065690824</v>
      </c>
      <c r="E180" s="257">
        <f t="shared" si="11"/>
        <v>88.253446065690824</v>
      </c>
      <c r="F180" s="263"/>
      <c r="G180" s="190" t="str">
        <f t="shared" si="12"/>
        <v/>
      </c>
      <c r="H180" s="259" t="str">
        <f t="shared" si="13"/>
        <v/>
      </c>
      <c r="I180" s="260"/>
    </row>
    <row r="181" spans="1:9">
      <c r="A181" s="255">
        <f t="shared" si="10"/>
        <v>179</v>
      </c>
      <c r="B181" s="256">
        <v>44800</v>
      </c>
      <c r="C181" s="257">
        <v>103.183612</v>
      </c>
      <c r="D181" s="258">
        <v>88.253446065690824</v>
      </c>
      <c r="E181" s="257">
        <f t="shared" si="11"/>
        <v>88.253446065690824</v>
      </c>
      <c r="F181" s="263"/>
      <c r="G181" s="190" t="str">
        <f t="shared" si="12"/>
        <v/>
      </c>
      <c r="H181" s="259" t="str">
        <f t="shared" si="13"/>
        <v/>
      </c>
      <c r="I181" s="260"/>
    </row>
    <row r="182" spans="1:9">
      <c r="A182" s="255">
        <f t="shared" si="10"/>
        <v>180</v>
      </c>
      <c r="B182" s="256">
        <v>44801</v>
      </c>
      <c r="C182" s="257">
        <v>99.031807000000001</v>
      </c>
      <c r="D182" s="258">
        <v>88.253446065690824</v>
      </c>
      <c r="E182" s="257">
        <f t="shared" si="11"/>
        <v>88.253446065690824</v>
      </c>
      <c r="F182" s="263"/>
      <c r="G182" s="190" t="str">
        <f t="shared" si="12"/>
        <v/>
      </c>
      <c r="H182" s="259" t="str">
        <f t="shared" si="13"/>
        <v/>
      </c>
      <c r="I182" s="260"/>
    </row>
    <row r="183" spans="1:9">
      <c r="A183" s="255">
        <f t="shared" si="10"/>
        <v>181</v>
      </c>
      <c r="B183" s="256">
        <v>44802</v>
      </c>
      <c r="C183" s="257">
        <v>79.453776999999988</v>
      </c>
      <c r="D183" s="258">
        <v>88.253446065690824</v>
      </c>
      <c r="E183" s="257">
        <f t="shared" si="11"/>
        <v>79.453776999999988</v>
      </c>
      <c r="F183" s="263"/>
      <c r="G183" s="190" t="str">
        <f t="shared" si="12"/>
        <v/>
      </c>
      <c r="H183" s="259" t="str">
        <f t="shared" si="13"/>
        <v/>
      </c>
      <c r="I183" s="260"/>
    </row>
    <row r="184" spans="1:9">
      <c r="A184" s="255">
        <f t="shared" si="10"/>
        <v>182</v>
      </c>
      <c r="B184" s="256">
        <v>44803</v>
      </c>
      <c r="C184" s="257">
        <v>86.174580000000006</v>
      </c>
      <c r="D184" s="258">
        <v>88.253446065690824</v>
      </c>
      <c r="E184" s="257">
        <f t="shared" si="11"/>
        <v>86.174580000000006</v>
      </c>
      <c r="F184" s="263"/>
      <c r="G184" s="190" t="str">
        <f t="shared" si="12"/>
        <v/>
      </c>
      <c r="H184" s="259" t="str">
        <f t="shared" si="13"/>
        <v/>
      </c>
      <c r="I184" s="260"/>
    </row>
    <row r="185" spans="1:9">
      <c r="A185" s="255">
        <f t="shared" si="10"/>
        <v>183</v>
      </c>
      <c r="B185" s="256">
        <v>44804</v>
      </c>
      <c r="C185" s="257">
        <v>100.05690300000001</v>
      </c>
      <c r="D185" s="258">
        <v>88.253446065690824</v>
      </c>
      <c r="E185" s="257">
        <f t="shared" si="11"/>
        <v>88.253446065690824</v>
      </c>
      <c r="F185" s="263"/>
      <c r="G185" s="190" t="str">
        <f t="shared" si="12"/>
        <v/>
      </c>
      <c r="H185" s="259" t="str">
        <f t="shared" si="13"/>
        <v/>
      </c>
      <c r="I185" s="260"/>
    </row>
    <row r="186" spans="1:9">
      <c r="A186" s="255">
        <f t="shared" si="10"/>
        <v>184</v>
      </c>
      <c r="B186" s="256">
        <v>44805</v>
      </c>
      <c r="C186" s="257">
        <v>90.975528999999995</v>
      </c>
      <c r="D186" s="258">
        <v>75.53373509869256</v>
      </c>
      <c r="E186" s="257">
        <f t="shared" si="11"/>
        <v>75.53373509869256</v>
      </c>
      <c r="F186" s="263"/>
      <c r="G186" s="190" t="str">
        <f t="shared" si="12"/>
        <v/>
      </c>
      <c r="H186" s="259" t="str">
        <f t="shared" si="13"/>
        <v/>
      </c>
      <c r="I186" s="260"/>
    </row>
    <row r="187" spans="1:9">
      <c r="A187" s="255">
        <f t="shared" si="10"/>
        <v>185</v>
      </c>
      <c r="B187" s="256">
        <v>44806</v>
      </c>
      <c r="C187" s="257">
        <v>95.764218</v>
      </c>
      <c r="D187" s="258">
        <v>75.53373509869256</v>
      </c>
      <c r="E187" s="257">
        <f t="shared" si="11"/>
        <v>75.53373509869256</v>
      </c>
      <c r="F187" s="263"/>
      <c r="G187" s="190" t="str">
        <f t="shared" si="12"/>
        <v/>
      </c>
      <c r="H187" s="259" t="str">
        <f t="shared" si="13"/>
        <v/>
      </c>
      <c r="I187" s="260"/>
    </row>
    <row r="188" spans="1:9">
      <c r="A188" s="255">
        <f t="shared" si="10"/>
        <v>186</v>
      </c>
      <c r="B188" s="256">
        <v>44807</v>
      </c>
      <c r="C188" s="257">
        <v>103.73116400000001</v>
      </c>
      <c r="D188" s="258">
        <v>75.53373509869256</v>
      </c>
      <c r="E188" s="257">
        <f t="shared" si="11"/>
        <v>75.53373509869256</v>
      </c>
      <c r="F188" s="263"/>
      <c r="G188" s="190" t="str">
        <f t="shared" si="12"/>
        <v/>
      </c>
      <c r="H188" s="259" t="str">
        <f t="shared" si="13"/>
        <v/>
      </c>
      <c r="I188" s="260"/>
    </row>
    <row r="189" spans="1:9">
      <c r="A189" s="255">
        <f t="shared" si="10"/>
        <v>187</v>
      </c>
      <c r="B189" s="256">
        <v>44808</v>
      </c>
      <c r="C189" s="257">
        <v>111.029898</v>
      </c>
      <c r="D189" s="258">
        <v>75.53373509869256</v>
      </c>
      <c r="E189" s="257">
        <f t="shared" si="11"/>
        <v>75.53373509869256</v>
      </c>
      <c r="F189" s="263"/>
      <c r="G189" s="190" t="str">
        <f t="shared" si="12"/>
        <v/>
      </c>
      <c r="H189" s="259" t="str">
        <f t="shared" si="13"/>
        <v/>
      </c>
      <c r="I189" s="260"/>
    </row>
    <row r="190" spans="1:9">
      <c r="A190" s="255">
        <f t="shared" si="10"/>
        <v>188</v>
      </c>
      <c r="B190" s="256">
        <v>44809</v>
      </c>
      <c r="C190" s="257">
        <v>108.017042</v>
      </c>
      <c r="D190" s="258">
        <v>75.53373509869256</v>
      </c>
      <c r="E190" s="257">
        <f t="shared" si="11"/>
        <v>75.53373509869256</v>
      </c>
      <c r="F190" s="263"/>
      <c r="G190" s="190" t="str">
        <f t="shared" si="12"/>
        <v/>
      </c>
      <c r="H190" s="259" t="str">
        <f t="shared" si="13"/>
        <v/>
      </c>
      <c r="I190" s="260"/>
    </row>
    <row r="191" spans="1:9">
      <c r="A191" s="255">
        <f t="shared" si="10"/>
        <v>189</v>
      </c>
      <c r="B191" s="256">
        <v>44810</v>
      </c>
      <c r="C191" s="257">
        <v>103.323973</v>
      </c>
      <c r="D191" s="258">
        <v>75.53373509869256</v>
      </c>
      <c r="E191" s="257">
        <f t="shared" si="11"/>
        <v>75.53373509869256</v>
      </c>
      <c r="F191" s="263"/>
      <c r="G191" s="190" t="str">
        <f t="shared" si="12"/>
        <v/>
      </c>
      <c r="H191" s="259" t="str">
        <f t="shared" si="13"/>
        <v/>
      </c>
      <c r="I191" s="260"/>
    </row>
    <row r="192" spans="1:9">
      <c r="A192" s="255">
        <f t="shared" si="10"/>
        <v>190</v>
      </c>
      <c r="B192" s="256">
        <v>44811</v>
      </c>
      <c r="C192" s="257">
        <v>89.186820000000012</v>
      </c>
      <c r="D192" s="258">
        <v>75.53373509869256</v>
      </c>
      <c r="E192" s="257">
        <f t="shared" si="11"/>
        <v>75.53373509869256</v>
      </c>
      <c r="F192" s="263"/>
      <c r="G192" s="190" t="str">
        <f t="shared" si="12"/>
        <v/>
      </c>
      <c r="H192" s="259" t="str">
        <f t="shared" si="13"/>
        <v/>
      </c>
      <c r="I192" s="260"/>
    </row>
    <row r="193" spans="1:9">
      <c r="A193" s="255">
        <f t="shared" si="10"/>
        <v>191</v>
      </c>
      <c r="B193" s="256">
        <v>44812</v>
      </c>
      <c r="C193" s="257">
        <v>90.566204999999997</v>
      </c>
      <c r="D193" s="258">
        <v>75.53373509869256</v>
      </c>
      <c r="E193" s="257">
        <f t="shared" si="11"/>
        <v>75.53373509869256</v>
      </c>
      <c r="F193" s="263"/>
      <c r="G193" s="190" t="str">
        <f t="shared" si="12"/>
        <v/>
      </c>
      <c r="H193" s="259" t="str">
        <f t="shared" si="13"/>
        <v/>
      </c>
      <c r="I193" s="260"/>
    </row>
    <row r="194" spans="1:9">
      <c r="A194" s="255">
        <f t="shared" si="10"/>
        <v>192</v>
      </c>
      <c r="B194" s="256">
        <v>44813</v>
      </c>
      <c r="C194" s="257">
        <v>99.45468799999999</v>
      </c>
      <c r="D194" s="258">
        <v>75.53373509869256</v>
      </c>
      <c r="E194" s="257">
        <f t="shared" si="11"/>
        <v>75.53373509869256</v>
      </c>
      <c r="F194" s="263"/>
      <c r="G194" s="190" t="str">
        <f t="shared" si="12"/>
        <v/>
      </c>
      <c r="H194" s="259" t="str">
        <f t="shared" si="13"/>
        <v/>
      </c>
      <c r="I194" s="260"/>
    </row>
    <row r="195" spans="1:9">
      <c r="A195" s="255">
        <f t="shared" si="10"/>
        <v>193</v>
      </c>
      <c r="B195" s="256">
        <v>44814</v>
      </c>
      <c r="C195" s="257">
        <v>104.498205</v>
      </c>
      <c r="D195" s="258">
        <v>75.53373509869256</v>
      </c>
      <c r="E195" s="257">
        <f t="shared" si="11"/>
        <v>75.53373509869256</v>
      </c>
      <c r="F195" s="263"/>
      <c r="G195" s="190" t="str">
        <f t="shared" si="12"/>
        <v/>
      </c>
      <c r="H195" s="259" t="str">
        <f t="shared" si="13"/>
        <v/>
      </c>
      <c r="I195" s="260"/>
    </row>
    <row r="196" spans="1:9">
      <c r="A196" s="255">
        <f t="shared" ref="A196:A259" si="14">+A195+1</f>
        <v>194</v>
      </c>
      <c r="B196" s="256">
        <v>44815</v>
      </c>
      <c r="C196" s="257">
        <v>97.449359000000001</v>
      </c>
      <c r="D196" s="258">
        <v>75.53373509869256</v>
      </c>
      <c r="E196" s="257">
        <f t="shared" ref="E196:E259" si="15">IF(C196&gt;D196,D196,C196)</f>
        <v>75.53373509869256</v>
      </c>
      <c r="F196" s="263"/>
      <c r="G196" s="190" t="str">
        <f t="shared" ref="G196:G259" si="16">IF(DAY(B196)=15,IF(MONTH(B196)=1,"E",IF(MONTH(B196)=2,"F",IF(MONTH(B196)=3,"M",IF(MONTH(B196)=4,"A",IF(MONTH(B196)=5,"M",IF(MONTH(B196)=6,"J",IF(MONTH(B196)=7,"J",IF(MONTH(B196)=8,"A",IF(MONTH(B196)=9,"S",IF(MONTH(B196)=10,"O",IF(MONTH(B196)=11,"N",IF(MONTH(B196)=12,"D","")))))))))))),"")</f>
        <v/>
      </c>
      <c r="H196" s="259" t="str">
        <f t="shared" ref="H196:H259" si="17">IF(DAY($B196)=15,TEXT(D196,"#,0"),"")</f>
        <v/>
      </c>
      <c r="I196" s="260"/>
    </row>
    <row r="197" spans="1:9">
      <c r="A197" s="255">
        <f t="shared" si="14"/>
        <v>195</v>
      </c>
      <c r="B197" s="256">
        <v>44816</v>
      </c>
      <c r="C197" s="257">
        <v>44.881042000000001</v>
      </c>
      <c r="D197" s="258">
        <v>75.53373509869256</v>
      </c>
      <c r="E197" s="257">
        <f t="shared" si="15"/>
        <v>44.881042000000001</v>
      </c>
      <c r="F197" s="263"/>
      <c r="G197" s="190" t="str">
        <f t="shared" si="16"/>
        <v/>
      </c>
      <c r="H197" s="259" t="str">
        <f t="shared" si="17"/>
        <v/>
      </c>
      <c r="I197" s="260"/>
    </row>
    <row r="198" spans="1:9">
      <c r="A198" s="255">
        <f t="shared" si="14"/>
        <v>196</v>
      </c>
      <c r="B198" s="256">
        <v>44817</v>
      </c>
      <c r="C198" s="257">
        <v>43.219239000000002</v>
      </c>
      <c r="D198" s="258">
        <v>75.53373509869256</v>
      </c>
      <c r="E198" s="257">
        <f t="shared" si="15"/>
        <v>43.219239000000002</v>
      </c>
      <c r="F198" s="263"/>
      <c r="G198" s="190" t="str">
        <f t="shared" si="16"/>
        <v/>
      </c>
      <c r="H198" s="259" t="str">
        <f t="shared" si="17"/>
        <v/>
      </c>
      <c r="I198" s="260"/>
    </row>
    <row r="199" spans="1:9">
      <c r="A199" s="255">
        <f t="shared" si="14"/>
        <v>197</v>
      </c>
      <c r="B199" s="256">
        <v>44818</v>
      </c>
      <c r="C199" s="257">
        <v>64.212167999999991</v>
      </c>
      <c r="D199" s="258">
        <v>75.53373509869256</v>
      </c>
      <c r="E199" s="257">
        <f t="shared" si="15"/>
        <v>64.212167999999991</v>
      </c>
      <c r="F199" s="263"/>
      <c r="G199" s="190" t="str">
        <f t="shared" si="16"/>
        <v/>
      </c>
      <c r="H199" s="259" t="str">
        <f t="shared" si="17"/>
        <v/>
      </c>
      <c r="I199" s="260"/>
    </row>
    <row r="200" spans="1:9">
      <c r="A200" s="255">
        <f t="shared" si="14"/>
        <v>198</v>
      </c>
      <c r="B200" s="256">
        <v>44819</v>
      </c>
      <c r="C200" s="257">
        <v>75.54827499999999</v>
      </c>
      <c r="D200" s="258">
        <v>75.53373509869256</v>
      </c>
      <c r="E200" s="257">
        <f t="shared" si="15"/>
        <v>75.53373509869256</v>
      </c>
      <c r="F200" s="263"/>
      <c r="G200" s="190" t="str">
        <f t="shared" si="16"/>
        <v>S</v>
      </c>
      <c r="H200" s="259" t="str">
        <f t="shared" si="17"/>
        <v>75,5</v>
      </c>
      <c r="I200" s="260"/>
    </row>
    <row r="201" spans="1:9">
      <c r="A201" s="255">
        <f t="shared" si="14"/>
        <v>199</v>
      </c>
      <c r="B201" s="256">
        <v>44820</v>
      </c>
      <c r="C201" s="257">
        <v>98.857866000000016</v>
      </c>
      <c r="D201" s="258">
        <v>75.53373509869256</v>
      </c>
      <c r="E201" s="257">
        <f t="shared" si="15"/>
        <v>75.53373509869256</v>
      </c>
      <c r="F201" s="263"/>
      <c r="G201" s="190" t="str">
        <f t="shared" si="16"/>
        <v/>
      </c>
      <c r="H201" s="259" t="str">
        <f t="shared" si="17"/>
        <v/>
      </c>
      <c r="I201" s="260"/>
    </row>
    <row r="202" spans="1:9">
      <c r="A202" s="255">
        <f t="shared" si="14"/>
        <v>200</v>
      </c>
      <c r="B202" s="256">
        <v>44821</v>
      </c>
      <c r="C202" s="257">
        <v>97.618347999999997</v>
      </c>
      <c r="D202" s="258">
        <v>75.53373509869256</v>
      </c>
      <c r="E202" s="257">
        <f t="shared" si="15"/>
        <v>75.53373509869256</v>
      </c>
      <c r="F202" s="263"/>
      <c r="G202" s="190" t="str">
        <f t="shared" si="16"/>
        <v/>
      </c>
      <c r="H202" s="259" t="str">
        <f t="shared" si="17"/>
        <v/>
      </c>
      <c r="I202" s="260"/>
    </row>
    <row r="203" spans="1:9">
      <c r="A203" s="255">
        <f t="shared" si="14"/>
        <v>201</v>
      </c>
      <c r="B203" s="256">
        <v>44822</v>
      </c>
      <c r="C203" s="257">
        <v>84.792062999999999</v>
      </c>
      <c r="D203" s="258">
        <v>75.53373509869256</v>
      </c>
      <c r="E203" s="257">
        <f t="shared" si="15"/>
        <v>75.53373509869256</v>
      </c>
      <c r="F203" s="263"/>
      <c r="G203" s="190" t="str">
        <f t="shared" si="16"/>
        <v/>
      </c>
      <c r="H203" s="259" t="str">
        <f t="shared" si="17"/>
        <v/>
      </c>
      <c r="I203" s="260"/>
    </row>
    <row r="204" spans="1:9">
      <c r="A204" s="255">
        <f t="shared" si="14"/>
        <v>202</v>
      </c>
      <c r="B204" s="256">
        <v>44823</v>
      </c>
      <c r="C204" s="257">
        <v>85.655837000000005</v>
      </c>
      <c r="D204" s="258">
        <v>75.53373509869256</v>
      </c>
      <c r="E204" s="257">
        <f t="shared" si="15"/>
        <v>75.53373509869256</v>
      </c>
      <c r="F204" s="263"/>
      <c r="G204" s="190" t="str">
        <f t="shared" si="16"/>
        <v/>
      </c>
      <c r="H204" s="259" t="str">
        <f t="shared" si="17"/>
        <v/>
      </c>
      <c r="I204" s="260"/>
    </row>
    <row r="205" spans="1:9">
      <c r="A205" s="255">
        <f t="shared" si="14"/>
        <v>203</v>
      </c>
      <c r="B205" s="256">
        <v>44824</v>
      </c>
      <c r="C205" s="257">
        <v>94.4238</v>
      </c>
      <c r="D205" s="258">
        <v>75.53373509869256</v>
      </c>
      <c r="E205" s="257">
        <f t="shared" si="15"/>
        <v>75.53373509869256</v>
      </c>
      <c r="F205" s="263"/>
      <c r="G205" s="190" t="str">
        <f t="shared" si="16"/>
        <v/>
      </c>
      <c r="H205" s="259" t="str">
        <f t="shared" si="17"/>
        <v/>
      </c>
      <c r="I205" s="260"/>
    </row>
    <row r="206" spans="1:9">
      <c r="A206" s="255">
        <f t="shared" si="14"/>
        <v>204</v>
      </c>
      <c r="B206" s="256">
        <v>44825</v>
      </c>
      <c r="C206" s="257">
        <v>73.583860999999999</v>
      </c>
      <c r="D206" s="258">
        <v>75.53373509869256</v>
      </c>
      <c r="E206" s="257">
        <f t="shared" si="15"/>
        <v>73.583860999999999</v>
      </c>
      <c r="F206" s="263"/>
      <c r="G206" s="190" t="str">
        <f t="shared" si="16"/>
        <v/>
      </c>
      <c r="H206" s="259" t="str">
        <f t="shared" si="17"/>
        <v/>
      </c>
      <c r="I206" s="260"/>
    </row>
    <row r="207" spans="1:9">
      <c r="A207" s="255">
        <f t="shared" si="14"/>
        <v>205</v>
      </c>
      <c r="B207" s="256">
        <v>44826</v>
      </c>
      <c r="C207" s="257">
        <v>94.146371000000002</v>
      </c>
      <c r="D207" s="258">
        <v>75.53373509869256</v>
      </c>
      <c r="E207" s="257">
        <f t="shared" si="15"/>
        <v>75.53373509869256</v>
      </c>
      <c r="F207" s="263"/>
      <c r="G207" s="190" t="str">
        <f t="shared" si="16"/>
        <v/>
      </c>
      <c r="H207" s="259" t="str">
        <f t="shared" si="17"/>
        <v/>
      </c>
      <c r="I207" s="260"/>
    </row>
    <row r="208" spans="1:9">
      <c r="A208" s="255">
        <f t="shared" si="14"/>
        <v>206</v>
      </c>
      <c r="B208" s="256">
        <v>44827</v>
      </c>
      <c r="C208" s="257">
        <v>89.998292000000006</v>
      </c>
      <c r="D208" s="258">
        <v>75.53373509869256</v>
      </c>
      <c r="E208" s="257">
        <f t="shared" si="15"/>
        <v>75.53373509869256</v>
      </c>
      <c r="F208" s="263"/>
      <c r="G208" s="190" t="str">
        <f t="shared" si="16"/>
        <v/>
      </c>
      <c r="H208" s="259" t="str">
        <f t="shared" si="17"/>
        <v/>
      </c>
      <c r="I208" s="260"/>
    </row>
    <row r="209" spans="1:9">
      <c r="A209" s="255">
        <f t="shared" si="14"/>
        <v>207</v>
      </c>
      <c r="B209" s="256">
        <v>44828</v>
      </c>
      <c r="C209" s="257">
        <v>84.75018399999999</v>
      </c>
      <c r="D209" s="258">
        <v>75.53373509869256</v>
      </c>
      <c r="E209" s="257">
        <f t="shared" si="15"/>
        <v>75.53373509869256</v>
      </c>
      <c r="F209" s="263"/>
      <c r="G209" s="190" t="str">
        <f t="shared" si="16"/>
        <v/>
      </c>
      <c r="H209" s="259" t="str">
        <f t="shared" si="17"/>
        <v/>
      </c>
      <c r="I209" s="260"/>
    </row>
    <row r="210" spans="1:9">
      <c r="A210" s="255">
        <f t="shared" si="14"/>
        <v>208</v>
      </c>
      <c r="B210" s="256">
        <v>44829</v>
      </c>
      <c r="C210" s="257">
        <v>77.135643000000002</v>
      </c>
      <c r="D210" s="258">
        <v>75.53373509869256</v>
      </c>
      <c r="E210" s="257">
        <f t="shared" si="15"/>
        <v>75.53373509869256</v>
      </c>
      <c r="F210" s="263"/>
      <c r="G210" s="190" t="str">
        <f t="shared" si="16"/>
        <v/>
      </c>
      <c r="H210" s="259" t="str">
        <f t="shared" si="17"/>
        <v/>
      </c>
      <c r="I210" s="260"/>
    </row>
    <row r="211" spans="1:9">
      <c r="A211" s="255">
        <f t="shared" si="14"/>
        <v>209</v>
      </c>
      <c r="B211" s="256">
        <v>44830</v>
      </c>
      <c r="C211" s="257">
        <v>88.685634999999991</v>
      </c>
      <c r="D211" s="258">
        <v>75.53373509869256</v>
      </c>
      <c r="E211" s="257">
        <f t="shared" si="15"/>
        <v>75.53373509869256</v>
      </c>
      <c r="F211" s="263"/>
      <c r="G211" s="190" t="str">
        <f t="shared" si="16"/>
        <v/>
      </c>
      <c r="H211" s="259" t="str">
        <f t="shared" si="17"/>
        <v/>
      </c>
      <c r="I211" s="260"/>
    </row>
    <row r="212" spans="1:9">
      <c r="A212" s="255">
        <f t="shared" si="14"/>
        <v>210</v>
      </c>
      <c r="B212" s="256">
        <v>44831</v>
      </c>
      <c r="C212" s="257">
        <v>99.836092999999991</v>
      </c>
      <c r="D212" s="258">
        <v>75.53373509869256</v>
      </c>
      <c r="E212" s="257">
        <f t="shared" si="15"/>
        <v>75.53373509869256</v>
      </c>
      <c r="F212" s="263"/>
      <c r="G212" s="190" t="str">
        <f t="shared" si="16"/>
        <v/>
      </c>
      <c r="H212" s="259" t="str">
        <f t="shared" si="17"/>
        <v/>
      </c>
      <c r="I212" s="260"/>
    </row>
    <row r="213" spans="1:9">
      <c r="A213" s="255">
        <f t="shared" si="14"/>
        <v>211</v>
      </c>
      <c r="B213" s="256">
        <v>44832</v>
      </c>
      <c r="C213" s="257">
        <v>94.513408999999996</v>
      </c>
      <c r="D213" s="258">
        <v>75.53373509869256</v>
      </c>
      <c r="E213" s="257">
        <f t="shared" si="15"/>
        <v>75.53373509869256</v>
      </c>
      <c r="F213" s="263"/>
      <c r="G213" s="190" t="str">
        <f t="shared" si="16"/>
        <v/>
      </c>
      <c r="H213" s="259" t="str">
        <f t="shared" si="17"/>
        <v/>
      </c>
      <c r="I213" s="260"/>
    </row>
    <row r="214" spans="1:9">
      <c r="A214" s="255">
        <f t="shared" si="14"/>
        <v>212</v>
      </c>
      <c r="B214" s="256">
        <v>44833</v>
      </c>
      <c r="C214" s="257">
        <v>60.079542000000004</v>
      </c>
      <c r="D214" s="258">
        <v>75.53373509869256</v>
      </c>
      <c r="E214" s="257">
        <f t="shared" si="15"/>
        <v>60.079542000000004</v>
      </c>
      <c r="F214" s="263"/>
      <c r="G214" s="190" t="str">
        <f t="shared" si="16"/>
        <v/>
      </c>
      <c r="H214" s="259" t="str">
        <f t="shared" si="17"/>
        <v/>
      </c>
      <c r="I214" s="260"/>
    </row>
    <row r="215" spans="1:9">
      <c r="A215" s="255">
        <f t="shared" si="14"/>
        <v>213</v>
      </c>
      <c r="B215" s="256">
        <v>44834</v>
      </c>
      <c r="C215" s="257">
        <v>101.46353300000001</v>
      </c>
      <c r="D215" s="258">
        <v>75.53373509869256</v>
      </c>
      <c r="E215" s="257">
        <f t="shared" si="15"/>
        <v>75.53373509869256</v>
      </c>
      <c r="F215" s="263"/>
      <c r="G215" s="190" t="str">
        <f t="shared" si="16"/>
        <v/>
      </c>
      <c r="H215" s="259" t="str">
        <f t="shared" si="17"/>
        <v/>
      </c>
      <c r="I215" s="260"/>
    </row>
    <row r="216" spans="1:9">
      <c r="A216" s="255">
        <f t="shared" si="14"/>
        <v>214</v>
      </c>
      <c r="B216" s="256">
        <v>44835</v>
      </c>
      <c r="C216" s="257">
        <v>102.002253</v>
      </c>
      <c r="D216" s="258">
        <v>61.15886156730037</v>
      </c>
      <c r="E216" s="257">
        <f t="shared" si="15"/>
        <v>61.15886156730037</v>
      </c>
      <c r="F216" s="260"/>
      <c r="G216" s="190" t="str">
        <f t="shared" si="16"/>
        <v/>
      </c>
      <c r="H216" s="259" t="str">
        <f t="shared" si="17"/>
        <v/>
      </c>
      <c r="I216" s="260"/>
    </row>
    <row r="217" spans="1:9">
      <c r="A217" s="255">
        <f t="shared" si="14"/>
        <v>215</v>
      </c>
      <c r="B217" s="256">
        <v>44836</v>
      </c>
      <c r="C217" s="257">
        <v>95.179627999999994</v>
      </c>
      <c r="D217" s="258">
        <v>61.15886156730037</v>
      </c>
      <c r="E217" s="257">
        <f t="shared" si="15"/>
        <v>61.15886156730037</v>
      </c>
      <c r="F217" s="263"/>
      <c r="G217" s="190" t="str">
        <f t="shared" si="16"/>
        <v/>
      </c>
      <c r="H217" s="259" t="str">
        <f t="shared" si="17"/>
        <v/>
      </c>
      <c r="I217" s="260"/>
    </row>
    <row r="218" spans="1:9">
      <c r="A218" s="255">
        <f t="shared" si="14"/>
        <v>216</v>
      </c>
      <c r="B218" s="256">
        <v>44837</v>
      </c>
      <c r="C218" s="257">
        <v>72.560278000000011</v>
      </c>
      <c r="D218" s="258">
        <v>61.15886156730037</v>
      </c>
      <c r="E218" s="257">
        <f t="shared" si="15"/>
        <v>61.15886156730037</v>
      </c>
      <c r="F218" s="263"/>
      <c r="G218" s="190" t="str">
        <f t="shared" si="16"/>
        <v/>
      </c>
      <c r="H218" s="259" t="str">
        <f t="shared" si="17"/>
        <v/>
      </c>
      <c r="I218" s="260"/>
    </row>
    <row r="219" spans="1:9">
      <c r="A219" s="255">
        <f t="shared" si="14"/>
        <v>217</v>
      </c>
      <c r="B219" s="256">
        <v>44838</v>
      </c>
      <c r="C219" s="257">
        <v>84.722206</v>
      </c>
      <c r="D219" s="258">
        <v>61.15886156730037</v>
      </c>
      <c r="E219" s="257">
        <f t="shared" si="15"/>
        <v>61.15886156730037</v>
      </c>
      <c r="F219" s="263"/>
      <c r="G219" s="190" t="str">
        <f t="shared" si="16"/>
        <v/>
      </c>
      <c r="H219" s="259" t="str">
        <f t="shared" si="17"/>
        <v/>
      </c>
      <c r="I219" s="260"/>
    </row>
    <row r="220" spans="1:9">
      <c r="A220" s="255">
        <f t="shared" si="14"/>
        <v>218</v>
      </c>
      <c r="B220" s="256">
        <v>44839</v>
      </c>
      <c r="C220" s="257">
        <v>82.966399999999993</v>
      </c>
      <c r="D220" s="258">
        <v>61.15886156730037</v>
      </c>
      <c r="E220" s="257">
        <f t="shared" si="15"/>
        <v>61.15886156730037</v>
      </c>
      <c r="F220" s="263"/>
      <c r="G220" s="190" t="str">
        <f t="shared" si="16"/>
        <v/>
      </c>
      <c r="H220" s="259" t="str">
        <f t="shared" si="17"/>
        <v/>
      </c>
      <c r="I220" s="260"/>
    </row>
    <row r="221" spans="1:9">
      <c r="A221" s="255">
        <f t="shared" si="14"/>
        <v>219</v>
      </c>
      <c r="B221" s="256">
        <v>44840</v>
      </c>
      <c r="C221" s="257">
        <v>79.116305999999994</v>
      </c>
      <c r="D221" s="258">
        <v>61.15886156730037</v>
      </c>
      <c r="E221" s="257">
        <f t="shared" si="15"/>
        <v>61.15886156730037</v>
      </c>
      <c r="F221" s="263"/>
      <c r="G221" s="190" t="str">
        <f t="shared" si="16"/>
        <v/>
      </c>
      <c r="H221" s="259" t="str">
        <f t="shared" si="17"/>
        <v/>
      </c>
      <c r="I221" s="260"/>
    </row>
    <row r="222" spans="1:9">
      <c r="A222" s="255">
        <f t="shared" si="14"/>
        <v>220</v>
      </c>
      <c r="B222" s="256">
        <v>44841</v>
      </c>
      <c r="C222" s="257">
        <v>81.048804000000004</v>
      </c>
      <c r="D222" s="258">
        <v>61.15886156730037</v>
      </c>
      <c r="E222" s="257">
        <f t="shared" si="15"/>
        <v>61.15886156730037</v>
      </c>
      <c r="F222" s="263"/>
      <c r="G222" s="190" t="str">
        <f t="shared" si="16"/>
        <v/>
      </c>
      <c r="H222" s="259" t="str">
        <f t="shared" si="17"/>
        <v/>
      </c>
      <c r="I222" s="260"/>
    </row>
    <row r="223" spans="1:9">
      <c r="A223" s="255">
        <f t="shared" si="14"/>
        <v>221</v>
      </c>
      <c r="B223" s="256">
        <v>44842</v>
      </c>
      <c r="C223" s="257">
        <v>85.245213000000007</v>
      </c>
      <c r="D223" s="258">
        <v>61.15886156730037</v>
      </c>
      <c r="E223" s="257">
        <f t="shared" si="15"/>
        <v>61.15886156730037</v>
      </c>
      <c r="F223" s="263"/>
      <c r="G223" s="190" t="str">
        <f t="shared" si="16"/>
        <v/>
      </c>
      <c r="H223" s="259" t="str">
        <f t="shared" si="17"/>
        <v/>
      </c>
      <c r="I223" s="260"/>
    </row>
    <row r="224" spans="1:9">
      <c r="A224" s="255">
        <f t="shared" si="14"/>
        <v>222</v>
      </c>
      <c r="B224" s="256">
        <v>44843</v>
      </c>
      <c r="C224" s="257">
        <v>77.987379000000004</v>
      </c>
      <c r="D224" s="258">
        <v>61.15886156730037</v>
      </c>
      <c r="E224" s="257">
        <f t="shared" si="15"/>
        <v>61.15886156730037</v>
      </c>
      <c r="F224" s="263"/>
      <c r="G224" s="190" t="str">
        <f t="shared" si="16"/>
        <v/>
      </c>
      <c r="H224" s="259" t="str">
        <f t="shared" si="17"/>
        <v/>
      </c>
      <c r="I224" s="260"/>
    </row>
    <row r="225" spans="1:9">
      <c r="A225" s="255">
        <f t="shared" si="14"/>
        <v>223</v>
      </c>
      <c r="B225" s="256">
        <v>44844</v>
      </c>
      <c r="C225" s="257">
        <v>50.409033999999998</v>
      </c>
      <c r="D225" s="258">
        <v>61.15886156730037</v>
      </c>
      <c r="E225" s="257">
        <f t="shared" si="15"/>
        <v>50.409033999999998</v>
      </c>
      <c r="F225" s="263"/>
      <c r="G225" s="190" t="str">
        <f t="shared" si="16"/>
        <v/>
      </c>
      <c r="H225" s="259" t="str">
        <f t="shared" si="17"/>
        <v/>
      </c>
      <c r="I225" s="260"/>
    </row>
    <row r="226" spans="1:9">
      <c r="A226" s="255">
        <f t="shared" si="14"/>
        <v>224</v>
      </c>
      <c r="B226" s="256">
        <v>44845</v>
      </c>
      <c r="C226" s="257">
        <v>58.465622000000003</v>
      </c>
      <c r="D226" s="258">
        <v>61.15886156730037</v>
      </c>
      <c r="E226" s="257">
        <f t="shared" si="15"/>
        <v>58.465622000000003</v>
      </c>
      <c r="F226" s="263"/>
      <c r="G226" s="190" t="str">
        <f t="shared" si="16"/>
        <v/>
      </c>
      <c r="H226" s="259" t="str">
        <f t="shared" si="17"/>
        <v/>
      </c>
      <c r="I226" s="260"/>
    </row>
    <row r="227" spans="1:9">
      <c r="A227" s="255">
        <f t="shared" si="14"/>
        <v>225</v>
      </c>
      <c r="B227" s="256">
        <v>44846</v>
      </c>
      <c r="C227" s="257">
        <v>83.235032000000004</v>
      </c>
      <c r="D227" s="258">
        <v>61.15886156730037</v>
      </c>
      <c r="E227" s="257">
        <f t="shared" si="15"/>
        <v>61.15886156730037</v>
      </c>
      <c r="F227" s="263"/>
      <c r="G227" s="190" t="str">
        <f t="shared" si="16"/>
        <v/>
      </c>
      <c r="H227" s="259" t="str">
        <f t="shared" si="17"/>
        <v/>
      </c>
      <c r="I227" s="260"/>
    </row>
    <row r="228" spans="1:9">
      <c r="A228" s="255">
        <f t="shared" si="14"/>
        <v>226</v>
      </c>
      <c r="B228" s="256">
        <v>44847</v>
      </c>
      <c r="C228" s="257">
        <v>87.707205000000002</v>
      </c>
      <c r="D228" s="258">
        <v>61.15886156730037</v>
      </c>
      <c r="E228" s="257">
        <f t="shared" si="15"/>
        <v>61.15886156730037</v>
      </c>
      <c r="F228" s="263"/>
      <c r="G228" s="190" t="str">
        <f t="shared" si="16"/>
        <v/>
      </c>
      <c r="H228" s="259" t="str">
        <f t="shared" si="17"/>
        <v/>
      </c>
      <c r="I228" s="260"/>
    </row>
    <row r="229" spans="1:9">
      <c r="A229" s="255">
        <f t="shared" si="14"/>
        <v>227</v>
      </c>
      <c r="B229" s="256">
        <v>44848</v>
      </c>
      <c r="C229" s="257">
        <v>91.32136100000001</v>
      </c>
      <c r="D229" s="258">
        <v>61.15886156730037</v>
      </c>
      <c r="E229" s="257">
        <f t="shared" si="15"/>
        <v>61.15886156730037</v>
      </c>
      <c r="F229" s="263"/>
      <c r="G229" s="190" t="str">
        <f t="shared" si="16"/>
        <v/>
      </c>
      <c r="H229" s="259" t="str">
        <f t="shared" si="17"/>
        <v/>
      </c>
      <c r="I229" s="260"/>
    </row>
    <row r="230" spans="1:9">
      <c r="A230" s="255">
        <f t="shared" si="14"/>
        <v>228</v>
      </c>
      <c r="B230" s="256">
        <v>44849</v>
      </c>
      <c r="C230" s="257">
        <v>89.414111999999989</v>
      </c>
      <c r="D230" s="258">
        <v>61.15886156730037</v>
      </c>
      <c r="E230" s="257">
        <f t="shared" si="15"/>
        <v>61.15886156730037</v>
      </c>
      <c r="F230" s="263"/>
      <c r="G230" s="190" t="str">
        <f t="shared" si="16"/>
        <v>O</v>
      </c>
      <c r="H230" s="259" t="str">
        <f t="shared" si="17"/>
        <v>61,2</v>
      </c>
      <c r="I230" s="260"/>
    </row>
    <row r="231" spans="1:9">
      <c r="A231" s="255">
        <f t="shared" si="14"/>
        <v>229</v>
      </c>
      <c r="B231" s="256">
        <v>44850</v>
      </c>
      <c r="C231" s="257">
        <v>55.389625000000002</v>
      </c>
      <c r="D231" s="258">
        <v>61.15886156730037</v>
      </c>
      <c r="E231" s="257">
        <f t="shared" si="15"/>
        <v>55.389625000000002</v>
      </c>
      <c r="F231" s="263"/>
      <c r="G231" s="190" t="str">
        <f t="shared" si="16"/>
        <v/>
      </c>
      <c r="H231" s="259" t="str">
        <f t="shared" si="17"/>
        <v/>
      </c>
      <c r="I231" s="260"/>
    </row>
    <row r="232" spans="1:9">
      <c r="A232" s="255">
        <f t="shared" si="14"/>
        <v>230</v>
      </c>
      <c r="B232" s="256">
        <v>44851</v>
      </c>
      <c r="C232" s="257">
        <v>72.229038000000003</v>
      </c>
      <c r="D232" s="258">
        <v>61.15886156730037</v>
      </c>
      <c r="E232" s="257">
        <f t="shared" si="15"/>
        <v>61.15886156730037</v>
      </c>
      <c r="F232" s="263"/>
      <c r="G232" s="190" t="str">
        <f t="shared" si="16"/>
        <v/>
      </c>
      <c r="H232" s="259" t="str">
        <f t="shared" si="17"/>
        <v/>
      </c>
      <c r="I232" s="260"/>
    </row>
    <row r="233" spans="1:9">
      <c r="A233" s="255">
        <f t="shared" si="14"/>
        <v>231</v>
      </c>
      <c r="B233" s="256">
        <v>44852</v>
      </c>
      <c r="C233" s="257">
        <v>68.891384000000002</v>
      </c>
      <c r="D233" s="258">
        <v>61.15886156730037</v>
      </c>
      <c r="E233" s="257">
        <f t="shared" si="15"/>
        <v>61.15886156730037</v>
      </c>
      <c r="F233" s="263"/>
      <c r="G233" s="190" t="str">
        <f t="shared" si="16"/>
        <v/>
      </c>
      <c r="H233" s="259" t="str">
        <f t="shared" si="17"/>
        <v/>
      </c>
      <c r="I233" s="260"/>
    </row>
    <row r="234" spans="1:9">
      <c r="A234" s="255">
        <f t="shared" si="14"/>
        <v>232</v>
      </c>
      <c r="B234" s="256">
        <v>44853</v>
      </c>
      <c r="C234" s="257">
        <v>32.231015999999997</v>
      </c>
      <c r="D234" s="258">
        <v>61.15886156730037</v>
      </c>
      <c r="E234" s="257">
        <f t="shared" si="15"/>
        <v>32.231015999999997</v>
      </c>
      <c r="F234" s="263"/>
      <c r="G234" s="190" t="str">
        <f t="shared" si="16"/>
        <v/>
      </c>
      <c r="H234" s="259" t="str">
        <f t="shared" si="17"/>
        <v/>
      </c>
      <c r="I234" s="260"/>
    </row>
    <row r="235" spans="1:9">
      <c r="A235" s="255">
        <f t="shared" si="14"/>
        <v>233</v>
      </c>
      <c r="B235" s="256">
        <v>44854</v>
      </c>
      <c r="C235" s="257">
        <v>17.944908999999999</v>
      </c>
      <c r="D235" s="258">
        <v>61.15886156730037</v>
      </c>
      <c r="E235" s="257">
        <f t="shared" si="15"/>
        <v>17.944908999999999</v>
      </c>
      <c r="F235" s="263"/>
      <c r="G235" s="190" t="str">
        <f t="shared" si="16"/>
        <v/>
      </c>
      <c r="H235" s="259" t="str">
        <f t="shared" si="17"/>
        <v/>
      </c>
      <c r="I235" s="260"/>
    </row>
    <row r="236" spans="1:9">
      <c r="A236" s="255">
        <f t="shared" si="14"/>
        <v>234</v>
      </c>
      <c r="B236" s="256">
        <v>44855</v>
      </c>
      <c r="C236" s="257">
        <v>28.016767999999999</v>
      </c>
      <c r="D236" s="258">
        <v>61.15886156730037</v>
      </c>
      <c r="E236" s="257">
        <f t="shared" si="15"/>
        <v>28.016767999999999</v>
      </c>
      <c r="F236" s="263"/>
      <c r="G236" s="190" t="str">
        <f t="shared" si="16"/>
        <v/>
      </c>
      <c r="H236" s="259" t="str">
        <f t="shared" si="17"/>
        <v/>
      </c>
      <c r="I236" s="260"/>
    </row>
    <row r="237" spans="1:9">
      <c r="A237" s="255">
        <f t="shared" si="14"/>
        <v>235</v>
      </c>
      <c r="B237" s="256">
        <v>44856</v>
      </c>
      <c r="C237" s="257">
        <v>52.259012000000006</v>
      </c>
      <c r="D237" s="258">
        <v>61.15886156730037</v>
      </c>
      <c r="E237" s="257">
        <f t="shared" si="15"/>
        <v>52.259012000000006</v>
      </c>
      <c r="F237" s="263"/>
      <c r="G237" s="190" t="str">
        <f t="shared" si="16"/>
        <v/>
      </c>
      <c r="H237" s="259" t="str">
        <f t="shared" si="17"/>
        <v/>
      </c>
      <c r="I237" s="260"/>
    </row>
    <row r="238" spans="1:9">
      <c r="A238" s="255">
        <f t="shared" si="14"/>
        <v>236</v>
      </c>
      <c r="B238" s="256">
        <v>44857</v>
      </c>
      <c r="C238" s="257">
        <v>40.707363999999998</v>
      </c>
      <c r="D238" s="258">
        <v>61.15886156730037</v>
      </c>
      <c r="E238" s="257">
        <f t="shared" si="15"/>
        <v>40.707363999999998</v>
      </c>
      <c r="F238" s="263"/>
      <c r="G238" s="190" t="str">
        <f t="shared" si="16"/>
        <v/>
      </c>
      <c r="H238" s="259" t="str">
        <f t="shared" si="17"/>
        <v/>
      </c>
      <c r="I238" s="260"/>
    </row>
    <row r="239" spans="1:9">
      <c r="A239" s="255">
        <f t="shared" si="14"/>
        <v>237</v>
      </c>
      <c r="B239" s="256">
        <v>44858</v>
      </c>
      <c r="C239" s="257">
        <v>49.593767999999997</v>
      </c>
      <c r="D239" s="258">
        <v>61.15886156730037</v>
      </c>
      <c r="E239" s="257">
        <f t="shared" si="15"/>
        <v>49.593767999999997</v>
      </c>
      <c r="F239" s="263"/>
      <c r="G239" s="190" t="str">
        <f t="shared" si="16"/>
        <v/>
      </c>
      <c r="H239" s="259" t="str">
        <f t="shared" si="17"/>
        <v/>
      </c>
      <c r="I239" s="260"/>
    </row>
    <row r="240" spans="1:9">
      <c r="A240" s="255">
        <f t="shared" si="14"/>
        <v>238</v>
      </c>
      <c r="B240" s="256">
        <v>44859</v>
      </c>
      <c r="C240" s="257">
        <v>45.384362000000003</v>
      </c>
      <c r="D240" s="258">
        <v>61.15886156730037</v>
      </c>
      <c r="E240" s="257">
        <f t="shared" si="15"/>
        <v>45.384362000000003</v>
      </c>
      <c r="F240" s="263"/>
      <c r="G240" s="190" t="str">
        <f t="shared" si="16"/>
        <v/>
      </c>
      <c r="H240" s="259" t="str">
        <f t="shared" si="17"/>
        <v/>
      </c>
      <c r="I240" s="260"/>
    </row>
    <row r="241" spans="1:9">
      <c r="A241" s="255">
        <f t="shared" si="14"/>
        <v>239</v>
      </c>
      <c r="B241" s="256">
        <v>44860</v>
      </c>
      <c r="C241" s="257">
        <v>43.150815999999999</v>
      </c>
      <c r="D241" s="258">
        <v>61.15886156730037</v>
      </c>
      <c r="E241" s="257">
        <f t="shared" si="15"/>
        <v>43.150815999999999</v>
      </c>
      <c r="F241" s="263"/>
      <c r="G241" s="190" t="str">
        <f t="shared" si="16"/>
        <v/>
      </c>
      <c r="H241" s="259" t="str">
        <f t="shared" si="17"/>
        <v/>
      </c>
      <c r="I241" s="260"/>
    </row>
    <row r="242" spans="1:9">
      <c r="A242" s="255">
        <f t="shared" si="14"/>
        <v>240</v>
      </c>
      <c r="B242" s="256">
        <v>44861</v>
      </c>
      <c r="C242" s="257">
        <v>58.521273999999998</v>
      </c>
      <c r="D242" s="258">
        <v>61.15886156730037</v>
      </c>
      <c r="E242" s="257">
        <f t="shared" si="15"/>
        <v>58.521273999999998</v>
      </c>
      <c r="F242" s="263"/>
      <c r="G242" s="190" t="str">
        <f t="shared" si="16"/>
        <v/>
      </c>
      <c r="H242" s="259" t="str">
        <f t="shared" si="17"/>
        <v/>
      </c>
      <c r="I242" s="260"/>
    </row>
    <row r="243" spans="1:9">
      <c r="A243" s="255">
        <f t="shared" si="14"/>
        <v>241</v>
      </c>
      <c r="B243" s="256">
        <v>44862</v>
      </c>
      <c r="C243" s="257">
        <v>56.667131999999995</v>
      </c>
      <c r="D243" s="258">
        <v>61.15886156730037</v>
      </c>
      <c r="E243" s="257">
        <f t="shared" si="15"/>
        <v>56.667131999999995</v>
      </c>
      <c r="F243" s="263"/>
      <c r="G243" s="190" t="str">
        <f t="shared" si="16"/>
        <v/>
      </c>
      <c r="H243" s="259" t="str">
        <f t="shared" si="17"/>
        <v/>
      </c>
      <c r="I243" s="260"/>
    </row>
    <row r="244" spans="1:9">
      <c r="A244" s="255">
        <f t="shared" si="14"/>
        <v>242</v>
      </c>
      <c r="B244" s="256">
        <v>44863</v>
      </c>
      <c r="C244" s="257">
        <v>62.325137000000005</v>
      </c>
      <c r="D244" s="258">
        <v>61.15886156730037</v>
      </c>
      <c r="E244" s="257">
        <f t="shared" si="15"/>
        <v>61.15886156730037</v>
      </c>
      <c r="F244" s="263"/>
      <c r="G244" s="190" t="str">
        <f t="shared" si="16"/>
        <v/>
      </c>
      <c r="H244" s="259" t="str">
        <f t="shared" si="17"/>
        <v/>
      </c>
      <c r="I244" s="260"/>
    </row>
    <row r="245" spans="1:9">
      <c r="A245" s="255">
        <f t="shared" si="14"/>
        <v>243</v>
      </c>
      <c r="B245" s="256">
        <v>44864</v>
      </c>
      <c r="C245" s="257">
        <v>48.903733000000003</v>
      </c>
      <c r="D245" s="258">
        <v>61.15886156730037</v>
      </c>
      <c r="E245" s="257">
        <f t="shared" si="15"/>
        <v>48.903733000000003</v>
      </c>
      <c r="F245" s="263"/>
      <c r="G245" s="190" t="str">
        <f t="shared" si="16"/>
        <v/>
      </c>
      <c r="H245" s="259" t="str">
        <f t="shared" si="17"/>
        <v/>
      </c>
      <c r="I245" s="260"/>
    </row>
    <row r="246" spans="1:9">
      <c r="A246" s="255">
        <f t="shared" si="14"/>
        <v>244</v>
      </c>
      <c r="B246" s="256">
        <v>44865</v>
      </c>
      <c r="C246" s="257">
        <v>23.888902999999999</v>
      </c>
      <c r="D246" s="258">
        <v>61.15886156730037</v>
      </c>
      <c r="E246" s="257">
        <f t="shared" si="15"/>
        <v>23.888902999999999</v>
      </c>
      <c r="F246" s="263"/>
      <c r="G246" s="190" t="str">
        <f t="shared" si="16"/>
        <v/>
      </c>
      <c r="H246" s="259" t="str">
        <f t="shared" si="17"/>
        <v/>
      </c>
      <c r="I246" s="260"/>
    </row>
    <row r="247" spans="1:9">
      <c r="A247" s="255">
        <f t="shared" si="14"/>
        <v>245</v>
      </c>
      <c r="B247" s="256">
        <v>44866</v>
      </c>
      <c r="C247" s="257">
        <v>65.973414999999989</v>
      </c>
      <c r="D247" s="258">
        <v>44.721281663391778</v>
      </c>
      <c r="E247" s="257">
        <f t="shared" si="15"/>
        <v>44.721281663391778</v>
      </c>
      <c r="F247" s="260"/>
      <c r="G247" s="190" t="str">
        <f t="shared" si="16"/>
        <v/>
      </c>
      <c r="H247" s="259" t="str">
        <f t="shared" si="17"/>
        <v/>
      </c>
      <c r="I247" s="260"/>
    </row>
    <row r="248" spans="1:9">
      <c r="A248" s="255">
        <f t="shared" si="14"/>
        <v>246</v>
      </c>
      <c r="B248" s="256">
        <v>44867</v>
      </c>
      <c r="C248" s="257">
        <v>66.712455000000006</v>
      </c>
      <c r="D248" s="258">
        <v>44.721281663391778</v>
      </c>
      <c r="E248" s="257">
        <f t="shared" si="15"/>
        <v>44.721281663391778</v>
      </c>
      <c r="F248" s="263"/>
      <c r="G248" s="190" t="str">
        <f t="shared" si="16"/>
        <v/>
      </c>
      <c r="H248" s="259" t="str">
        <f t="shared" si="17"/>
        <v/>
      </c>
      <c r="I248" s="260"/>
    </row>
    <row r="249" spans="1:9">
      <c r="A249" s="255">
        <f t="shared" si="14"/>
        <v>247</v>
      </c>
      <c r="B249" s="256">
        <v>44868</v>
      </c>
      <c r="C249" s="257">
        <v>32.841544999999996</v>
      </c>
      <c r="D249" s="258">
        <v>44.721281663391778</v>
      </c>
      <c r="E249" s="257">
        <f t="shared" si="15"/>
        <v>32.841544999999996</v>
      </c>
      <c r="F249" s="263"/>
      <c r="G249" s="190" t="str">
        <f t="shared" si="16"/>
        <v/>
      </c>
      <c r="H249" s="259" t="str">
        <f t="shared" si="17"/>
        <v/>
      </c>
      <c r="I249" s="260"/>
    </row>
    <row r="250" spans="1:9">
      <c r="A250" s="255">
        <f t="shared" si="14"/>
        <v>248</v>
      </c>
      <c r="B250" s="256">
        <v>44869</v>
      </c>
      <c r="C250" s="257">
        <v>63.790446000000003</v>
      </c>
      <c r="D250" s="258">
        <v>44.721281663391778</v>
      </c>
      <c r="E250" s="257">
        <f t="shared" si="15"/>
        <v>44.721281663391778</v>
      </c>
      <c r="F250" s="263"/>
      <c r="G250" s="190" t="str">
        <f t="shared" si="16"/>
        <v/>
      </c>
      <c r="H250" s="259" t="str">
        <f t="shared" si="17"/>
        <v/>
      </c>
      <c r="I250" s="260"/>
    </row>
    <row r="251" spans="1:9">
      <c r="A251" s="255">
        <f t="shared" si="14"/>
        <v>249</v>
      </c>
      <c r="B251" s="256">
        <v>44870</v>
      </c>
      <c r="C251" s="257">
        <v>83.030772999999996</v>
      </c>
      <c r="D251" s="258">
        <v>44.721281663391778</v>
      </c>
      <c r="E251" s="257">
        <f t="shared" si="15"/>
        <v>44.721281663391778</v>
      </c>
      <c r="F251" s="263"/>
      <c r="G251" s="190" t="str">
        <f t="shared" si="16"/>
        <v/>
      </c>
      <c r="H251" s="259" t="str">
        <f t="shared" si="17"/>
        <v/>
      </c>
      <c r="I251" s="260"/>
    </row>
    <row r="252" spans="1:9">
      <c r="A252" s="255">
        <f t="shared" si="14"/>
        <v>250</v>
      </c>
      <c r="B252" s="256">
        <v>44871</v>
      </c>
      <c r="C252" s="257">
        <v>78.164403000000007</v>
      </c>
      <c r="D252" s="258">
        <v>44.721281663391778</v>
      </c>
      <c r="E252" s="257">
        <f t="shared" si="15"/>
        <v>44.721281663391778</v>
      </c>
      <c r="F252" s="263"/>
      <c r="G252" s="190" t="str">
        <f t="shared" si="16"/>
        <v/>
      </c>
      <c r="H252" s="259" t="str">
        <f t="shared" si="17"/>
        <v/>
      </c>
      <c r="I252" s="260"/>
    </row>
    <row r="253" spans="1:9">
      <c r="A253" s="255">
        <f t="shared" si="14"/>
        <v>251</v>
      </c>
      <c r="B253" s="256">
        <v>44872</v>
      </c>
      <c r="C253" s="257">
        <v>69.787165999999999</v>
      </c>
      <c r="D253" s="258">
        <v>44.721281663391778</v>
      </c>
      <c r="E253" s="257">
        <f t="shared" si="15"/>
        <v>44.721281663391778</v>
      </c>
      <c r="F253" s="263"/>
      <c r="G253" s="190" t="str">
        <f t="shared" si="16"/>
        <v/>
      </c>
      <c r="H253" s="259" t="str">
        <f t="shared" si="17"/>
        <v/>
      </c>
      <c r="I253" s="260"/>
    </row>
    <row r="254" spans="1:9">
      <c r="A254" s="255">
        <f t="shared" si="14"/>
        <v>252</v>
      </c>
      <c r="B254" s="256">
        <v>44873</v>
      </c>
      <c r="C254" s="257">
        <v>43.503295000000001</v>
      </c>
      <c r="D254" s="258">
        <v>44.721281663391778</v>
      </c>
      <c r="E254" s="257">
        <f t="shared" si="15"/>
        <v>43.503295000000001</v>
      </c>
      <c r="F254" s="263"/>
      <c r="G254" s="190" t="str">
        <f t="shared" si="16"/>
        <v/>
      </c>
      <c r="H254" s="259" t="str">
        <f t="shared" si="17"/>
        <v/>
      </c>
      <c r="I254" s="260"/>
    </row>
    <row r="255" spans="1:9">
      <c r="A255" s="255">
        <f t="shared" si="14"/>
        <v>253</v>
      </c>
      <c r="B255" s="256">
        <v>44874</v>
      </c>
      <c r="C255" s="257">
        <v>41.389898000000002</v>
      </c>
      <c r="D255" s="258">
        <v>44.721281663391778</v>
      </c>
      <c r="E255" s="257">
        <f t="shared" si="15"/>
        <v>41.389898000000002</v>
      </c>
      <c r="F255" s="263"/>
      <c r="G255" s="190" t="str">
        <f t="shared" si="16"/>
        <v/>
      </c>
      <c r="H255" s="259" t="str">
        <f t="shared" si="17"/>
        <v/>
      </c>
      <c r="I255" s="260"/>
    </row>
    <row r="256" spans="1:9">
      <c r="A256" s="255">
        <f t="shared" si="14"/>
        <v>254</v>
      </c>
      <c r="B256" s="256">
        <v>44875</v>
      </c>
      <c r="C256" s="257">
        <v>71.225363000000002</v>
      </c>
      <c r="D256" s="258">
        <v>44.721281663391778</v>
      </c>
      <c r="E256" s="257">
        <f t="shared" si="15"/>
        <v>44.721281663391778</v>
      </c>
      <c r="F256" s="263"/>
      <c r="G256" s="190" t="str">
        <f t="shared" si="16"/>
        <v/>
      </c>
      <c r="H256" s="259" t="str">
        <f t="shared" si="17"/>
        <v/>
      </c>
      <c r="I256" s="260"/>
    </row>
    <row r="257" spans="1:9">
      <c r="A257" s="255">
        <f t="shared" si="14"/>
        <v>255</v>
      </c>
      <c r="B257" s="256">
        <v>44876</v>
      </c>
      <c r="C257" s="257">
        <v>53.491374999999998</v>
      </c>
      <c r="D257" s="258">
        <v>44.721281663391778</v>
      </c>
      <c r="E257" s="257">
        <f t="shared" si="15"/>
        <v>44.721281663391778</v>
      </c>
      <c r="F257" s="263"/>
      <c r="G257" s="190" t="str">
        <f t="shared" si="16"/>
        <v/>
      </c>
      <c r="H257" s="259" t="str">
        <f t="shared" si="17"/>
        <v/>
      </c>
      <c r="I257" s="260"/>
    </row>
    <row r="258" spans="1:9">
      <c r="A258" s="255">
        <f t="shared" si="14"/>
        <v>256</v>
      </c>
      <c r="B258" s="256">
        <v>44877</v>
      </c>
      <c r="C258" s="257">
        <v>52.760112999999997</v>
      </c>
      <c r="D258" s="258">
        <v>44.721281663391778</v>
      </c>
      <c r="E258" s="257">
        <f t="shared" si="15"/>
        <v>44.721281663391778</v>
      </c>
      <c r="F258" s="263"/>
      <c r="G258" s="190" t="str">
        <f t="shared" si="16"/>
        <v/>
      </c>
      <c r="H258" s="259" t="str">
        <f t="shared" si="17"/>
        <v/>
      </c>
      <c r="I258" s="260"/>
    </row>
    <row r="259" spans="1:9">
      <c r="A259" s="255">
        <f t="shared" si="14"/>
        <v>257</v>
      </c>
      <c r="B259" s="256">
        <v>44878</v>
      </c>
      <c r="C259" s="257">
        <v>66.839287999999996</v>
      </c>
      <c r="D259" s="258">
        <v>44.721281663391778</v>
      </c>
      <c r="E259" s="257">
        <f t="shared" si="15"/>
        <v>44.721281663391778</v>
      </c>
      <c r="F259" s="263"/>
      <c r="G259" s="190" t="str">
        <f t="shared" si="16"/>
        <v/>
      </c>
      <c r="H259" s="259" t="str">
        <f t="shared" si="17"/>
        <v/>
      </c>
      <c r="I259" s="260"/>
    </row>
    <row r="260" spans="1:9">
      <c r="A260" s="255">
        <f t="shared" ref="A260:A323" si="18">+A259+1</f>
        <v>258</v>
      </c>
      <c r="B260" s="256">
        <v>44879</v>
      </c>
      <c r="C260" s="257">
        <v>37.535010999999997</v>
      </c>
      <c r="D260" s="258">
        <v>44.721281663391778</v>
      </c>
      <c r="E260" s="257">
        <f t="shared" ref="E260:E323" si="19">IF(C260&gt;D260,D260,C260)</f>
        <v>37.535010999999997</v>
      </c>
      <c r="F260" s="263"/>
      <c r="G260" s="190" t="str">
        <f t="shared" ref="G260:G323" si="20">IF(DAY(B260)=15,IF(MONTH(B260)=1,"E",IF(MONTH(B260)=2,"F",IF(MONTH(B260)=3,"M",IF(MONTH(B260)=4,"A",IF(MONTH(B260)=5,"M",IF(MONTH(B260)=6,"J",IF(MONTH(B260)=7,"J",IF(MONTH(B260)=8,"A",IF(MONTH(B260)=9,"S",IF(MONTH(B260)=10,"O",IF(MONTH(B260)=11,"N",IF(MONTH(B260)=12,"D","")))))))))))),"")</f>
        <v/>
      </c>
      <c r="H260" s="259" t="str">
        <f t="shared" ref="H260:H323" si="21">IF(DAY($B260)=15,TEXT(D260,"#,0"),"")</f>
        <v/>
      </c>
      <c r="I260" s="260"/>
    </row>
    <row r="261" spans="1:9">
      <c r="A261" s="255">
        <f t="shared" si="18"/>
        <v>259</v>
      </c>
      <c r="B261" s="256">
        <v>44880</v>
      </c>
      <c r="C261" s="257">
        <v>27.310642999999999</v>
      </c>
      <c r="D261" s="258">
        <v>44.721281663391778</v>
      </c>
      <c r="E261" s="257">
        <f t="shared" si="19"/>
        <v>27.310642999999999</v>
      </c>
      <c r="F261" s="263"/>
      <c r="G261" s="190" t="str">
        <f t="shared" si="20"/>
        <v>N</v>
      </c>
      <c r="H261" s="259" t="str">
        <f t="shared" si="21"/>
        <v>44,7</v>
      </c>
      <c r="I261" s="260"/>
    </row>
    <row r="262" spans="1:9">
      <c r="A262" s="255">
        <f t="shared" si="18"/>
        <v>260</v>
      </c>
      <c r="B262" s="256">
        <v>44881</v>
      </c>
      <c r="C262" s="257">
        <v>17.075662000000001</v>
      </c>
      <c r="D262" s="258">
        <v>44.721281663391778</v>
      </c>
      <c r="E262" s="257">
        <f t="shared" si="19"/>
        <v>17.075662000000001</v>
      </c>
      <c r="F262" s="263"/>
      <c r="G262" s="190" t="str">
        <f t="shared" si="20"/>
        <v/>
      </c>
      <c r="H262" s="259" t="str">
        <f t="shared" si="21"/>
        <v/>
      </c>
      <c r="I262" s="260"/>
    </row>
    <row r="263" spans="1:9">
      <c r="A263" s="255">
        <f t="shared" si="18"/>
        <v>261</v>
      </c>
      <c r="B263" s="256">
        <v>44882</v>
      </c>
      <c r="C263" s="257">
        <v>33.559718999999994</v>
      </c>
      <c r="D263" s="258">
        <v>44.721281663391778</v>
      </c>
      <c r="E263" s="257">
        <f t="shared" si="19"/>
        <v>33.559718999999994</v>
      </c>
      <c r="F263" s="263"/>
      <c r="G263" s="190" t="str">
        <f t="shared" si="20"/>
        <v/>
      </c>
      <c r="H263" s="259" t="str">
        <f t="shared" si="21"/>
        <v/>
      </c>
      <c r="I263" s="260"/>
    </row>
    <row r="264" spans="1:9">
      <c r="A264" s="255">
        <f t="shared" si="18"/>
        <v>262</v>
      </c>
      <c r="B264" s="256">
        <v>44883</v>
      </c>
      <c r="C264" s="257">
        <v>37.354078000000001</v>
      </c>
      <c r="D264" s="258">
        <v>44.721281663391778</v>
      </c>
      <c r="E264" s="257">
        <f t="shared" si="19"/>
        <v>37.354078000000001</v>
      </c>
      <c r="F264" s="263"/>
      <c r="G264" s="190" t="str">
        <f t="shared" si="20"/>
        <v/>
      </c>
      <c r="H264" s="259" t="str">
        <f t="shared" si="21"/>
        <v/>
      </c>
      <c r="I264" s="260"/>
    </row>
    <row r="265" spans="1:9">
      <c r="A265" s="255">
        <f t="shared" si="18"/>
        <v>263</v>
      </c>
      <c r="B265" s="256">
        <v>44884</v>
      </c>
      <c r="C265" s="257">
        <v>55.645926999999993</v>
      </c>
      <c r="D265" s="258">
        <v>44.721281663391778</v>
      </c>
      <c r="E265" s="257">
        <f t="shared" si="19"/>
        <v>44.721281663391778</v>
      </c>
      <c r="F265" s="263"/>
      <c r="G265" s="190" t="str">
        <f t="shared" si="20"/>
        <v/>
      </c>
      <c r="H265" s="259" t="str">
        <f t="shared" si="21"/>
        <v/>
      </c>
      <c r="I265" s="260"/>
    </row>
    <row r="266" spans="1:9">
      <c r="A266" s="255">
        <f t="shared" si="18"/>
        <v>264</v>
      </c>
      <c r="B266" s="256">
        <v>44885</v>
      </c>
      <c r="C266" s="257">
        <v>47.439793999999999</v>
      </c>
      <c r="D266" s="258">
        <v>44.721281663391778</v>
      </c>
      <c r="E266" s="257">
        <f t="shared" si="19"/>
        <v>44.721281663391778</v>
      </c>
      <c r="F266" s="263"/>
      <c r="G266" s="190" t="str">
        <f t="shared" si="20"/>
        <v/>
      </c>
      <c r="H266" s="259" t="str">
        <f t="shared" si="21"/>
        <v/>
      </c>
      <c r="I266" s="260"/>
    </row>
    <row r="267" spans="1:9">
      <c r="A267" s="255">
        <f t="shared" si="18"/>
        <v>265</v>
      </c>
      <c r="B267" s="256">
        <v>44886</v>
      </c>
      <c r="C267" s="257">
        <v>19.948184999999999</v>
      </c>
      <c r="D267" s="258">
        <v>44.721281663391778</v>
      </c>
      <c r="E267" s="257">
        <f t="shared" si="19"/>
        <v>19.948184999999999</v>
      </c>
      <c r="F267" s="263"/>
      <c r="G267" s="190" t="str">
        <f t="shared" si="20"/>
        <v/>
      </c>
      <c r="H267" s="259" t="str">
        <f t="shared" si="21"/>
        <v/>
      </c>
      <c r="I267" s="260"/>
    </row>
    <row r="268" spans="1:9">
      <c r="A268" s="255">
        <f t="shared" si="18"/>
        <v>266</v>
      </c>
      <c r="B268" s="256">
        <v>44887</v>
      </c>
      <c r="C268" s="257">
        <v>22.616401999999997</v>
      </c>
      <c r="D268" s="258">
        <v>44.721281663391778</v>
      </c>
      <c r="E268" s="257">
        <f t="shared" si="19"/>
        <v>22.616401999999997</v>
      </c>
      <c r="F268" s="263"/>
      <c r="G268" s="190" t="str">
        <f t="shared" si="20"/>
        <v/>
      </c>
      <c r="H268" s="259" t="str">
        <f t="shared" si="21"/>
        <v/>
      </c>
      <c r="I268" s="260"/>
    </row>
    <row r="269" spans="1:9">
      <c r="A269" s="255">
        <f t="shared" si="18"/>
        <v>267</v>
      </c>
      <c r="B269" s="256">
        <v>44888</v>
      </c>
      <c r="C269" s="257">
        <v>29.251636999999999</v>
      </c>
      <c r="D269" s="258">
        <v>44.721281663391778</v>
      </c>
      <c r="E269" s="257">
        <f t="shared" si="19"/>
        <v>29.251636999999999</v>
      </c>
      <c r="F269" s="263"/>
      <c r="G269" s="190" t="str">
        <f t="shared" si="20"/>
        <v/>
      </c>
      <c r="H269" s="259" t="str">
        <f t="shared" si="21"/>
        <v/>
      </c>
      <c r="I269" s="260"/>
    </row>
    <row r="270" spans="1:9">
      <c r="A270" s="255">
        <f t="shared" si="18"/>
        <v>268</v>
      </c>
      <c r="B270" s="256">
        <v>44889</v>
      </c>
      <c r="C270" s="257">
        <v>29.942883000000002</v>
      </c>
      <c r="D270" s="258">
        <v>44.721281663391778</v>
      </c>
      <c r="E270" s="257">
        <f t="shared" si="19"/>
        <v>29.942883000000002</v>
      </c>
      <c r="F270" s="263"/>
      <c r="G270" s="190" t="str">
        <f t="shared" si="20"/>
        <v/>
      </c>
      <c r="H270" s="259" t="str">
        <f t="shared" si="21"/>
        <v/>
      </c>
      <c r="I270" s="260"/>
    </row>
    <row r="271" spans="1:9">
      <c r="A271" s="255">
        <f t="shared" si="18"/>
        <v>269</v>
      </c>
      <c r="B271" s="256">
        <v>44890</v>
      </c>
      <c r="C271" s="257">
        <v>56.534925000000001</v>
      </c>
      <c r="D271" s="258">
        <v>44.721281663391778</v>
      </c>
      <c r="E271" s="257">
        <f t="shared" si="19"/>
        <v>44.721281663391778</v>
      </c>
      <c r="F271" s="263"/>
      <c r="G271" s="190" t="str">
        <f t="shared" si="20"/>
        <v/>
      </c>
      <c r="H271" s="259" t="str">
        <f t="shared" si="21"/>
        <v/>
      </c>
      <c r="I271" s="260"/>
    </row>
    <row r="272" spans="1:9">
      <c r="A272" s="255">
        <f t="shared" si="18"/>
        <v>270</v>
      </c>
      <c r="B272" s="256">
        <v>44891</v>
      </c>
      <c r="C272" s="257">
        <v>67.33386999999999</v>
      </c>
      <c r="D272" s="258">
        <v>44.721281663391778</v>
      </c>
      <c r="E272" s="257">
        <f t="shared" si="19"/>
        <v>44.721281663391778</v>
      </c>
      <c r="F272" s="263"/>
      <c r="G272" s="190" t="str">
        <f t="shared" si="20"/>
        <v/>
      </c>
      <c r="H272" s="259" t="str">
        <f t="shared" si="21"/>
        <v/>
      </c>
      <c r="I272" s="260"/>
    </row>
    <row r="273" spans="1:9">
      <c r="A273" s="255">
        <f t="shared" si="18"/>
        <v>271</v>
      </c>
      <c r="B273" s="256">
        <v>44892</v>
      </c>
      <c r="C273" s="257">
        <v>58.553756999999997</v>
      </c>
      <c r="D273" s="258">
        <v>44.721281663391778</v>
      </c>
      <c r="E273" s="257">
        <f t="shared" si="19"/>
        <v>44.721281663391778</v>
      </c>
      <c r="F273" s="263"/>
      <c r="G273" s="190" t="str">
        <f t="shared" si="20"/>
        <v/>
      </c>
      <c r="H273" s="259" t="str">
        <f t="shared" si="21"/>
        <v/>
      </c>
      <c r="I273" s="260"/>
    </row>
    <row r="274" spans="1:9">
      <c r="A274" s="255">
        <f t="shared" si="18"/>
        <v>272</v>
      </c>
      <c r="B274" s="256">
        <v>44893</v>
      </c>
      <c r="C274" s="257">
        <v>64.551169999999999</v>
      </c>
      <c r="D274" s="258">
        <v>44.721281663391778</v>
      </c>
      <c r="E274" s="257">
        <f t="shared" si="19"/>
        <v>44.721281663391778</v>
      </c>
      <c r="F274" s="263"/>
      <c r="G274" s="190" t="str">
        <f t="shared" si="20"/>
        <v/>
      </c>
      <c r="H274" s="259" t="str">
        <f t="shared" si="21"/>
        <v/>
      </c>
      <c r="I274" s="260"/>
    </row>
    <row r="275" spans="1:9">
      <c r="A275" s="255">
        <f t="shared" si="18"/>
        <v>273</v>
      </c>
      <c r="B275" s="256">
        <v>44894</v>
      </c>
      <c r="C275" s="257">
        <v>61.353738</v>
      </c>
      <c r="D275" s="258">
        <v>44.721281663391778</v>
      </c>
      <c r="E275" s="257">
        <f t="shared" si="19"/>
        <v>44.721281663391778</v>
      </c>
      <c r="F275" s="263"/>
      <c r="G275" s="190" t="str">
        <f t="shared" si="20"/>
        <v/>
      </c>
      <c r="H275" s="259" t="str">
        <f t="shared" si="21"/>
        <v/>
      </c>
      <c r="I275" s="260"/>
    </row>
    <row r="276" spans="1:9">
      <c r="A276" s="255">
        <f t="shared" si="18"/>
        <v>274</v>
      </c>
      <c r="B276" s="256">
        <v>44895</v>
      </c>
      <c r="C276" s="257">
        <v>45.062063999999999</v>
      </c>
      <c r="D276" s="258">
        <v>44.721281663391778</v>
      </c>
      <c r="E276" s="257">
        <f t="shared" si="19"/>
        <v>44.721281663391778</v>
      </c>
      <c r="F276" s="263"/>
      <c r="G276" s="190" t="str">
        <f t="shared" si="20"/>
        <v/>
      </c>
      <c r="H276" s="259" t="str">
        <f t="shared" si="21"/>
        <v/>
      </c>
      <c r="I276" s="260"/>
    </row>
    <row r="277" spans="1:9">
      <c r="A277" s="255">
        <f t="shared" si="18"/>
        <v>275</v>
      </c>
      <c r="B277" s="256">
        <v>44896</v>
      </c>
      <c r="C277" s="257">
        <v>46.886746000000002</v>
      </c>
      <c r="D277" s="258">
        <v>39.175984869526403</v>
      </c>
      <c r="E277" s="257">
        <f t="shared" si="19"/>
        <v>39.175984869526403</v>
      </c>
      <c r="F277" s="260"/>
      <c r="G277" s="190" t="str">
        <f t="shared" si="20"/>
        <v/>
      </c>
      <c r="H277" s="259" t="str">
        <f t="shared" si="21"/>
        <v/>
      </c>
      <c r="I277" s="260"/>
    </row>
    <row r="278" spans="1:9">
      <c r="A278" s="255">
        <f t="shared" si="18"/>
        <v>276</v>
      </c>
      <c r="B278" s="256">
        <v>44897</v>
      </c>
      <c r="C278" s="257">
        <v>50.67116</v>
      </c>
      <c r="D278" s="258">
        <v>39.175984869526403</v>
      </c>
      <c r="E278" s="257">
        <f t="shared" si="19"/>
        <v>39.175984869526403</v>
      </c>
      <c r="F278" s="263"/>
      <c r="G278" s="190" t="str">
        <f t="shared" si="20"/>
        <v/>
      </c>
      <c r="H278" s="259" t="str">
        <f t="shared" si="21"/>
        <v/>
      </c>
      <c r="I278" s="260"/>
    </row>
    <row r="279" spans="1:9">
      <c r="A279" s="255">
        <f t="shared" si="18"/>
        <v>277</v>
      </c>
      <c r="B279" s="256">
        <v>44898</v>
      </c>
      <c r="C279" s="257">
        <v>44.133541999999998</v>
      </c>
      <c r="D279" s="258">
        <v>39.175984869526403</v>
      </c>
      <c r="E279" s="257">
        <f t="shared" si="19"/>
        <v>39.175984869526403</v>
      </c>
      <c r="F279" s="263"/>
      <c r="G279" s="190" t="str">
        <f t="shared" si="20"/>
        <v/>
      </c>
      <c r="H279" s="259" t="str">
        <f t="shared" si="21"/>
        <v/>
      </c>
      <c r="I279" s="260"/>
    </row>
    <row r="280" spans="1:9">
      <c r="A280" s="255">
        <f t="shared" si="18"/>
        <v>278</v>
      </c>
      <c r="B280" s="256">
        <v>44899</v>
      </c>
      <c r="C280" s="257">
        <v>37.185421999999996</v>
      </c>
      <c r="D280" s="258">
        <v>39.175984869526403</v>
      </c>
      <c r="E280" s="257">
        <f t="shared" si="19"/>
        <v>37.185421999999996</v>
      </c>
      <c r="F280" s="263"/>
      <c r="G280" s="190" t="str">
        <f t="shared" si="20"/>
        <v/>
      </c>
      <c r="H280" s="259" t="str">
        <f t="shared" si="21"/>
        <v/>
      </c>
      <c r="I280" s="260"/>
    </row>
    <row r="281" spans="1:9">
      <c r="A281" s="255">
        <f t="shared" si="18"/>
        <v>279</v>
      </c>
      <c r="B281" s="256">
        <v>44900</v>
      </c>
      <c r="C281" s="257">
        <v>14.289721999999999</v>
      </c>
      <c r="D281" s="258">
        <v>39.175984869526403</v>
      </c>
      <c r="E281" s="257">
        <f t="shared" si="19"/>
        <v>14.289721999999999</v>
      </c>
      <c r="F281" s="263"/>
      <c r="G281" s="190" t="str">
        <f t="shared" si="20"/>
        <v/>
      </c>
      <c r="H281" s="259" t="str">
        <f t="shared" si="21"/>
        <v/>
      </c>
      <c r="I281" s="260"/>
    </row>
    <row r="282" spans="1:9">
      <c r="A282" s="255">
        <f t="shared" si="18"/>
        <v>280</v>
      </c>
      <c r="B282" s="256">
        <v>44901</v>
      </c>
      <c r="C282" s="257">
        <v>23.730008000000002</v>
      </c>
      <c r="D282" s="258">
        <v>39.175984869526403</v>
      </c>
      <c r="E282" s="257">
        <f t="shared" si="19"/>
        <v>23.730008000000002</v>
      </c>
      <c r="F282" s="263"/>
      <c r="G282" s="190" t="str">
        <f t="shared" si="20"/>
        <v/>
      </c>
      <c r="H282" s="259" t="str">
        <f t="shared" si="21"/>
        <v/>
      </c>
      <c r="I282" s="260"/>
    </row>
    <row r="283" spans="1:9">
      <c r="A283" s="255">
        <f t="shared" si="18"/>
        <v>281</v>
      </c>
      <c r="B283" s="256">
        <v>44902</v>
      </c>
      <c r="C283" s="257">
        <v>28.687491000000001</v>
      </c>
      <c r="D283" s="258">
        <v>39.175984869526403</v>
      </c>
      <c r="E283" s="257">
        <f t="shared" si="19"/>
        <v>28.687491000000001</v>
      </c>
      <c r="F283" s="263"/>
      <c r="G283" s="190" t="str">
        <f t="shared" si="20"/>
        <v/>
      </c>
      <c r="H283" s="259" t="str">
        <f t="shared" si="21"/>
        <v/>
      </c>
      <c r="I283" s="260"/>
    </row>
    <row r="284" spans="1:9">
      <c r="A284" s="255">
        <f t="shared" si="18"/>
        <v>282</v>
      </c>
      <c r="B284" s="256">
        <v>44903</v>
      </c>
      <c r="C284" s="257">
        <v>17.119696000000001</v>
      </c>
      <c r="D284" s="258">
        <v>39.175984869526403</v>
      </c>
      <c r="E284" s="257">
        <f t="shared" si="19"/>
        <v>17.119696000000001</v>
      </c>
      <c r="F284" s="263"/>
      <c r="G284" s="190" t="str">
        <f t="shared" si="20"/>
        <v/>
      </c>
      <c r="H284" s="259" t="str">
        <f t="shared" si="21"/>
        <v/>
      </c>
      <c r="I284" s="260"/>
    </row>
    <row r="285" spans="1:9">
      <c r="A285" s="255">
        <f t="shared" si="18"/>
        <v>283</v>
      </c>
      <c r="B285" s="256">
        <v>44904</v>
      </c>
      <c r="C285" s="257">
        <v>16.471001000000001</v>
      </c>
      <c r="D285" s="258">
        <v>39.175984869526403</v>
      </c>
      <c r="E285" s="257">
        <f t="shared" si="19"/>
        <v>16.471001000000001</v>
      </c>
      <c r="F285" s="263"/>
      <c r="G285" s="190" t="str">
        <f t="shared" si="20"/>
        <v/>
      </c>
      <c r="H285" s="259" t="str">
        <f t="shared" si="21"/>
        <v/>
      </c>
      <c r="I285" s="260"/>
    </row>
    <row r="286" spans="1:9">
      <c r="A286" s="255">
        <f t="shared" si="18"/>
        <v>284</v>
      </c>
      <c r="B286" s="256">
        <v>44905</v>
      </c>
      <c r="C286" s="257">
        <v>34.717674000000009</v>
      </c>
      <c r="D286" s="258">
        <v>39.175984869526403</v>
      </c>
      <c r="E286" s="257">
        <f t="shared" si="19"/>
        <v>34.717674000000009</v>
      </c>
      <c r="F286" s="263"/>
      <c r="G286" s="190" t="str">
        <f t="shared" si="20"/>
        <v/>
      </c>
      <c r="H286" s="259" t="str">
        <f t="shared" si="21"/>
        <v/>
      </c>
      <c r="I286" s="260"/>
    </row>
    <row r="287" spans="1:9">
      <c r="A287" s="255">
        <f t="shared" si="18"/>
        <v>285</v>
      </c>
      <c r="B287" s="256">
        <v>44906</v>
      </c>
      <c r="C287" s="257">
        <v>18.780669999999997</v>
      </c>
      <c r="D287" s="258">
        <v>39.175984869526403</v>
      </c>
      <c r="E287" s="257">
        <f t="shared" si="19"/>
        <v>18.780669999999997</v>
      </c>
      <c r="F287" s="263"/>
      <c r="G287" s="190" t="str">
        <f t="shared" si="20"/>
        <v/>
      </c>
      <c r="H287" s="259" t="str">
        <f t="shared" si="21"/>
        <v/>
      </c>
      <c r="I287" s="260"/>
    </row>
    <row r="288" spans="1:9">
      <c r="A288" s="255">
        <f t="shared" si="18"/>
        <v>286</v>
      </c>
      <c r="B288" s="256">
        <v>44907</v>
      </c>
      <c r="C288" s="257">
        <v>15.768985000000001</v>
      </c>
      <c r="D288" s="258">
        <v>39.175984869526403</v>
      </c>
      <c r="E288" s="257">
        <f t="shared" si="19"/>
        <v>15.768985000000001</v>
      </c>
      <c r="F288" s="263"/>
      <c r="G288" s="190" t="str">
        <f t="shared" si="20"/>
        <v/>
      </c>
      <c r="H288" s="259" t="str">
        <f t="shared" si="21"/>
        <v/>
      </c>
      <c r="I288" s="260"/>
    </row>
    <row r="289" spans="1:9">
      <c r="A289" s="255">
        <f t="shared" si="18"/>
        <v>287</v>
      </c>
      <c r="B289" s="256">
        <v>44908</v>
      </c>
      <c r="C289" s="257">
        <v>10.982524999999999</v>
      </c>
      <c r="D289" s="258">
        <v>39.175984869526403</v>
      </c>
      <c r="E289" s="257">
        <f t="shared" si="19"/>
        <v>10.982524999999999</v>
      </c>
      <c r="F289" s="263"/>
      <c r="G289" s="190" t="str">
        <f t="shared" si="20"/>
        <v/>
      </c>
      <c r="H289" s="259" t="str">
        <f t="shared" si="21"/>
        <v/>
      </c>
      <c r="I289" s="260"/>
    </row>
    <row r="290" spans="1:9">
      <c r="A290" s="255">
        <f t="shared" si="18"/>
        <v>288</v>
      </c>
      <c r="B290" s="256">
        <v>44909</v>
      </c>
      <c r="C290" s="257">
        <v>23.570340000000002</v>
      </c>
      <c r="D290" s="258">
        <v>39.175984869526403</v>
      </c>
      <c r="E290" s="257">
        <f t="shared" si="19"/>
        <v>23.570340000000002</v>
      </c>
      <c r="F290" s="263"/>
      <c r="G290" s="190" t="str">
        <f t="shared" si="20"/>
        <v/>
      </c>
      <c r="H290" s="259" t="str">
        <f t="shared" si="21"/>
        <v/>
      </c>
      <c r="I290" s="260"/>
    </row>
    <row r="291" spans="1:9">
      <c r="A291" s="255">
        <f t="shared" si="18"/>
        <v>289</v>
      </c>
      <c r="B291" s="256">
        <v>44910</v>
      </c>
      <c r="C291" s="257">
        <v>31.111670999999998</v>
      </c>
      <c r="D291" s="258">
        <v>39.175984869526403</v>
      </c>
      <c r="E291" s="257">
        <f t="shared" si="19"/>
        <v>31.111670999999998</v>
      </c>
      <c r="F291" s="263"/>
      <c r="G291" s="190" t="str">
        <f t="shared" si="20"/>
        <v>D</v>
      </c>
      <c r="H291" s="259" t="str">
        <f t="shared" si="21"/>
        <v>39,2</v>
      </c>
      <c r="I291" s="260"/>
    </row>
    <row r="292" spans="1:9">
      <c r="A292" s="255">
        <f t="shared" si="18"/>
        <v>290</v>
      </c>
      <c r="B292" s="256">
        <v>44911</v>
      </c>
      <c r="C292" s="257">
        <v>29.784642999999999</v>
      </c>
      <c r="D292" s="258">
        <v>39.175984869526403</v>
      </c>
      <c r="E292" s="257">
        <f t="shared" si="19"/>
        <v>29.784642999999999</v>
      </c>
      <c r="F292" s="263"/>
      <c r="G292" s="190" t="str">
        <f t="shared" si="20"/>
        <v/>
      </c>
      <c r="H292" s="259" t="str">
        <f t="shared" si="21"/>
        <v/>
      </c>
      <c r="I292" s="260"/>
    </row>
    <row r="293" spans="1:9">
      <c r="A293" s="255">
        <f t="shared" si="18"/>
        <v>291</v>
      </c>
      <c r="B293" s="256">
        <v>44912</v>
      </c>
      <c r="C293" s="257">
        <v>37.532074999999999</v>
      </c>
      <c r="D293" s="258">
        <v>39.175984869526403</v>
      </c>
      <c r="E293" s="257">
        <f t="shared" si="19"/>
        <v>37.532074999999999</v>
      </c>
      <c r="F293" s="263"/>
      <c r="G293" s="190" t="str">
        <f t="shared" si="20"/>
        <v/>
      </c>
      <c r="H293" s="259" t="str">
        <f t="shared" si="21"/>
        <v/>
      </c>
      <c r="I293" s="260"/>
    </row>
    <row r="294" spans="1:9">
      <c r="A294" s="255">
        <f t="shared" si="18"/>
        <v>292</v>
      </c>
      <c r="B294" s="256">
        <v>44913</v>
      </c>
      <c r="C294" s="257">
        <v>53.596322000000001</v>
      </c>
      <c r="D294" s="258">
        <v>39.175984869526403</v>
      </c>
      <c r="E294" s="257">
        <f t="shared" si="19"/>
        <v>39.175984869526403</v>
      </c>
      <c r="F294" s="263"/>
      <c r="G294" s="190" t="str">
        <f t="shared" si="20"/>
        <v/>
      </c>
      <c r="H294" s="259" t="str">
        <f t="shared" si="21"/>
        <v/>
      </c>
      <c r="I294" s="260"/>
    </row>
    <row r="295" spans="1:9">
      <c r="A295" s="255">
        <f t="shared" si="18"/>
        <v>293</v>
      </c>
      <c r="B295" s="256">
        <v>44914</v>
      </c>
      <c r="C295" s="257">
        <v>47.079932999999997</v>
      </c>
      <c r="D295" s="258">
        <v>39.175984869526403</v>
      </c>
      <c r="E295" s="257">
        <f t="shared" si="19"/>
        <v>39.175984869526403</v>
      </c>
      <c r="F295" s="263"/>
      <c r="G295" s="190" t="str">
        <f t="shared" si="20"/>
        <v/>
      </c>
      <c r="H295" s="259" t="str">
        <f t="shared" si="21"/>
        <v/>
      </c>
      <c r="I295" s="260"/>
    </row>
    <row r="296" spans="1:9">
      <c r="A296" s="255">
        <f t="shared" si="18"/>
        <v>294</v>
      </c>
      <c r="B296" s="256">
        <v>44915</v>
      </c>
      <c r="C296" s="257">
        <v>25.723277</v>
      </c>
      <c r="D296" s="258">
        <v>39.175984869526403</v>
      </c>
      <c r="E296" s="257">
        <f t="shared" si="19"/>
        <v>25.723277</v>
      </c>
      <c r="F296" s="263"/>
      <c r="G296" s="190" t="str">
        <f t="shared" si="20"/>
        <v/>
      </c>
      <c r="H296" s="259" t="str">
        <f t="shared" si="21"/>
        <v/>
      </c>
      <c r="I296" s="260"/>
    </row>
    <row r="297" spans="1:9">
      <c r="A297" s="255">
        <f t="shared" si="18"/>
        <v>295</v>
      </c>
      <c r="B297" s="256">
        <v>44916</v>
      </c>
      <c r="C297" s="257">
        <v>31.128603999999999</v>
      </c>
      <c r="D297" s="258">
        <v>39.175984869526403</v>
      </c>
      <c r="E297" s="257">
        <f t="shared" si="19"/>
        <v>31.128603999999999</v>
      </c>
      <c r="F297" s="263"/>
      <c r="G297" s="190" t="str">
        <f t="shared" si="20"/>
        <v/>
      </c>
      <c r="H297" s="259" t="str">
        <f t="shared" si="21"/>
        <v/>
      </c>
      <c r="I297" s="260"/>
    </row>
    <row r="298" spans="1:9">
      <c r="A298" s="255">
        <f t="shared" si="18"/>
        <v>296</v>
      </c>
      <c r="B298" s="256">
        <v>44917</v>
      </c>
      <c r="C298" s="257">
        <v>32.173569999999998</v>
      </c>
      <c r="D298" s="258">
        <v>39.175984869526403</v>
      </c>
      <c r="E298" s="257">
        <f t="shared" si="19"/>
        <v>32.173569999999998</v>
      </c>
      <c r="F298" s="263"/>
      <c r="G298" s="190" t="str">
        <f t="shared" si="20"/>
        <v/>
      </c>
      <c r="H298" s="259" t="str">
        <f t="shared" si="21"/>
        <v/>
      </c>
      <c r="I298" s="260"/>
    </row>
    <row r="299" spans="1:9">
      <c r="A299" s="255">
        <f t="shared" si="18"/>
        <v>297</v>
      </c>
      <c r="B299" s="256">
        <v>44918</v>
      </c>
      <c r="C299" s="257">
        <v>41.164495000000002</v>
      </c>
      <c r="D299" s="258">
        <v>39.175984869526403</v>
      </c>
      <c r="E299" s="257">
        <f t="shared" si="19"/>
        <v>39.175984869526403</v>
      </c>
      <c r="F299" s="263"/>
      <c r="G299" s="190" t="str">
        <f t="shared" si="20"/>
        <v/>
      </c>
      <c r="H299" s="259" t="str">
        <f t="shared" si="21"/>
        <v/>
      </c>
      <c r="I299" s="260"/>
    </row>
    <row r="300" spans="1:9">
      <c r="A300" s="255">
        <f t="shared" si="18"/>
        <v>298</v>
      </c>
      <c r="B300" s="256">
        <v>44919</v>
      </c>
      <c r="C300" s="257">
        <v>47.874561999999997</v>
      </c>
      <c r="D300" s="258">
        <v>39.175984869526403</v>
      </c>
      <c r="E300" s="257">
        <f t="shared" si="19"/>
        <v>39.175984869526403</v>
      </c>
      <c r="F300" s="263"/>
      <c r="G300" s="190" t="str">
        <f t="shared" si="20"/>
        <v/>
      </c>
      <c r="H300" s="259" t="str">
        <f t="shared" si="21"/>
        <v/>
      </c>
      <c r="I300" s="260"/>
    </row>
    <row r="301" spans="1:9">
      <c r="A301" s="255">
        <f t="shared" si="18"/>
        <v>299</v>
      </c>
      <c r="B301" s="256">
        <v>44920</v>
      </c>
      <c r="C301" s="257">
        <v>42.630766000000001</v>
      </c>
      <c r="D301" s="258">
        <v>39.175984869526403</v>
      </c>
      <c r="E301" s="257">
        <f t="shared" si="19"/>
        <v>39.175984869526403</v>
      </c>
      <c r="F301" s="263"/>
      <c r="G301" s="190" t="str">
        <f t="shared" si="20"/>
        <v/>
      </c>
      <c r="H301" s="259" t="str">
        <f t="shared" si="21"/>
        <v/>
      </c>
      <c r="I301" s="260"/>
    </row>
    <row r="302" spans="1:9">
      <c r="A302" s="255">
        <f t="shared" si="18"/>
        <v>300</v>
      </c>
      <c r="B302" s="256">
        <v>44921</v>
      </c>
      <c r="C302" s="257">
        <v>56.757370000000002</v>
      </c>
      <c r="D302" s="258">
        <v>39.175984869526403</v>
      </c>
      <c r="E302" s="257">
        <f t="shared" si="19"/>
        <v>39.175984869526403</v>
      </c>
      <c r="F302" s="263"/>
      <c r="G302" s="190" t="str">
        <f t="shared" si="20"/>
        <v/>
      </c>
      <c r="H302" s="259" t="str">
        <f t="shared" si="21"/>
        <v/>
      </c>
      <c r="I302" s="260"/>
    </row>
    <row r="303" spans="1:9">
      <c r="A303" s="255">
        <f t="shared" si="18"/>
        <v>301</v>
      </c>
      <c r="B303" s="256">
        <v>44922</v>
      </c>
      <c r="C303" s="257">
        <v>61.114052000000001</v>
      </c>
      <c r="D303" s="258">
        <v>39.175984869526403</v>
      </c>
      <c r="E303" s="257">
        <f t="shared" si="19"/>
        <v>39.175984869526403</v>
      </c>
      <c r="F303" s="263"/>
      <c r="G303" s="190" t="str">
        <f t="shared" si="20"/>
        <v/>
      </c>
      <c r="H303" s="259" t="str">
        <f t="shared" si="21"/>
        <v/>
      </c>
      <c r="I303" s="260"/>
    </row>
    <row r="304" spans="1:9">
      <c r="A304" s="255">
        <f t="shared" si="18"/>
        <v>302</v>
      </c>
      <c r="B304" s="256">
        <v>44923</v>
      </c>
      <c r="C304" s="257">
        <v>56.928246000000001</v>
      </c>
      <c r="D304" s="258">
        <v>39.175984869526403</v>
      </c>
      <c r="E304" s="257">
        <f t="shared" si="19"/>
        <v>39.175984869526403</v>
      </c>
      <c r="F304" s="263"/>
      <c r="G304" s="190" t="str">
        <f t="shared" si="20"/>
        <v/>
      </c>
      <c r="H304" s="259" t="str">
        <f t="shared" si="21"/>
        <v/>
      </c>
      <c r="I304" s="260"/>
    </row>
    <row r="305" spans="1:9">
      <c r="A305" s="255">
        <f t="shared" si="18"/>
        <v>303</v>
      </c>
      <c r="B305" s="256">
        <v>44924</v>
      </c>
      <c r="C305" s="257">
        <v>32.912245999999996</v>
      </c>
      <c r="D305" s="258">
        <v>39.175984869526403</v>
      </c>
      <c r="E305" s="257">
        <f t="shared" si="19"/>
        <v>32.912245999999996</v>
      </c>
      <c r="F305" s="263"/>
      <c r="G305" s="190" t="str">
        <f t="shared" si="20"/>
        <v/>
      </c>
      <c r="H305" s="259" t="str">
        <f t="shared" si="21"/>
        <v/>
      </c>
      <c r="I305" s="260"/>
    </row>
    <row r="306" spans="1:9">
      <c r="A306" s="255">
        <f t="shared" si="18"/>
        <v>304</v>
      </c>
      <c r="B306" s="256">
        <v>44925</v>
      </c>
      <c r="C306" s="257">
        <v>36.463912999999998</v>
      </c>
      <c r="D306" s="258">
        <v>39.175984869526403</v>
      </c>
      <c r="E306" s="257">
        <f t="shared" si="19"/>
        <v>36.463912999999998</v>
      </c>
      <c r="F306" s="263"/>
      <c r="G306" s="190" t="str">
        <f t="shared" si="20"/>
        <v/>
      </c>
      <c r="H306" s="259" t="str">
        <f t="shared" si="21"/>
        <v/>
      </c>
      <c r="I306" s="260"/>
    </row>
    <row r="307" spans="1:9">
      <c r="A307" s="255">
        <f t="shared" si="18"/>
        <v>305</v>
      </c>
      <c r="B307" s="256">
        <v>44926</v>
      </c>
      <c r="C307" s="257">
        <v>50.449203000000004</v>
      </c>
      <c r="D307" s="258">
        <v>39.175984869526403</v>
      </c>
      <c r="E307" s="257">
        <f t="shared" si="19"/>
        <v>39.175984869526403</v>
      </c>
      <c r="F307" s="263"/>
      <c r="G307" s="190" t="str">
        <f t="shared" si="20"/>
        <v/>
      </c>
      <c r="H307" s="259" t="str">
        <f t="shared" si="21"/>
        <v/>
      </c>
      <c r="I307" s="260"/>
    </row>
    <row r="308" spans="1:9">
      <c r="A308" s="255">
        <f t="shared" si="18"/>
        <v>306</v>
      </c>
      <c r="B308" s="256">
        <v>44927</v>
      </c>
      <c r="C308" s="257">
        <v>33.473076999999996</v>
      </c>
      <c r="D308" s="258">
        <v>57.054845212154397</v>
      </c>
      <c r="E308" s="257">
        <f t="shared" si="19"/>
        <v>33.473076999999996</v>
      </c>
      <c r="F308" s="260">
        <f>YEAR(B308)</f>
        <v>2023</v>
      </c>
      <c r="G308" s="190" t="str">
        <f t="shared" si="20"/>
        <v/>
      </c>
      <c r="H308" s="259" t="str">
        <f t="shared" si="21"/>
        <v/>
      </c>
      <c r="I308" s="260"/>
    </row>
    <row r="309" spans="1:9">
      <c r="A309" s="255">
        <f t="shared" si="18"/>
        <v>307</v>
      </c>
      <c r="B309" s="256">
        <v>44928</v>
      </c>
      <c r="C309" s="257">
        <v>30.679369999999999</v>
      </c>
      <c r="D309" s="258">
        <v>57.054845212154397</v>
      </c>
      <c r="E309" s="257">
        <f t="shared" si="19"/>
        <v>30.679369999999999</v>
      </c>
      <c r="F309" s="263"/>
      <c r="G309" s="190" t="str">
        <f t="shared" si="20"/>
        <v/>
      </c>
      <c r="H309" s="259" t="str">
        <f t="shared" si="21"/>
        <v/>
      </c>
      <c r="I309" s="260"/>
    </row>
    <row r="310" spans="1:9">
      <c r="A310" s="255">
        <f t="shared" si="18"/>
        <v>308</v>
      </c>
      <c r="B310" s="256">
        <v>44929</v>
      </c>
      <c r="C310" s="257">
        <v>52.748882999999999</v>
      </c>
      <c r="D310" s="258">
        <v>57.054845212154397</v>
      </c>
      <c r="E310" s="257">
        <f t="shared" si="19"/>
        <v>52.748882999999999</v>
      </c>
      <c r="F310" s="263"/>
      <c r="G310" s="190" t="str">
        <f t="shared" si="20"/>
        <v/>
      </c>
      <c r="H310" s="259" t="str">
        <f t="shared" si="21"/>
        <v/>
      </c>
      <c r="I310" s="260"/>
    </row>
    <row r="311" spans="1:9">
      <c r="A311" s="255">
        <f t="shared" si="18"/>
        <v>309</v>
      </c>
      <c r="B311" s="256">
        <v>44930</v>
      </c>
      <c r="C311" s="257">
        <v>56.922052999999998</v>
      </c>
      <c r="D311" s="258">
        <v>57.054845212154397</v>
      </c>
      <c r="E311" s="257">
        <f t="shared" si="19"/>
        <v>56.922052999999998</v>
      </c>
      <c r="F311" s="263"/>
      <c r="G311" s="190" t="str">
        <f t="shared" si="20"/>
        <v/>
      </c>
      <c r="H311" s="259" t="str">
        <f t="shared" si="21"/>
        <v/>
      </c>
      <c r="I311" s="260"/>
    </row>
    <row r="312" spans="1:9">
      <c r="A312" s="255">
        <f t="shared" si="18"/>
        <v>310</v>
      </c>
      <c r="B312" s="256">
        <v>44931</v>
      </c>
      <c r="C312" s="257">
        <v>56.962680999999996</v>
      </c>
      <c r="D312" s="258">
        <v>57.054845212154397</v>
      </c>
      <c r="E312" s="257">
        <f t="shared" si="19"/>
        <v>56.962680999999996</v>
      </c>
      <c r="F312" s="263"/>
      <c r="G312" s="190" t="str">
        <f t="shared" si="20"/>
        <v/>
      </c>
      <c r="H312" s="259" t="str">
        <f t="shared" si="21"/>
        <v/>
      </c>
      <c r="I312" s="260"/>
    </row>
    <row r="313" spans="1:9">
      <c r="A313" s="255">
        <f t="shared" si="18"/>
        <v>311</v>
      </c>
      <c r="B313" s="256">
        <v>44932</v>
      </c>
      <c r="C313" s="257">
        <v>53.861737999999995</v>
      </c>
      <c r="D313" s="258">
        <v>57.054845212154397</v>
      </c>
      <c r="E313" s="257">
        <f t="shared" si="19"/>
        <v>53.861737999999995</v>
      </c>
      <c r="F313" s="263"/>
      <c r="G313" s="190" t="str">
        <f t="shared" si="20"/>
        <v/>
      </c>
      <c r="H313" s="259" t="str">
        <f t="shared" si="21"/>
        <v/>
      </c>
      <c r="I313" s="260"/>
    </row>
    <row r="314" spans="1:9">
      <c r="A314" s="255">
        <f t="shared" si="18"/>
        <v>312</v>
      </c>
      <c r="B314" s="256">
        <v>44933</v>
      </c>
      <c r="C314" s="257">
        <v>34.926500999999995</v>
      </c>
      <c r="D314" s="258">
        <v>57.054845212154397</v>
      </c>
      <c r="E314" s="257">
        <f t="shared" si="19"/>
        <v>34.926500999999995</v>
      </c>
      <c r="F314" s="263"/>
      <c r="G314" s="190" t="str">
        <f t="shared" si="20"/>
        <v/>
      </c>
      <c r="H314" s="259" t="str">
        <f t="shared" si="21"/>
        <v/>
      </c>
      <c r="I314" s="260"/>
    </row>
    <row r="315" spans="1:9">
      <c r="A315" s="255">
        <f t="shared" si="18"/>
        <v>313</v>
      </c>
      <c r="B315" s="256">
        <v>44934</v>
      </c>
      <c r="C315" s="257">
        <v>16.516825000000001</v>
      </c>
      <c r="D315" s="258">
        <v>57.054845212154397</v>
      </c>
      <c r="E315" s="257">
        <f t="shared" si="19"/>
        <v>16.516825000000001</v>
      </c>
      <c r="F315" s="263"/>
      <c r="G315" s="190" t="str">
        <f t="shared" si="20"/>
        <v/>
      </c>
      <c r="H315" s="259" t="str">
        <f t="shared" si="21"/>
        <v/>
      </c>
      <c r="I315" s="260"/>
    </row>
    <row r="316" spans="1:9">
      <c r="A316" s="255">
        <f t="shared" si="18"/>
        <v>314</v>
      </c>
      <c r="B316" s="256">
        <v>44935</v>
      </c>
      <c r="C316" s="257">
        <v>48.540538999999995</v>
      </c>
      <c r="D316" s="258">
        <v>57.054845212154397</v>
      </c>
      <c r="E316" s="257">
        <f t="shared" si="19"/>
        <v>48.540538999999995</v>
      </c>
      <c r="F316" s="263"/>
      <c r="G316" s="190" t="str">
        <f t="shared" si="20"/>
        <v/>
      </c>
      <c r="H316" s="259" t="str">
        <f t="shared" si="21"/>
        <v/>
      </c>
      <c r="I316" s="260"/>
    </row>
    <row r="317" spans="1:9">
      <c r="A317" s="255">
        <f t="shared" si="18"/>
        <v>315</v>
      </c>
      <c r="B317" s="256">
        <v>44936</v>
      </c>
      <c r="C317" s="257">
        <v>45.012703999999999</v>
      </c>
      <c r="D317" s="258">
        <v>57.054845212154397</v>
      </c>
      <c r="E317" s="257">
        <f t="shared" si="19"/>
        <v>45.012703999999999</v>
      </c>
      <c r="F317" s="263"/>
      <c r="G317" s="190" t="str">
        <f t="shared" si="20"/>
        <v/>
      </c>
      <c r="H317" s="259" t="str">
        <f t="shared" si="21"/>
        <v/>
      </c>
      <c r="I317" s="260"/>
    </row>
    <row r="318" spans="1:9">
      <c r="A318" s="255">
        <f t="shared" si="18"/>
        <v>316</v>
      </c>
      <c r="B318" s="256">
        <v>44937</v>
      </c>
      <c r="C318" s="257">
        <v>35.881593000000002</v>
      </c>
      <c r="D318" s="258">
        <v>57.054845212154397</v>
      </c>
      <c r="E318" s="257">
        <f t="shared" si="19"/>
        <v>35.881593000000002</v>
      </c>
      <c r="F318" s="263"/>
      <c r="G318" s="190" t="str">
        <f t="shared" si="20"/>
        <v/>
      </c>
      <c r="H318" s="259" t="str">
        <f t="shared" si="21"/>
        <v/>
      </c>
      <c r="I318" s="260"/>
    </row>
    <row r="319" spans="1:9">
      <c r="A319" s="255">
        <f t="shared" si="18"/>
        <v>317</v>
      </c>
      <c r="B319" s="256">
        <v>44938</v>
      </c>
      <c r="C319" s="257">
        <v>59.340322999999998</v>
      </c>
      <c r="D319" s="258">
        <v>57.054845212154397</v>
      </c>
      <c r="E319" s="257">
        <f t="shared" si="19"/>
        <v>57.054845212154397</v>
      </c>
      <c r="F319" s="263"/>
      <c r="G319" s="190" t="str">
        <f t="shared" si="20"/>
        <v/>
      </c>
      <c r="H319" s="259" t="str">
        <f t="shared" si="21"/>
        <v/>
      </c>
      <c r="I319" s="260"/>
    </row>
    <row r="320" spans="1:9">
      <c r="A320" s="255">
        <f t="shared" si="18"/>
        <v>318</v>
      </c>
      <c r="B320" s="256">
        <v>44939</v>
      </c>
      <c r="C320" s="257">
        <v>54.161625999999998</v>
      </c>
      <c r="D320" s="258">
        <v>57.054845212154397</v>
      </c>
      <c r="E320" s="257">
        <f t="shared" si="19"/>
        <v>54.161625999999998</v>
      </c>
      <c r="F320" s="263"/>
      <c r="G320" s="190" t="str">
        <f t="shared" si="20"/>
        <v/>
      </c>
      <c r="H320" s="259" t="str">
        <f t="shared" si="21"/>
        <v/>
      </c>
      <c r="I320" s="260"/>
    </row>
    <row r="321" spans="1:9">
      <c r="A321" s="255">
        <f t="shared" si="18"/>
        <v>319</v>
      </c>
      <c r="B321" s="256">
        <v>44940</v>
      </c>
      <c r="C321" s="257">
        <v>56.192132999999998</v>
      </c>
      <c r="D321" s="258">
        <v>57.054845212154397</v>
      </c>
      <c r="E321" s="257">
        <f t="shared" si="19"/>
        <v>56.192132999999998</v>
      </c>
      <c r="F321" s="263"/>
      <c r="G321" s="190" t="str">
        <f t="shared" si="20"/>
        <v/>
      </c>
      <c r="H321" s="259" t="str">
        <f t="shared" si="21"/>
        <v/>
      </c>
      <c r="I321" s="260"/>
    </row>
    <row r="322" spans="1:9">
      <c r="A322" s="255">
        <f t="shared" si="18"/>
        <v>320</v>
      </c>
      <c r="B322" s="256">
        <v>44941</v>
      </c>
      <c r="C322" s="257">
        <v>40.939911000000002</v>
      </c>
      <c r="D322" s="258">
        <v>57.054845212154397</v>
      </c>
      <c r="E322" s="257">
        <f t="shared" si="19"/>
        <v>40.939911000000002</v>
      </c>
      <c r="F322" s="263"/>
      <c r="G322" s="190" t="str">
        <f t="shared" si="20"/>
        <v>E</v>
      </c>
      <c r="H322" s="259" t="str">
        <f t="shared" si="21"/>
        <v>57,1</v>
      </c>
      <c r="I322" s="260"/>
    </row>
    <row r="323" spans="1:9">
      <c r="A323" s="255">
        <f t="shared" si="18"/>
        <v>321</v>
      </c>
      <c r="B323" s="256">
        <v>44942</v>
      </c>
      <c r="C323" s="257">
        <v>29.573712</v>
      </c>
      <c r="D323" s="258">
        <v>57.054845212154397</v>
      </c>
      <c r="E323" s="257">
        <f t="shared" si="19"/>
        <v>29.573712</v>
      </c>
      <c r="F323" s="263"/>
      <c r="G323" s="190" t="str">
        <f t="shared" si="20"/>
        <v/>
      </c>
      <c r="H323" s="259" t="str">
        <f t="shared" si="21"/>
        <v/>
      </c>
      <c r="I323" s="260"/>
    </row>
    <row r="324" spans="1:9">
      <c r="A324" s="255">
        <f t="shared" ref="A324:A387" si="22">+A323+1</f>
        <v>322</v>
      </c>
      <c r="B324" s="256">
        <v>44943</v>
      </c>
      <c r="C324" s="257">
        <v>36.903005999999991</v>
      </c>
      <c r="D324" s="258">
        <v>57.054845212154397</v>
      </c>
      <c r="E324" s="257">
        <f t="shared" ref="E324:E387" si="23">IF(C324&gt;D324,D324,C324)</f>
        <v>36.903005999999991</v>
      </c>
      <c r="F324" s="263"/>
      <c r="G324" s="190" t="str">
        <f t="shared" ref="G324:G387" si="24">IF(DAY(B324)=15,IF(MONTH(B324)=1,"E",IF(MONTH(B324)=2,"F",IF(MONTH(B324)=3,"M",IF(MONTH(B324)=4,"A",IF(MONTH(B324)=5,"M",IF(MONTH(B324)=6,"J",IF(MONTH(B324)=7,"J",IF(MONTH(B324)=8,"A",IF(MONTH(B324)=9,"S",IF(MONTH(B324)=10,"O",IF(MONTH(B324)=11,"N",IF(MONTH(B324)=12,"D","")))))))))))),"")</f>
        <v/>
      </c>
      <c r="H324" s="259" t="str">
        <f t="shared" ref="H324:H387" si="25">IF(DAY($B324)=15,TEXT(D324,"#,0"),"")</f>
        <v/>
      </c>
      <c r="I324" s="260"/>
    </row>
    <row r="325" spans="1:9">
      <c r="A325" s="255">
        <f t="shared" si="22"/>
        <v>323</v>
      </c>
      <c r="B325" s="256">
        <v>44944</v>
      </c>
      <c r="C325" s="257">
        <v>55.997805</v>
      </c>
      <c r="D325" s="258">
        <v>57.054845212154397</v>
      </c>
      <c r="E325" s="257">
        <f t="shared" si="23"/>
        <v>55.997805</v>
      </c>
      <c r="F325" s="263"/>
      <c r="G325" s="190" t="str">
        <f t="shared" si="24"/>
        <v/>
      </c>
      <c r="H325" s="259" t="str">
        <f t="shared" si="25"/>
        <v/>
      </c>
      <c r="I325" s="260"/>
    </row>
    <row r="326" spans="1:9">
      <c r="A326" s="255">
        <f t="shared" si="22"/>
        <v>324</v>
      </c>
      <c r="B326" s="256">
        <v>44945</v>
      </c>
      <c r="C326" s="257">
        <v>59.907061999999996</v>
      </c>
      <c r="D326" s="258">
        <v>57.054845212154397</v>
      </c>
      <c r="E326" s="257">
        <f t="shared" si="23"/>
        <v>57.054845212154397</v>
      </c>
      <c r="F326" s="263"/>
      <c r="G326" s="190" t="str">
        <f t="shared" si="24"/>
        <v/>
      </c>
      <c r="H326" s="259" t="str">
        <f t="shared" si="25"/>
        <v/>
      </c>
      <c r="I326" s="260"/>
    </row>
    <row r="327" spans="1:9">
      <c r="A327" s="255">
        <f t="shared" si="22"/>
        <v>325</v>
      </c>
      <c r="B327" s="256">
        <v>44946</v>
      </c>
      <c r="C327" s="257">
        <v>53.090128000000007</v>
      </c>
      <c r="D327" s="258">
        <v>57.054845212154397</v>
      </c>
      <c r="E327" s="257">
        <f t="shared" si="23"/>
        <v>53.090128000000007</v>
      </c>
      <c r="F327" s="263"/>
      <c r="G327" s="190" t="str">
        <f t="shared" si="24"/>
        <v/>
      </c>
      <c r="H327" s="259" t="str">
        <f t="shared" si="25"/>
        <v/>
      </c>
      <c r="I327" s="260"/>
    </row>
    <row r="328" spans="1:9">
      <c r="A328" s="255">
        <f t="shared" si="22"/>
        <v>326</v>
      </c>
      <c r="B328" s="256">
        <v>44947</v>
      </c>
      <c r="C328" s="257">
        <v>58.987027999999995</v>
      </c>
      <c r="D328" s="258">
        <v>57.054845212154397</v>
      </c>
      <c r="E328" s="257">
        <f t="shared" si="23"/>
        <v>57.054845212154397</v>
      </c>
      <c r="F328" s="263"/>
      <c r="G328" s="190" t="str">
        <f t="shared" si="24"/>
        <v/>
      </c>
      <c r="H328" s="259" t="str">
        <f t="shared" si="25"/>
        <v/>
      </c>
      <c r="I328" s="260"/>
    </row>
    <row r="329" spans="1:9">
      <c r="A329" s="255">
        <f t="shared" si="22"/>
        <v>327</v>
      </c>
      <c r="B329" s="256">
        <v>44948</v>
      </c>
      <c r="C329" s="257">
        <v>73.917321000000001</v>
      </c>
      <c r="D329" s="258">
        <v>57.054845212154397</v>
      </c>
      <c r="E329" s="257">
        <f t="shared" si="23"/>
        <v>57.054845212154397</v>
      </c>
      <c r="F329" s="263"/>
      <c r="G329" s="190" t="str">
        <f t="shared" si="24"/>
        <v/>
      </c>
      <c r="H329" s="259" t="str">
        <f t="shared" si="25"/>
        <v/>
      </c>
      <c r="I329" s="260"/>
    </row>
    <row r="330" spans="1:9">
      <c r="A330" s="255">
        <f t="shared" si="22"/>
        <v>328</v>
      </c>
      <c r="B330" s="256">
        <v>44949</v>
      </c>
      <c r="C330" s="257">
        <v>72.698616000000001</v>
      </c>
      <c r="D330" s="258">
        <v>57.054845212154397</v>
      </c>
      <c r="E330" s="257">
        <f t="shared" si="23"/>
        <v>57.054845212154397</v>
      </c>
      <c r="F330" s="263"/>
      <c r="G330" s="190" t="str">
        <f t="shared" si="24"/>
        <v/>
      </c>
      <c r="H330" s="259" t="str">
        <f t="shared" si="25"/>
        <v/>
      </c>
      <c r="I330" s="260"/>
    </row>
    <row r="331" spans="1:9">
      <c r="A331" s="255">
        <f t="shared" si="22"/>
        <v>329</v>
      </c>
      <c r="B331" s="256">
        <v>44950</v>
      </c>
      <c r="C331" s="257">
        <v>60.787726999999997</v>
      </c>
      <c r="D331" s="258">
        <v>57.054845212154397</v>
      </c>
      <c r="E331" s="257">
        <f t="shared" si="23"/>
        <v>57.054845212154397</v>
      </c>
      <c r="F331" s="263"/>
      <c r="G331" s="190" t="str">
        <f t="shared" si="24"/>
        <v/>
      </c>
      <c r="H331" s="259" t="str">
        <f t="shared" si="25"/>
        <v/>
      </c>
      <c r="I331" s="260"/>
    </row>
    <row r="332" spans="1:9">
      <c r="A332" s="255">
        <f t="shared" si="22"/>
        <v>330</v>
      </c>
      <c r="B332" s="256">
        <v>44951</v>
      </c>
      <c r="C332" s="257">
        <v>73.094904</v>
      </c>
      <c r="D332" s="258">
        <v>57.054845212154397</v>
      </c>
      <c r="E332" s="257">
        <f t="shared" si="23"/>
        <v>57.054845212154397</v>
      </c>
      <c r="F332" s="263"/>
      <c r="G332" s="190" t="str">
        <f t="shared" si="24"/>
        <v/>
      </c>
      <c r="H332" s="259" t="str">
        <f t="shared" si="25"/>
        <v/>
      </c>
      <c r="I332" s="260"/>
    </row>
    <row r="333" spans="1:9">
      <c r="A333" s="255">
        <f t="shared" si="22"/>
        <v>331</v>
      </c>
      <c r="B333" s="256">
        <v>44952</v>
      </c>
      <c r="C333" s="257">
        <v>53.021622000000001</v>
      </c>
      <c r="D333" s="258">
        <v>57.054845212154397</v>
      </c>
      <c r="E333" s="257">
        <f t="shared" si="23"/>
        <v>53.021622000000001</v>
      </c>
      <c r="F333" s="263"/>
      <c r="G333" s="190" t="str">
        <f t="shared" si="24"/>
        <v/>
      </c>
      <c r="H333" s="259" t="str">
        <f t="shared" si="25"/>
        <v/>
      </c>
      <c r="I333" s="260"/>
    </row>
    <row r="334" spans="1:9">
      <c r="A334" s="255">
        <f t="shared" si="22"/>
        <v>332</v>
      </c>
      <c r="B334" s="256">
        <v>44953</v>
      </c>
      <c r="C334" s="257">
        <v>75.791345000000007</v>
      </c>
      <c r="D334" s="258">
        <v>57.054845212154397</v>
      </c>
      <c r="E334" s="257">
        <f t="shared" si="23"/>
        <v>57.054845212154397</v>
      </c>
      <c r="F334" s="263"/>
      <c r="G334" s="190" t="str">
        <f t="shared" si="24"/>
        <v/>
      </c>
      <c r="H334" s="259" t="str">
        <f t="shared" si="25"/>
        <v/>
      </c>
      <c r="I334" s="260"/>
    </row>
    <row r="335" spans="1:9">
      <c r="A335" s="255">
        <f t="shared" si="22"/>
        <v>333</v>
      </c>
      <c r="B335" s="256">
        <v>44954</v>
      </c>
      <c r="C335" s="257">
        <v>82.199021999999999</v>
      </c>
      <c r="D335" s="258">
        <v>57.054845212154397</v>
      </c>
      <c r="E335" s="257">
        <f t="shared" si="23"/>
        <v>57.054845212154397</v>
      </c>
      <c r="F335" s="263"/>
      <c r="G335" s="190" t="str">
        <f t="shared" si="24"/>
        <v/>
      </c>
      <c r="H335" s="259" t="str">
        <f t="shared" si="25"/>
        <v/>
      </c>
      <c r="I335" s="260"/>
    </row>
    <row r="336" spans="1:9">
      <c r="A336" s="255">
        <f t="shared" si="22"/>
        <v>334</v>
      </c>
      <c r="B336" s="256">
        <v>44955</v>
      </c>
      <c r="C336" s="257">
        <v>79.251259000000005</v>
      </c>
      <c r="D336" s="258">
        <v>57.054845212154397</v>
      </c>
      <c r="E336" s="257">
        <f t="shared" si="23"/>
        <v>57.054845212154397</v>
      </c>
      <c r="F336" s="260"/>
      <c r="G336" s="190" t="str">
        <f t="shared" si="24"/>
        <v/>
      </c>
      <c r="H336" s="259" t="str">
        <f t="shared" si="25"/>
        <v/>
      </c>
      <c r="I336" s="260"/>
    </row>
    <row r="337" spans="1:9">
      <c r="A337" s="255">
        <f t="shared" si="22"/>
        <v>335</v>
      </c>
      <c r="B337" s="256">
        <v>44956</v>
      </c>
      <c r="C337" s="257">
        <v>79.953611000000009</v>
      </c>
      <c r="D337" s="258">
        <v>57.054845212154397</v>
      </c>
      <c r="E337" s="257">
        <f t="shared" si="23"/>
        <v>57.054845212154397</v>
      </c>
      <c r="F337" s="263"/>
      <c r="G337" s="190" t="str">
        <f t="shared" si="24"/>
        <v/>
      </c>
      <c r="H337" s="259" t="str">
        <f t="shared" si="25"/>
        <v/>
      </c>
      <c r="I337" s="260"/>
    </row>
    <row r="338" spans="1:9">
      <c r="A338" s="255">
        <f t="shared" si="22"/>
        <v>336</v>
      </c>
      <c r="B338" s="256">
        <v>44957</v>
      </c>
      <c r="C338" s="257">
        <v>82.789330000000007</v>
      </c>
      <c r="D338" s="258">
        <v>57.054845212154397</v>
      </c>
      <c r="E338" s="257">
        <f t="shared" si="23"/>
        <v>57.054845212154397</v>
      </c>
      <c r="F338" s="263"/>
      <c r="G338" s="190" t="str">
        <f t="shared" si="24"/>
        <v/>
      </c>
      <c r="H338" s="259" t="str">
        <f t="shared" si="25"/>
        <v/>
      </c>
      <c r="I338" s="260"/>
    </row>
    <row r="339" spans="1:9">
      <c r="A339" s="255">
        <f t="shared" si="22"/>
        <v>337</v>
      </c>
      <c r="B339" s="256">
        <v>44958</v>
      </c>
      <c r="C339" s="257">
        <v>81.991658999999999</v>
      </c>
      <c r="D339" s="258">
        <v>72.463822931430329</v>
      </c>
      <c r="E339" s="257">
        <f t="shared" si="23"/>
        <v>72.463822931430329</v>
      </c>
      <c r="F339" s="263"/>
      <c r="G339" s="190" t="str">
        <f t="shared" si="24"/>
        <v/>
      </c>
      <c r="H339" s="259" t="str">
        <f t="shared" si="25"/>
        <v/>
      </c>
      <c r="I339" s="260"/>
    </row>
    <row r="340" spans="1:9">
      <c r="A340" s="255">
        <f t="shared" si="22"/>
        <v>338</v>
      </c>
      <c r="B340" s="256">
        <v>44959</v>
      </c>
      <c r="C340" s="257">
        <v>86.131803000000005</v>
      </c>
      <c r="D340" s="258">
        <v>72.463822931430329</v>
      </c>
      <c r="E340" s="257">
        <f t="shared" si="23"/>
        <v>72.463822931430329</v>
      </c>
      <c r="F340" s="263"/>
      <c r="G340" s="190" t="str">
        <f t="shared" si="24"/>
        <v/>
      </c>
      <c r="H340" s="259" t="str">
        <f t="shared" si="25"/>
        <v/>
      </c>
      <c r="I340" s="260"/>
    </row>
    <row r="341" spans="1:9">
      <c r="A341" s="255">
        <f t="shared" si="22"/>
        <v>339</v>
      </c>
      <c r="B341" s="256">
        <v>44960</v>
      </c>
      <c r="C341" s="257">
        <v>89.821308000000002</v>
      </c>
      <c r="D341" s="258">
        <v>72.463822931430329</v>
      </c>
      <c r="E341" s="257">
        <f t="shared" si="23"/>
        <v>72.463822931430329</v>
      </c>
      <c r="F341" s="263"/>
      <c r="G341" s="190" t="str">
        <f t="shared" si="24"/>
        <v/>
      </c>
      <c r="H341" s="259" t="str">
        <f t="shared" si="25"/>
        <v/>
      </c>
      <c r="I341" s="260"/>
    </row>
    <row r="342" spans="1:9">
      <c r="A342" s="255">
        <f t="shared" si="22"/>
        <v>340</v>
      </c>
      <c r="B342" s="256">
        <v>44961</v>
      </c>
      <c r="C342" s="257">
        <v>92.349772999999999</v>
      </c>
      <c r="D342" s="258">
        <v>72.463822931430329</v>
      </c>
      <c r="E342" s="257">
        <f t="shared" si="23"/>
        <v>72.463822931430329</v>
      </c>
      <c r="F342" s="263"/>
      <c r="G342" s="190" t="str">
        <f t="shared" si="24"/>
        <v/>
      </c>
      <c r="H342" s="259" t="str">
        <f t="shared" si="25"/>
        <v/>
      </c>
      <c r="I342" s="260"/>
    </row>
    <row r="343" spans="1:9">
      <c r="A343" s="255">
        <f t="shared" si="22"/>
        <v>341</v>
      </c>
      <c r="B343" s="256">
        <v>44962</v>
      </c>
      <c r="C343" s="257">
        <v>87.295928000000004</v>
      </c>
      <c r="D343" s="258">
        <v>72.463822931430329</v>
      </c>
      <c r="E343" s="257">
        <f t="shared" si="23"/>
        <v>72.463822931430329</v>
      </c>
      <c r="F343" s="263"/>
      <c r="G343" s="190" t="str">
        <f t="shared" si="24"/>
        <v/>
      </c>
      <c r="H343" s="259" t="str">
        <f t="shared" si="25"/>
        <v/>
      </c>
      <c r="I343" s="260"/>
    </row>
    <row r="344" spans="1:9">
      <c r="A344" s="255">
        <f t="shared" si="22"/>
        <v>342</v>
      </c>
      <c r="B344" s="256">
        <v>44963</v>
      </c>
      <c r="C344" s="257">
        <v>77.827664999999996</v>
      </c>
      <c r="D344" s="258">
        <v>72.463822931430329</v>
      </c>
      <c r="E344" s="257">
        <f t="shared" si="23"/>
        <v>72.463822931430329</v>
      </c>
      <c r="F344" s="263"/>
      <c r="G344" s="190" t="str">
        <f t="shared" si="24"/>
        <v/>
      </c>
      <c r="H344" s="259" t="str">
        <f t="shared" si="25"/>
        <v/>
      </c>
      <c r="I344" s="260"/>
    </row>
    <row r="345" spans="1:9">
      <c r="A345" s="255">
        <f t="shared" si="22"/>
        <v>343</v>
      </c>
      <c r="B345" s="256">
        <v>44964</v>
      </c>
      <c r="C345" s="257">
        <v>42.269485000000003</v>
      </c>
      <c r="D345" s="258">
        <v>72.463822931430329</v>
      </c>
      <c r="E345" s="257">
        <f t="shared" si="23"/>
        <v>42.269485000000003</v>
      </c>
      <c r="F345" s="263"/>
      <c r="G345" s="190" t="str">
        <f t="shared" si="24"/>
        <v/>
      </c>
      <c r="H345" s="259" t="str">
        <f t="shared" si="25"/>
        <v/>
      </c>
      <c r="I345" s="260"/>
    </row>
    <row r="346" spans="1:9">
      <c r="A346" s="255">
        <f t="shared" si="22"/>
        <v>344</v>
      </c>
      <c r="B346" s="256">
        <v>44965</v>
      </c>
      <c r="C346" s="257">
        <v>40.880480000000006</v>
      </c>
      <c r="D346" s="258">
        <v>72.463822931430329</v>
      </c>
      <c r="E346" s="257">
        <f t="shared" si="23"/>
        <v>40.880480000000006</v>
      </c>
      <c r="F346" s="263"/>
      <c r="G346" s="190" t="str">
        <f t="shared" si="24"/>
        <v/>
      </c>
      <c r="H346" s="259" t="str">
        <f t="shared" si="25"/>
        <v/>
      </c>
      <c r="I346" s="260"/>
    </row>
    <row r="347" spans="1:9">
      <c r="A347" s="255">
        <f t="shared" si="22"/>
        <v>345</v>
      </c>
      <c r="B347" s="256">
        <v>44966</v>
      </c>
      <c r="C347" s="257">
        <v>71.397311999999999</v>
      </c>
      <c r="D347" s="258">
        <v>72.463822931430329</v>
      </c>
      <c r="E347" s="257">
        <f t="shared" si="23"/>
        <v>71.397311999999999</v>
      </c>
      <c r="F347" s="263"/>
      <c r="G347" s="190" t="str">
        <f t="shared" si="24"/>
        <v/>
      </c>
      <c r="H347" s="259" t="str">
        <f t="shared" si="25"/>
        <v/>
      </c>
      <c r="I347" s="260"/>
    </row>
    <row r="348" spans="1:9">
      <c r="A348" s="255">
        <f t="shared" si="22"/>
        <v>346</v>
      </c>
      <c r="B348" s="256">
        <v>44967</v>
      </c>
      <c r="C348" s="257">
        <v>73.991411999999997</v>
      </c>
      <c r="D348" s="258">
        <v>72.463822931430329</v>
      </c>
      <c r="E348" s="257">
        <f t="shared" si="23"/>
        <v>72.463822931430329</v>
      </c>
      <c r="F348" s="263"/>
      <c r="G348" s="190" t="str">
        <f t="shared" si="24"/>
        <v/>
      </c>
      <c r="H348" s="259" t="str">
        <f t="shared" si="25"/>
        <v/>
      </c>
      <c r="I348" s="260"/>
    </row>
    <row r="349" spans="1:9">
      <c r="A349" s="255">
        <f t="shared" si="22"/>
        <v>347</v>
      </c>
      <c r="B349" s="256">
        <v>44968</v>
      </c>
      <c r="C349" s="257">
        <v>73.875215999999995</v>
      </c>
      <c r="D349" s="258">
        <v>72.463822931430329</v>
      </c>
      <c r="E349" s="257">
        <f t="shared" si="23"/>
        <v>72.463822931430329</v>
      </c>
      <c r="F349" s="263"/>
      <c r="G349" s="190" t="str">
        <f t="shared" si="24"/>
        <v/>
      </c>
      <c r="H349" s="259" t="str">
        <f t="shared" si="25"/>
        <v/>
      </c>
      <c r="I349" s="260"/>
    </row>
    <row r="350" spans="1:9">
      <c r="A350" s="255">
        <f t="shared" si="22"/>
        <v>348</v>
      </c>
      <c r="B350" s="256">
        <v>44969</v>
      </c>
      <c r="C350" s="257">
        <v>67.877244000000005</v>
      </c>
      <c r="D350" s="258">
        <v>72.463822931430329</v>
      </c>
      <c r="E350" s="257">
        <f t="shared" si="23"/>
        <v>67.877244000000005</v>
      </c>
      <c r="F350" s="263"/>
      <c r="G350" s="190" t="str">
        <f t="shared" si="24"/>
        <v/>
      </c>
      <c r="H350" s="259" t="str">
        <f t="shared" si="25"/>
        <v/>
      </c>
      <c r="I350" s="260"/>
    </row>
    <row r="351" spans="1:9">
      <c r="A351" s="255">
        <f t="shared" si="22"/>
        <v>349</v>
      </c>
      <c r="B351" s="256">
        <v>44970</v>
      </c>
      <c r="C351" s="257">
        <v>78.837722999999997</v>
      </c>
      <c r="D351" s="258">
        <v>72.463822931430329</v>
      </c>
      <c r="E351" s="257">
        <f t="shared" si="23"/>
        <v>72.463822931430329</v>
      </c>
      <c r="F351" s="263"/>
      <c r="G351" s="190" t="str">
        <f t="shared" si="24"/>
        <v/>
      </c>
      <c r="H351" s="259" t="str">
        <f t="shared" si="25"/>
        <v/>
      </c>
      <c r="I351" s="260"/>
    </row>
    <row r="352" spans="1:9">
      <c r="A352" s="255">
        <f t="shared" si="22"/>
        <v>350</v>
      </c>
      <c r="B352" s="256">
        <v>44971</v>
      </c>
      <c r="C352" s="257">
        <v>58.580880999999998</v>
      </c>
      <c r="D352" s="258">
        <v>72.463822931430329</v>
      </c>
      <c r="E352" s="257">
        <f t="shared" si="23"/>
        <v>58.580880999999998</v>
      </c>
      <c r="F352" s="263"/>
      <c r="G352" s="190" t="str">
        <f t="shared" si="24"/>
        <v/>
      </c>
      <c r="H352" s="259" t="str">
        <f t="shared" si="25"/>
        <v/>
      </c>
      <c r="I352" s="260"/>
    </row>
    <row r="353" spans="1:9">
      <c r="A353" s="255">
        <f t="shared" si="22"/>
        <v>351</v>
      </c>
      <c r="B353" s="256">
        <v>44972</v>
      </c>
      <c r="C353" s="257">
        <v>71.233261999999996</v>
      </c>
      <c r="D353" s="258">
        <v>72.463822931430329</v>
      </c>
      <c r="E353" s="257">
        <f t="shared" si="23"/>
        <v>71.233261999999996</v>
      </c>
      <c r="F353" s="263"/>
      <c r="G353" s="190" t="str">
        <f t="shared" si="24"/>
        <v>F</v>
      </c>
      <c r="H353" s="259" t="str">
        <f t="shared" si="25"/>
        <v>72,5</v>
      </c>
      <c r="I353" s="260"/>
    </row>
    <row r="354" spans="1:9">
      <c r="A354" s="255">
        <f t="shared" si="22"/>
        <v>352</v>
      </c>
      <c r="B354" s="256">
        <v>44973</v>
      </c>
      <c r="C354" s="257">
        <v>87.471001000000001</v>
      </c>
      <c r="D354" s="258">
        <v>72.463822931430329</v>
      </c>
      <c r="E354" s="257">
        <f t="shared" si="23"/>
        <v>72.463822931430329</v>
      </c>
      <c r="F354" s="263"/>
      <c r="G354" s="190" t="str">
        <f t="shared" si="24"/>
        <v/>
      </c>
      <c r="H354" s="259" t="str">
        <f t="shared" si="25"/>
        <v/>
      </c>
      <c r="I354" s="260"/>
    </row>
    <row r="355" spans="1:9">
      <c r="A355" s="255">
        <f t="shared" si="22"/>
        <v>353</v>
      </c>
      <c r="B355" s="256">
        <v>44974</v>
      </c>
      <c r="C355" s="257">
        <v>74.355675000000005</v>
      </c>
      <c r="D355" s="258">
        <v>72.463822931430329</v>
      </c>
      <c r="E355" s="257">
        <f t="shared" si="23"/>
        <v>72.463822931430329</v>
      </c>
      <c r="F355" s="263"/>
      <c r="G355" s="190" t="str">
        <f t="shared" si="24"/>
        <v/>
      </c>
      <c r="H355" s="259" t="str">
        <f t="shared" si="25"/>
        <v/>
      </c>
      <c r="I355" s="260"/>
    </row>
    <row r="356" spans="1:9">
      <c r="A356" s="255">
        <f t="shared" si="22"/>
        <v>354</v>
      </c>
      <c r="B356" s="256">
        <v>44975</v>
      </c>
      <c r="C356" s="257">
        <v>65.193995999999999</v>
      </c>
      <c r="D356" s="258">
        <v>72.463822931430329</v>
      </c>
      <c r="E356" s="257">
        <f t="shared" si="23"/>
        <v>65.193995999999999</v>
      </c>
      <c r="F356" s="263"/>
      <c r="G356" s="190" t="str">
        <f t="shared" si="24"/>
        <v/>
      </c>
      <c r="H356" s="259" t="str">
        <f t="shared" si="25"/>
        <v/>
      </c>
      <c r="I356" s="260"/>
    </row>
    <row r="357" spans="1:9">
      <c r="A357" s="255">
        <f t="shared" si="22"/>
        <v>355</v>
      </c>
      <c r="B357" s="256">
        <v>44976</v>
      </c>
      <c r="C357" s="257">
        <v>65.838386</v>
      </c>
      <c r="D357" s="258">
        <v>72.463822931430329</v>
      </c>
      <c r="E357" s="257">
        <f t="shared" si="23"/>
        <v>65.838386</v>
      </c>
      <c r="F357" s="263"/>
      <c r="G357" s="190" t="str">
        <f t="shared" si="24"/>
        <v/>
      </c>
      <c r="H357" s="259" t="str">
        <f t="shared" si="25"/>
        <v/>
      </c>
      <c r="I357" s="260"/>
    </row>
    <row r="358" spans="1:9">
      <c r="A358" s="255">
        <f t="shared" si="22"/>
        <v>356</v>
      </c>
      <c r="B358" s="256">
        <v>44977</v>
      </c>
      <c r="C358" s="257">
        <v>62.712156</v>
      </c>
      <c r="D358" s="258">
        <v>72.463822931430329</v>
      </c>
      <c r="E358" s="257">
        <f t="shared" si="23"/>
        <v>62.712156</v>
      </c>
      <c r="F358" s="263"/>
      <c r="G358" s="190" t="str">
        <f t="shared" si="24"/>
        <v/>
      </c>
      <c r="H358" s="259" t="str">
        <f t="shared" si="25"/>
        <v/>
      </c>
      <c r="I358" s="260"/>
    </row>
    <row r="359" spans="1:9">
      <c r="A359" s="255">
        <f t="shared" si="22"/>
        <v>357</v>
      </c>
      <c r="B359" s="256">
        <v>44978</v>
      </c>
      <c r="C359" s="257">
        <v>68.458113999999995</v>
      </c>
      <c r="D359" s="258">
        <v>72.463822931430329</v>
      </c>
      <c r="E359" s="257">
        <f t="shared" si="23"/>
        <v>68.458113999999995</v>
      </c>
      <c r="F359" s="263"/>
      <c r="G359" s="190" t="str">
        <f t="shared" si="24"/>
        <v/>
      </c>
      <c r="H359" s="259" t="str">
        <f t="shared" si="25"/>
        <v/>
      </c>
      <c r="I359" s="260"/>
    </row>
    <row r="360" spans="1:9">
      <c r="A360" s="255">
        <f t="shared" si="22"/>
        <v>358</v>
      </c>
      <c r="B360" s="256">
        <v>44979</v>
      </c>
      <c r="C360" s="257">
        <v>79.482206000000005</v>
      </c>
      <c r="D360" s="258">
        <v>72.463822931430329</v>
      </c>
      <c r="E360" s="257">
        <f t="shared" si="23"/>
        <v>72.463822931430329</v>
      </c>
      <c r="F360" s="263"/>
      <c r="G360" s="190" t="str">
        <f t="shared" si="24"/>
        <v/>
      </c>
      <c r="H360" s="259" t="str">
        <f t="shared" si="25"/>
        <v/>
      </c>
      <c r="I360" s="260"/>
    </row>
    <row r="361" spans="1:9">
      <c r="A361" s="255">
        <f t="shared" si="22"/>
        <v>359</v>
      </c>
      <c r="B361" s="256">
        <v>44980</v>
      </c>
      <c r="C361" s="257">
        <v>69.471451999999999</v>
      </c>
      <c r="D361" s="258">
        <v>72.463822931430329</v>
      </c>
      <c r="E361" s="257">
        <f t="shared" si="23"/>
        <v>69.471451999999999</v>
      </c>
      <c r="F361" s="263"/>
      <c r="G361" s="190" t="str">
        <f t="shared" si="24"/>
        <v/>
      </c>
      <c r="H361" s="259" t="str">
        <f t="shared" si="25"/>
        <v/>
      </c>
      <c r="I361" s="260"/>
    </row>
    <row r="362" spans="1:9">
      <c r="A362" s="255">
        <f t="shared" si="22"/>
        <v>360</v>
      </c>
      <c r="B362" s="256">
        <v>44981</v>
      </c>
      <c r="C362" s="257">
        <v>91.260942</v>
      </c>
      <c r="D362" s="258">
        <v>72.463822931430329</v>
      </c>
      <c r="E362" s="257">
        <f t="shared" si="23"/>
        <v>72.463822931430329</v>
      </c>
      <c r="F362" s="263"/>
      <c r="G362" s="190" t="str">
        <f t="shared" si="24"/>
        <v/>
      </c>
      <c r="H362" s="259" t="str">
        <f t="shared" si="25"/>
        <v/>
      </c>
      <c r="I362" s="260"/>
    </row>
    <row r="363" spans="1:9">
      <c r="A363" s="255">
        <f t="shared" si="22"/>
        <v>361</v>
      </c>
      <c r="B363" s="256">
        <v>44982</v>
      </c>
      <c r="C363" s="257">
        <v>68.566562999999988</v>
      </c>
      <c r="D363" s="258">
        <v>72.463822931430329</v>
      </c>
      <c r="E363" s="257">
        <f t="shared" si="23"/>
        <v>68.566562999999988</v>
      </c>
      <c r="F363" s="263"/>
      <c r="G363" s="190" t="str">
        <f t="shared" si="24"/>
        <v/>
      </c>
      <c r="H363" s="259" t="str">
        <f t="shared" si="25"/>
        <v/>
      </c>
      <c r="I363" s="260"/>
    </row>
    <row r="364" spans="1:9">
      <c r="A364" s="255">
        <f t="shared" si="22"/>
        <v>362</v>
      </c>
      <c r="B364" s="256">
        <v>44983</v>
      </c>
      <c r="C364" s="257">
        <v>77.522385999999997</v>
      </c>
      <c r="D364" s="258">
        <v>72.463822931430329</v>
      </c>
      <c r="E364" s="257">
        <f t="shared" si="23"/>
        <v>72.463822931430329</v>
      </c>
      <c r="F364" s="263"/>
      <c r="G364" s="190" t="str">
        <f t="shared" si="24"/>
        <v/>
      </c>
      <c r="H364" s="259" t="str">
        <f t="shared" si="25"/>
        <v/>
      </c>
      <c r="I364" s="260"/>
    </row>
    <row r="365" spans="1:9">
      <c r="A365" s="255">
        <f t="shared" si="22"/>
        <v>363</v>
      </c>
      <c r="B365" s="256">
        <v>44984</v>
      </c>
      <c r="C365" s="257">
        <v>98.971661000000012</v>
      </c>
      <c r="D365" s="258">
        <v>72.463822931430329</v>
      </c>
      <c r="E365" s="257">
        <f t="shared" si="23"/>
        <v>72.463822931430329</v>
      </c>
      <c r="F365" s="263"/>
      <c r="G365" s="190" t="str">
        <f t="shared" si="24"/>
        <v/>
      </c>
      <c r="H365" s="259" t="str">
        <f t="shared" si="25"/>
        <v/>
      </c>
      <c r="I365" s="260"/>
    </row>
    <row r="366" spans="1:9">
      <c r="A366" s="255">
        <f t="shared" si="22"/>
        <v>364</v>
      </c>
      <c r="B366" s="256">
        <v>44985</v>
      </c>
      <c r="C366" s="257">
        <v>105.192836</v>
      </c>
      <c r="D366" s="258">
        <v>72.463822931430329</v>
      </c>
      <c r="E366" s="257">
        <f t="shared" si="23"/>
        <v>72.463822931430329</v>
      </c>
      <c r="F366" s="263"/>
      <c r="G366" s="190" t="str">
        <f t="shared" si="24"/>
        <v/>
      </c>
      <c r="H366" s="259" t="str">
        <f t="shared" si="25"/>
        <v/>
      </c>
      <c r="I366" s="260"/>
    </row>
    <row r="367" spans="1:9">
      <c r="A367" s="255">
        <f t="shared" si="22"/>
        <v>365</v>
      </c>
      <c r="B367" s="256">
        <v>44986</v>
      </c>
      <c r="C367" s="257">
        <v>103.75190499999999</v>
      </c>
      <c r="D367" s="258">
        <v>85.773286821926959</v>
      </c>
      <c r="E367" s="257">
        <f t="shared" si="23"/>
        <v>85.773286821926959</v>
      </c>
      <c r="F367" s="260"/>
      <c r="G367" s="190" t="str">
        <f t="shared" si="24"/>
        <v/>
      </c>
      <c r="H367" s="259" t="str">
        <f t="shared" si="25"/>
        <v/>
      </c>
      <c r="I367" s="260"/>
    </row>
    <row r="368" spans="1:9">
      <c r="A368" s="255">
        <f t="shared" si="22"/>
        <v>366</v>
      </c>
      <c r="B368" s="256">
        <v>44987</v>
      </c>
      <c r="C368" s="257">
        <v>107.401613</v>
      </c>
      <c r="D368" s="258">
        <v>85.773286821926959</v>
      </c>
      <c r="E368" s="257">
        <f t="shared" si="23"/>
        <v>85.773286821926959</v>
      </c>
      <c r="F368" s="263"/>
      <c r="G368" s="190" t="str">
        <f t="shared" si="24"/>
        <v/>
      </c>
      <c r="H368" s="259" t="str">
        <f t="shared" si="25"/>
        <v/>
      </c>
      <c r="I368" s="260"/>
    </row>
    <row r="369" spans="1:9">
      <c r="A369" s="255">
        <f t="shared" si="22"/>
        <v>367</v>
      </c>
      <c r="B369" s="256">
        <v>44988</v>
      </c>
      <c r="C369" s="257">
        <v>111.377053</v>
      </c>
      <c r="D369" s="258">
        <v>85.773286821926959</v>
      </c>
      <c r="E369" s="257">
        <f t="shared" si="23"/>
        <v>85.773286821926959</v>
      </c>
      <c r="F369" s="263"/>
      <c r="G369" s="190" t="str">
        <f t="shared" si="24"/>
        <v/>
      </c>
      <c r="H369" s="259" t="str">
        <f t="shared" si="25"/>
        <v/>
      </c>
      <c r="I369" s="260"/>
    </row>
    <row r="370" spans="1:9">
      <c r="A370" s="255">
        <f t="shared" si="22"/>
        <v>368</v>
      </c>
      <c r="B370" s="256">
        <v>44989</v>
      </c>
      <c r="C370" s="257">
        <v>105.17206200000001</v>
      </c>
      <c r="D370" s="258">
        <v>85.773286821926959</v>
      </c>
      <c r="E370" s="257">
        <f t="shared" si="23"/>
        <v>85.773286821926959</v>
      </c>
      <c r="F370" s="263"/>
      <c r="G370" s="190" t="str">
        <f t="shared" si="24"/>
        <v/>
      </c>
      <c r="H370" s="259" t="str">
        <f t="shared" si="25"/>
        <v/>
      </c>
      <c r="I370" s="260"/>
    </row>
    <row r="371" spans="1:9">
      <c r="A371" s="255">
        <f t="shared" si="22"/>
        <v>369</v>
      </c>
      <c r="B371" s="256">
        <v>44990</v>
      </c>
      <c r="C371" s="257">
        <v>48.205492</v>
      </c>
      <c r="D371" s="258">
        <v>85.773286821926959</v>
      </c>
      <c r="E371" s="257">
        <f t="shared" si="23"/>
        <v>48.205492</v>
      </c>
      <c r="F371" s="263"/>
      <c r="G371" s="190" t="str">
        <f t="shared" si="24"/>
        <v/>
      </c>
      <c r="H371" s="259" t="str">
        <f t="shared" si="25"/>
        <v/>
      </c>
      <c r="I371" s="260"/>
    </row>
    <row r="372" spans="1:9">
      <c r="A372" s="255">
        <f t="shared" si="22"/>
        <v>370</v>
      </c>
      <c r="B372" s="256">
        <v>44991</v>
      </c>
      <c r="C372" s="257">
        <v>50.202725000000001</v>
      </c>
      <c r="D372" s="258">
        <v>85.773286821926959</v>
      </c>
      <c r="E372" s="257">
        <f t="shared" si="23"/>
        <v>50.202725000000001</v>
      </c>
      <c r="F372" s="263"/>
      <c r="G372" s="190" t="str">
        <f t="shared" si="24"/>
        <v/>
      </c>
      <c r="H372" s="259" t="str">
        <f t="shared" si="25"/>
        <v/>
      </c>
      <c r="I372" s="260"/>
    </row>
    <row r="373" spans="1:9">
      <c r="A373" s="255">
        <f t="shared" si="22"/>
        <v>371</v>
      </c>
      <c r="B373" s="256">
        <v>44992</v>
      </c>
      <c r="C373" s="257">
        <v>68.237877999999995</v>
      </c>
      <c r="D373" s="258">
        <v>85.773286821926959</v>
      </c>
      <c r="E373" s="257">
        <f t="shared" si="23"/>
        <v>68.237877999999995</v>
      </c>
      <c r="F373" s="263"/>
      <c r="G373" s="190" t="str">
        <f t="shared" si="24"/>
        <v/>
      </c>
      <c r="H373" s="259" t="str">
        <f t="shared" si="25"/>
        <v/>
      </c>
      <c r="I373" s="260"/>
    </row>
    <row r="374" spans="1:9">
      <c r="A374" s="255">
        <f t="shared" si="22"/>
        <v>372</v>
      </c>
      <c r="B374" s="256">
        <v>44993</v>
      </c>
      <c r="C374" s="257">
        <v>57.461326</v>
      </c>
      <c r="D374" s="258">
        <v>85.773286821926959</v>
      </c>
      <c r="E374" s="257">
        <f t="shared" si="23"/>
        <v>57.461326</v>
      </c>
      <c r="F374" s="263"/>
      <c r="G374" s="190" t="str">
        <f t="shared" si="24"/>
        <v/>
      </c>
      <c r="H374" s="259" t="str">
        <f t="shared" si="25"/>
        <v/>
      </c>
      <c r="I374" s="260"/>
    </row>
    <row r="375" spans="1:9">
      <c r="A375" s="255">
        <f t="shared" si="22"/>
        <v>373</v>
      </c>
      <c r="B375" s="256">
        <v>44994</v>
      </c>
      <c r="C375" s="257">
        <v>52.935957000000002</v>
      </c>
      <c r="D375" s="258">
        <v>85.773286821926959</v>
      </c>
      <c r="E375" s="257">
        <f t="shared" si="23"/>
        <v>52.935957000000002</v>
      </c>
      <c r="F375" s="263"/>
      <c r="G375" s="190" t="str">
        <f t="shared" si="24"/>
        <v/>
      </c>
      <c r="H375" s="259" t="str">
        <f t="shared" si="25"/>
        <v/>
      </c>
      <c r="I375" s="260"/>
    </row>
    <row r="376" spans="1:9">
      <c r="A376" s="255">
        <f t="shared" si="22"/>
        <v>374</v>
      </c>
      <c r="B376" s="256">
        <v>44995</v>
      </c>
      <c r="C376" s="257">
        <v>93.369154000000009</v>
      </c>
      <c r="D376" s="258">
        <v>85.773286821926959</v>
      </c>
      <c r="E376" s="257">
        <f t="shared" si="23"/>
        <v>85.773286821926959</v>
      </c>
      <c r="F376" s="263"/>
      <c r="G376" s="190" t="str">
        <f t="shared" si="24"/>
        <v/>
      </c>
      <c r="H376" s="259" t="str">
        <f t="shared" si="25"/>
        <v/>
      </c>
      <c r="I376" s="260"/>
    </row>
    <row r="377" spans="1:9">
      <c r="A377" s="255">
        <f t="shared" si="22"/>
        <v>375</v>
      </c>
      <c r="B377" s="256">
        <v>44996</v>
      </c>
      <c r="C377" s="257">
        <v>76.153103000000002</v>
      </c>
      <c r="D377" s="258">
        <v>85.773286821926959</v>
      </c>
      <c r="E377" s="257">
        <f t="shared" si="23"/>
        <v>76.153103000000002</v>
      </c>
      <c r="F377" s="263"/>
      <c r="G377" s="190" t="str">
        <f t="shared" si="24"/>
        <v/>
      </c>
      <c r="H377" s="259" t="str">
        <f t="shared" si="25"/>
        <v/>
      </c>
      <c r="I377" s="260"/>
    </row>
    <row r="378" spans="1:9">
      <c r="A378" s="255">
        <f t="shared" si="22"/>
        <v>376</v>
      </c>
      <c r="B378" s="256">
        <v>44997</v>
      </c>
      <c r="C378" s="257">
        <v>105.938069</v>
      </c>
      <c r="D378" s="258">
        <v>85.773286821926959</v>
      </c>
      <c r="E378" s="257">
        <f t="shared" si="23"/>
        <v>85.773286821926959</v>
      </c>
      <c r="F378" s="263"/>
      <c r="G378" s="190" t="str">
        <f t="shared" si="24"/>
        <v/>
      </c>
      <c r="H378" s="259" t="str">
        <f t="shared" si="25"/>
        <v/>
      </c>
      <c r="I378" s="260"/>
    </row>
    <row r="379" spans="1:9">
      <c r="A379" s="255">
        <f t="shared" si="22"/>
        <v>377</v>
      </c>
      <c r="B379" s="256">
        <v>44998</v>
      </c>
      <c r="C379" s="257">
        <v>92.950095000000005</v>
      </c>
      <c r="D379" s="258">
        <v>85.773286821926959</v>
      </c>
      <c r="E379" s="257">
        <f t="shared" si="23"/>
        <v>85.773286821926959</v>
      </c>
      <c r="F379" s="263"/>
      <c r="G379" s="190" t="str">
        <f t="shared" si="24"/>
        <v/>
      </c>
      <c r="H379" s="259" t="str">
        <f t="shared" si="25"/>
        <v/>
      </c>
      <c r="I379" s="260"/>
    </row>
    <row r="380" spans="1:9">
      <c r="A380" s="255">
        <f t="shared" si="22"/>
        <v>378</v>
      </c>
      <c r="B380" s="256">
        <v>44999</v>
      </c>
      <c r="C380" s="257">
        <v>113.28592999999999</v>
      </c>
      <c r="D380" s="258">
        <v>85.773286821926959</v>
      </c>
      <c r="E380" s="257">
        <f t="shared" si="23"/>
        <v>85.773286821926959</v>
      </c>
      <c r="F380" s="263"/>
      <c r="G380" s="190" t="str">
        <f t="shared" si="24"/>
        <v/>
      </c>
      <c r="H380" s="259" t="str">
        <f t="shared" si="25"/>
        <v/>
      </c>
      <c r="I380" s="260"/>
    </row>
    <row r="381" spans="1:9">
      <c r="A381" s="255">
        <f t="shared" si="22"/>
        <v>379</v>
      </c>
      <c r="B381" s="256">
        <v>45000</v>
      </c>
      <c r="C381" s="257">
        <v>123.55278600000001</v>
      </c>
      <c r="D381" s="258">
        <v>85.773286821926959</v>
      </c>
      <c r="E381" s="257">
        <f t="shared" si="23"/>
        <v>85.773286821926959</v>
      </c>
      <c r="F381" s="263"/>
      <c r="G381" s="190" t="str">
        <f t="shared" si="24"/>
        <v>M</v>
      </c>
      <c r="H381" s="259" t="str">
        <f t="shared" si="25"/>
        <v>85,8</v>
      </c>
      <c r="I381" s="260"/>
    </row>
    <row r="382" spans="1:9">
      <c r="A382" s="255">
        <f t="shared" si="22"/>
        <v>380</v>
      </c>
      <c r="B382" s="256">
        <v>45001</v>
      </c>
      <c r="C382" s="257">
        <v>108.713094</v>
      </c>
      <c r="D382" s="258">
        <v>85.773286821926959</v>
      </c>
      <c r="E382" s="257">
        <f t="shared" si="23"/>
        <v>85.773286821926959</v>
      </c>
      <c r="F382" s="263"/>
      <c r="G382" s="190" t="str">
        <f t="shared" si="24"/>
        <v/>
      </c>
      <c r="H382" s="259" t="str">
        <f t="shared" si="25"/>
        <v/>
      </c>
      <c r="I382" s="260"/>
    </row>
    <row r="383" spans="1:9">
      <c r="A383" s="255">
        <f t="shared" si="22"/>
        <v>381</v>
      </c>
      <c r="B383" s="256">
        <v>45002</v>
      </c>
      <c r="C383" s="257">
        <v>84.449888000000001</v>
      </c>
      <c r="D383" s="258">
        <v>85.773286821926959</v>
      </c>
      <c r="E383" s="257">
        <f t="shared" si="23"/>
        <v>84.449888000000001</v>
      </c>
      <c r="F383" s="263"/>
      <c r="G383" s="190" t="str">
        <f t="shared" si="24"/>
        <v/>
      </c>
      <c r="H383" s="259" t="str">
        <f t="shared" si="25"/>
        <v/>
      </c>
      <c r="I383" s="260"/>
    </row>
    <row r="384" spans="1:9">
      <c r="A384" s="255">
        <f t="shared" si="22"/>
        <v>382</v>
      </c>
      <c r="B384" s="256">
        <v>45003</v>
      </c>
      <c r="C384" s="257">
        <v>81.073100000000011</v>
      </c>
      <c r="D384" s="258">
        <v>85.773286821926959</v>
      </c>
      <c r="E384" s="257">
        <f t="shared" si="23"/>
        <v>81.073100000000011</v>
      </c>
      <c r="F384" s="263"/>
      <c r="G384" s="190" t="str">
        <f t="shared" si="24"/>
        <v/>
      </c>
      <c r="H384" s="259" t="str">
        <f t="shared" si="25"/>
        <v/>
      </c>
      <c r="I384" s="260"/>
    </row>
    <row r="385" spans="1:9">
      <c r="A385" s="255">
        <f t="shared" si="22"/>
        <v>383</v>
      </c>
      <c r="B385" s="256">
        <v>45004</v>
      </c>
      <c r="C385" s="257">
        <v>114.28722200000001</v>
      </c>
      <c r="D385" s="258">
        <v>85.773286821926959</v>
      </c>
      <c r="E385" s="257">
        <f t="shared" si="23"/>
        <v>85.773286821926959</v>
      </c>
      <c r="F385" s="263"/>
      <c r="G385" s="190" t="str">
        <f t="shared" si="24"/>
        <v/>
      </c>
      <c r="H385" s="259" t="str">
        <f t="shared" si="25"/>
        <v/>
      </c>
      <c r="I385" s="260"/>
    </row>
    <row r="386" spans="1:9">
      <c r="A386" s="255">
        <f t="shared" si="22"/>
        <v>384</v>
      </c>
      <c r="B386" s="256">
        <v>45005</v>
      </c>
      <c r="C386" s="257">
        <v>122.43408899999999</v>
      </c>
      <c r="D386" s="258">
        <v>85.773286821926959</v>
      </c>
      <c r="E386" s="257">
        <f t="shared" si="23"/>
        <v>85.773286821926959</v>
      </c>
      <c r="F386" s="263"/>
      <c r="G386" s="190" t="str">
        <f t="shared" si="24"/>
        <v/>
      </c>
      <c r="H386" s="259" t="str">
        <f t="shared" si="25"/>
        <v/>
      </c>
      <c r="I386" s="260"/>
    </row>
    <row r="387" spans="1:9">
      <c r="A387" s="255">
        <f t="shared" si="22"/>
        <v>385</v>
      </c>
      <c r="B387" s="256">
        <v>45006</v>
      </c>
      <c r="C387" s="257">
        <v>121.16906200000001</v>
      </c>
      <c r="D387" s="258">
        <v>85.773286821926959</v>
      </c>
      <c r="E387" s="257">
        <f t="shared" si="23"/>
        <v>85.773286821926959</v>
      </c>
      <c r="F387" s="263"/>
      <c r="G387" s="190" t="str">
        <f t="shared" si="24"/>
        <v/>
      </c>
      <c r="H387" s="259" t="str">
        <f t="shared" si="25"/>
        <v/>
      </c>
      <c r="I387" s="260"/>
    </row>
    <row r="388" spans="1:9">
      <c r="A388" s="255">
        <f t="shared" ref="A388:A451" si="26">+A387+1</f>
        <v>386</v>
      </c>
      <c r="B388" s="256">
        <v>45007</v>
      </c>
      <c r="C388" s="257">
        <v>120.25963800000001</v>
      </c>
      <c r="D388" s="258">
        <v>85.773286821926959</v>
      </c>
      <c r="E388" s="257">
        <f t="shared" ref="E388:E451" si="27">IF(C388&gt;D388,D388,C388)</f>
        <v>85.773286821926959</v>
      </c>
      <c r="F388" s="263"/>
      <c r="G388" s="190" t="str">
        <f t="shared" ref="G388:G451" si="28">IF(DAY(B388)=15,IF(MONTH(B388)=1,"E",IF(MONTH(B388)=2,"F",IF(MONTH(B388)=3,"M",IF(MONTH(B388)=4,"A",IF(MONTH(B388)=5,"M",IF(MONTH(B388)=6,"J",IF(MONTH(B388)=7,"J",IF(MONTH(B388)=8,"A",IF(MONTH(B388)=9,"S",IF(MONTH(B388)=10,"O",IF(MONTH(B388)=11,"N",IF(MONTH(B388)=12,"D","")))))))))))),"")</f>
        <v/>
      </c>
      <c r="H388" s="259" t="str">
        <f t="shared" ref="H388:H451" si="29">IF(DAY($B388)=15,TEXT(D388,"#,0"),"")</f>
        <v/>
      </c>
      <c r="I388" s="260"/>
    </row>
    <row r="389" spans="1:9">
      <c r="A389" s="255">
        <f t="shared" si="26"/>
        <v>387</v>
      </c>
      <c r="B389" s="256">
        <v>45008</v>
      </c>
      <c r="C389" s="257">
        <v>112.19162299999999</v>
      </c>
      <c r="D389" s="258">
        <v>85.773286821926959</v>
      </c>
      <c r="E389" s="257">
        <f t="shared" si="27"/>
        <v>85.773286821926959</v>
      </c>
      <c r="F389" s="263"/>
      <c r="G389" s="190" t="str">
        <f t="shared" si="28"/>
        <v/>
      </c>
      <c r="H389" s="259" t="str">
        <f t="shared" si="29"/>
        <v/>
      </c>
      <c r="I389" s="260"/>
    </row>
    <row r="390" spans="1:9">
      <c r="A390" s="255">
        <f t="shared" si="26"/>
        <v>388</v>
      </c>
      <c r="B390" s="256">
        <v>45009</v>
      </c>
      <c r="C390" s="257">
        <v>86.766396</v>
      </c>
      <c r="D390" s="258">
        <v>85.773286821926959</v>
      </c>
      <c r="E390" s="257">
        <f t="shared" si="27"/>
        <v>85.773286821926959</v>
      </c>
      <c r="F390" s="263"/>
      <c r="G390" s="190" t="str">
        <f t="shared" si="28"/>
        <v/>
      </c>
      <c r="H390" s="259" t="str">
        <f t="shared" si="29"/>
        <v/>
      </c>
      <c r="I390" s="260"/>
    </row>
    <row r="391" spans="1:9">
      <c r="A391" s="255">
        <f t="shared" si="26"/>
        <v>389</v>
      </c>
      <c r="B391" s="256">
        <v>45010</v>
      </c>
      <c r="C391" s="257">
        <v>110.426202</v>
      </c>
      <c r="D391" s="258">
        <v>85.773286821926959</v>
      </c>
      <c r="E391" s="257">
        <f t="shared" si="27"/>
        <v>85.773286821926959</v>
      </c>
      <c r="F391" s="263"/>
      <c r="G391" s="190" t="str">
        <f t="shared" si="28"/>
        <v/>
      </c>
      <c r="H391" s="259" t="str">
        <f t="shared" si="29"/>
        <v/>
      </c>
      <c r="I391" s="260"/>
    </row>
    <row r="392" spans="1:9">
      <c r="A392" s="255">
        <f t="shared" si="26"/>
        <v>390</v>
      </c>
      <c r="B392" s="256">
        <v>45011</v>
      </c>
      <c r="C392" s="257">
        <v>95.68594800000001</v>
      </c>
      <c r="D392" s="258">
        <v>85.773286821926959</v>
      </c>
      <c r="E392" s="257">
        <f t="shared" si="27"/>
        <v>85.773286821926959</v>
      </c>
      <c r="F392" s="263"/>
      <c r="G392" s="190" t="str">
        <f t="shared" si="28"/>
        <v/>
      </c>
      <c r="H392" s="259" t="str">
        <f t="shared" si="29"/>
        <v/>
      </c>
      <c r="I392" s="260"/>
    </row>
    <row r="393" spans="1:9">
      <c r="A393" s="255">
        <f t="shared" si="26"/>
        <v>391</v>
      </c>
      <c r="B393" s="256">
        <v>45012</v>
      </c>
      <c r="C393" s="257">
        <v>123.89347199999999</v>
      </c>
      <c r="D393" s="258">
        <v>85.773286821926959</v>
      </c>
      <c r="E393" s="257">
        <f t="shared" si="27"/>
        <v>85.773286821926959</v>
      </c>
      <c r="F393" s="263"/>
      <c r="G393" s="190" t="str">
        <f t="shared" si="28"/>
        <v/>
      </c>
      <c r="H393" s="259" t="str">
        <f t="shared" si="29"/>
        <v/>
      </c>
      <c r="I393" s="260"/>
    </row>
    <row r="394" spans="1:9">
      <c r="A394" s="255">
        <f t="shared" si="26"/>
        <v>392</v>
      </c>
      <c r="B394" s="256">
        <v>45013</v>
      </c>
      <c r="C394" s="257">
        <v>130.54026500000001</v>
      </c>
      <c r="D394" s="258">
        <v>85.773286821926959</v>
      </c>
      <c r="E394" s="257">
        <f t="shared" si="27"/>
        <v>85.773286821926959</v>
      </c>
      <c r="F394" s="263"/>
      <c r="G394" s="190" t="str">
        <f t="shared" si="28"/>
        <v/>
      </c>
      <c r="H394" s="259" t="str">
        <f t="shared" si="29"/>
        <v/>
      </c>
      <c r="I394" s="260"/>
    </row>
    <row r="395" spans="1:9">
      <c r="A395" s="255">
        <f t="shared" si="26"/>
        <v>393</v>
      </c>
      <c r="B395" s="256">
        <v>45014</v>
      </c>
      <c r="C395" s="257">
        <v>115.048315</v>
      </c>
      <c r="D395" s="258">
        <v>85.773286821926959</v>
      </c>
      <c r="E395" s="257">
        <f t="shared" si="27"/>
        <v>85.773286821926959</v>
      </c>
      <c r="F395" s="263"/>
      <c r="G395" s="190" t="str">
        <f t="shared" si="28"/>
        <v/>
      </c>
      <c r="H395" s="259" t="str">
        <f t="shared" si="29"/>
        <v/>
      </c>
      <c r="I395" s="260"/>
    </row>
    <row r="396" spans="1:9">
      <c r="A396" s="255">
        <f t="shared" si="26"/>
        <v>394</v>
      </c>
      <c r="B396" s="256">
        <v>45015</v>
      </c>
      <c r="C396" s="257">
        <v>104.59406299999999</v>
      </c>
      <c r="D396" s="258">
        <v>85.773286821926959</v>
      </c>
      <c r="E396" s="257">
        <f t="shared" si="27"/>
        <v>85.773286821926959</v>
      </c>
      <c r="F396" s="263"/>
      <c r="G396" s="190" t="str">
        <f t="shared" si="28"/>
        <v/>
      </c>
      <c r="H396" s="259" t="str">
        <f t="shared" si="29"/>
        <v/>
      </c>
      <c r="I396" s="260"/>
    </row>
    <row r="397" spans="1:9">
      <c r="A397" s="255">
        <f t="shared" si="26"/>
        <v>395</v>
      </c>
      <c r="B397" s="256">
        <v>45016</v>
      </c>
      <c r="C397" s="257">
        <v>87.638688999999999</v>
      </c>
      <c r="D397" s="258">
        <v>85.773286821926959</v>
      </c>
      <c r="E397" s="257">
        <f t="shared" si="27"/>
        <v>85.773286821926959</v>
      </c>
      <c r="F397" s="263"/>
      <c r="G397" s="190" t="str">
        <f t="shared" si="28"/>
        <v/>
      </c>
      <c r="H397" s="259" t="str">
        <f t="shared" si="29"/>
        <v/>
      </c>
      <c r="I397" s="260"/>
    </row>
    <row r="398" spans="1:9">
      <c r="A398" s="255">
        <f t="shared" si="26"/>
        <v>396</v>
      </c>
      <c r="B398" s="256">
        <v>45017</v>
      </c>
      <c r="C398" s="257">
        <v>94.293553000000003</v>
      </c>
      <c r="D398" s="258">
        <v>98.829108483893535</v>
      </c>
      <c r="E398" s="257">
        <f t="shared" si="27"/>
        <v>94.293553000000003</v>
      </c>
      <c r="F398" s="260"/>
      <c r="G398" s="190" t="str">
        <f t="shared" si="28"/>
        <v/>
      </c>
      <c r="H398" s="259" t="str">
        <f t="shared" si="29"/>
        <v/>
      </c>
      <c r="I398" s="260"/>
    </row>
    <row r="399" spans="1:9">
      <c r="A399" s="255">
        <f t="shared" si="26"/>
        <v>397</v>
      </c>
      <c r="B399" s="256">
        <v>45018</v>
      </c>
      <c r="C399" s="257">
        <v>110.53283799999998</v>
      </c>
      <c r="D399" s="258">
        <v>98.829108483893535</v>
      </c>
      <c r="E399" s="257">
        <f t="shared" si="27"/>
        <v>98.829108483893535</v>
      </c>
      <c r="F399" s="263"/>
      <c r="G399" s="190" t="str">
        <f t="shared" si="28"/>
        <v/>
      </c>
      <c r="H399" s="259" t="str">
        <f t="shared" si="29"/>
        <v/>
      </c>
      <c r="I399" s="260"/>
    </row>
    <row r="400" spans="1:9">
      <c r="A400" s="255">
        <f t="shared" si="26"/>
        <v>398</v>
      </c>
      <c r="B400" s="256">
        <v>45019</v>
      </c>
      <c r="C400" s="257">
        <v>127.551481</v>
      </c>
      <c r="D400" s="258">
        <v>98.829108483893535</v>
      </c>
      <c r="E400" s="257">
        <f t="shared" si="27"/>
        <v>98.829108483893535</v>
      </c>
      <c r="F400" s="263"/>
      <c r="G400" s="190" t="str">
        <f t="shared" si="28"/>
        <v/>
      </c>
      <c r="H400" s="259" t="str">
        <f t="shared" si="29"/>
        <v/>
      </c>
      <c r="I400" s="260"/>
    </row>
    <row r="401" spans="1:9">
      <c r="A401" s="255">
        <f t="shared" si="26"/>
        <v>399</v>
      </c>
      <c r="B401" s="256">
        <v>45020</v>
      </c>
      <c r="C401" s="257">
        <v>117.66016999999999</v>
      </c>
      <c r="D401" s="258">
        <v>98.829108483893535</v>
      </c>
      <c r="E401" s="257">
        <f t="shared" si="27"/>
        <v>98.829108483893535</v>
      </c>
      <c r="F401" s="263"/>
      <c r="G401" s="190" t="str">
        <f t="shared" si="28"/>
        <v/>
      </c>
      <c r="H401" s="259" t="str">
        <f t="shared" si="29"/>
        <v/>
      </c>
      <c r="I401" s="260"/>
    </row>
    <row r="402" spans="1:9">
      <c r="A402" s="255">
        <f t="shared" si="26"/>
        <v>400</v>
      </c>
      <c r="B402" s="256">
        <v>45021</v>
      </c>
      <c r="C402" s="257">
        <v>140.45421900000002</v>
      </c>
      <c r="D402" s="258">
        <v>98.829108483893535</v>
      </c>
      <c r="E402" s="257">
        <f t="shared" si="27"/>
        <v>98.829108483893535</v>
      </c>
      <c r="F402" s="263"/>
      <c r="G402" s="190" t="str">
        <f t="shared" si="28"/>
        <v/>
      </c>
      <c r="H402" s="259" t="str">
        <f t="shared" si="29"/>
        <v/>
      </c>
      <c r="I402" s="260"/>
    </row>
    <row r="403" spans="1:9">
      <c r="A403" s="255">
        <f t="shared" si="26"/>
        <v>401</v>
      </c>
      <c r="B403" s="256">
        <v>45022</v>
      </c>
      <c r="C403" s="257">
        <v>131.96858600000002</v>
      </c>
      <c r="D403" s="258">
        <v>98.829108483893535</v>
      </c>
      <c r="E403" s="257">
        <f t="shared" si="27"/>
        <v>98.829108483893535</v>
      </c>
      <c r="F403" s="263"/>
      <c r="G403" s="190" t="str">
        <f t="shared" si="28"/>
        <v/>
      </c>
      <c r="H403" s="259" t="str">
        <f t="shared" si="29"/>
        <v/>
      </c>
      <c r="I403" s="260"/>
    </row>
    <row r="404" spans="1:9">
      <c r="A404" s="255">
        <f t="shared" si="26"/>
        <v>402</v>
      </c>
      <c r="B404" s="256">
        <v>45023</v>
      </c>
      <c r="C404" s="257">
        <v>126.82693399999999</v>
      </c>
      <c r="D404" s="258">
        <v>98.829108483893535</v>
      </c>
      <c r="E404" s="257">
        <f t="shared" si="27"/>
        <v>98.829108483893535</v>
      </c>
      <c r="F404" s="263"/>
      <c r="G404" s="190" t="str">
        <f t="shared" si="28"/>
        <v/>
      </c>
      <c r="H404" s="259" t="str">
        <f t="shared" si="29"/>
        <v/>
      </c>
      <c r="I404" s="260"/>
    </row>
    <row r="405" spans="1:9">
      <c r="A405" s="255">
        <f t="shared" si="26"/>
        <v>403</v>
      </c>
      <c r="B405" s="256">
        <v>45024</v>
      </c>
      <c r="C405" s="257">
        <v>132.18222399999999</v>
      </c>
      <c r="D405" s="258">
        <v>98.829108483893535</v>
      </c>
      <c r="E405" s="257">
        <f t="shared" si="27"/>
        <v>98.829108483893535</v>
      </c>
      <c r="F405" s="263"/>
      <c r="G405" s="190" t="str">
        <f t="shared" si="28"/>
        <v/>
      </c>
      <c r="H405" s="259" t="str">
        <f t="shared" si="29"/>
        <v/>
      </c>
      <c r="I405" s="260"/>
    </row>
    <row r="406" spans="1:9">
      <c r="A406" s="255">
        <f t="shared" si="26"/>
        <v>404</v>
      </c>
      <c r="B406" s="256">
        <v>45025</v>
      </c>
      <c r="C406" s="257">
        <v>116.71104700000001</v>
      </c>
      <c r="D406" s="258">
        <v>98.829108483893535</v>
      </c>
      <c r="E406" s="257">
        <f t="shared" si="27"/>
        <v>98.829108483893535</v>
      </c>
      <c r="F406" s="263"/>
      <c r="G406" s="190" t="str">
        <f t="shared" si="28"/>
        <v/>
      </c>
      <c r="H406" s="259" t="str">
        <f t="shared" si="29"/>
        <v/>
      </c>
      <c r="I406" s="260"/>
    </row>
    <row r="407" spans="1:9">
      <c r="A407" s="255">
        <f t="shared" si="26"/>
        <v>405</v>
      </c>
      <c r="B407" s="256">
        <v>45026</v>
      </c>
      <c r="C407" s="257">
        <v>114.17147</v>
      </c>
      <c r="D407" s="258">
        <v>98.829108483893535</v>
      </c>
      <c r="E407" s="257">
        <f t="shared" si="27"/>
        <v>98.829108483893535</v>
      </c>
      <c r="F407" s="263"/>
      <c r="G407" s="190" t="str">
        <f t="shared" si="28"/>
        <v/>
      </c>
      <c r="H407" s="259" t="str">
        <f t="shared" si="29"/>
        <v/>
      </c>
      <c r="I407" s="260"/>
    </row>
    <row r="408" spans="1:9">
      <c r="A408" s="255">
        <f t="shared" si="26"/>
        <v>406</v>
      </c>
      <c r="B408" s="256">
        <v>45027</v>
      </c>
      <c r="C408" s="257">
        <v>138.33109600000003</v>
      </c>
      <c r="D408" s="258">
        <v>98.829108483893535</v>
      </c>
      <c r="E408" s="257">
        <f t="shared" si="27"/>
        <v>98.829108483893535</v>
      </c>
      <c r="F408" s="263"/>
      <c r="G408" s="190" t="str">
        <f t="shared" si="28"/>
        <v/>
      </c>
      <c r="H408" s="259" t="str">
        <f t="shared" si="29"/>
        <v/>
      </c>
      <c r="I408" s="260"/>
    </row>
    <row r="409" spans="1:9">
      <c r="A409" s="255">
        <f t="shared" si="26"/>
        <v>407</v>
      </c>
      <c r="B409" s="256">
        <v>45028</v>
      </c>
      <c r="C409" s="257">
        <v>104.06918</v>
      </c>
      <c r="D409" s="258">
        <v>98.829108483893535</v>
      </c>
      <c r="E409" s="257">
        <f t="shared" si="27"/>
        <v>98.829108483893535</v>
      </c>
      <c r="F409" s="263"/>
      <c r="G409" s="190" t="str">
        <f t="shared" si="28"/>
        <v/>
      </c>
      <c r="H409" s="259" t="str">
        <f t="shared" si="29"/>
        <v/>
      </c>
      <c r="I409" s="260"/>
    </row>
    <row r="410" spans="1:9">
      <c r="A410" s="255">
        <f t="shared" si="26"/>
        <v>408</v>
      </c>
      <c r="B410" s="256">
        <v>45029</v>
      </c>
      <c r="C410" s="257">
        <v>121.37198299999999</v>
      </c>
      <c r="D410" s="258">
        <v>98.829108483893535</v>
      </c>
      <c r="E410" s="257">
        <f t="shared" si="27"/>
        <v>98.829108483893535</v>
      </c>
      <c r="F410" s="263"/>
      <c r="G410" s="190" t="str">
        <f t="shared" si="28"/>
        <v/>
      </c>
      <c r="H410" s="259" t="str">
        <f t="shared" si="29"/>
        <v/>
      </c>
      <c r="I410" s="260"/>
    </row>
    <row r="411" spans="1:9">
      <c r="A411" s="255">
        <f t="shared" si="26"/>
        <v>409</v>
      </c>
      <c r="B411" s="256">
        <v>45030</v>
      </c>
      <c r="C411" s="257">
        <v>110.630771</v>
      </c>
      <c r="D411" s="258">
        <v>98.829108483893535</v>
      </c>
      <c r="E411" s="257">
        <f t="shared" si="27"/>
        <v>98.829108483893535</v>
      </c>
      <c r="F411" s="263"/>
      <c r="G411" s="190" t="str">
        <f t="shared" si="28"/>
        <v/>
      </c>
      <c r="H411" s="259" t="str">
        <f t="shared" si="29"/>
        <v/>
      </c>
      <c r="I411" s="260"/>
    </row>
    <row r="412" spans="1:9">
      <c r="A412" s="255">
        <f t="shared" si="26"/>
        <v>410</v>
      </c>
      <c r="B412" s="256">
        <v>45031</v>
      </c>
      <c r="C412" s="257">
        <v>122.35445199999999</v>
      </c>
      <c r="D412" s="258">
        <v>98.829108483893535</v>
      </c>
      <c r="E412" s="257">
        <f t="shared" si="27"/>
        <v>98.829108483893535</v>
      </c>
      <c r="F412" s="263"/>
      <c r="G412" s="190" t="str">
        <f t="shared" si="28"/>
        <v>A</v>
      </c>
      <c r="H412" s="259" t="str">
        <f t="shared" si="29"/>
        <v>98,8</v>
      </c>
      <c r="I412" s="260"/>
    </row>
    <row r="413" spans="1:9">
      <c r="A413" s="255">
        <f t="shared" si="26"/>
        <v>411</v>
      </c>
      <c r="B413" s="256">
        <v>45032</v>
      </c>
      <c r="C413" s="257">
        <v>119.342474</v>
      </c>
      <c r="D413" s="258">
        <v>98.829108483893535</v>
      </c>
      <c r="E413" s="257">
        <f t="shared" si="27"/>
        <v>98.829108483893535</v>
      </c>
      <c r="F413" s="263"/>
      <c r="G413" s="190" t="str">
        <f t="shared" si="28"/>
        <v/>
      </c>
      <c r="H413" s="259" t="str">
        <f t="shared" si="29"/>
        <v/>
      </c>
      <c r="I413" s="260"/>
    </row>
    <row r="414" spans="1:9">
      <c r="A414" s="255">
        <f t="shared" si="26"/>
        <v>412</v>
      </c>
      <c r="B414" s="256">
        <v>45033</v>
      </c>
      <c r="C414" s="257">
        <v>144.188198</v>
      </c>
      <c r="D414" s="258">
        <v>98.829108483893535</v>
      </c>
      <c r="E414" s="257">
        <f t="shared" si="27"/>
        <v>98.829108483893535</v>
      </c>
      <c r="F414" s="263"/>
      <c r="G414" s="190" t="str">
        <f t="shared" si="28"/>
        <v/>
      </c>
      <c r="H414" s="259" t="str">
        <f t="shared" si="29"/>
        <v/>
      </c>
      <c r="I414" s="260"/>
    </row>
    <row r="415" spans="1:9">
      <c r="A415" s="255">
        <f t="shared" si="26"/>
        <v>413</v>
      </c>
      <c r="B415" s="256">
        <v>45034</v>
      </c>
      <c r="C415" s="257">
        <v>145.05044599999999</v>
      </c>
      <c r="D415" s="258">
        <v>98.829108483893535</v>
      </c>
      <c r="E415" s="257">
        <f t="shared" si="27"/>
        <v>98.829108483893535</v>
      </c>
      <c r="F415" s="263"/>
      <c r="G415" s="190" t="str">
        <f t="shared" si="28"/>
        <v/>
      </c>
      <c r="H415" s="259" t="str">
        <f t="shared" si="29"/>
        <v/>
      </c>
      <c r="I415" s="260"/>
    </row>
    <row r="416" spans="1:9">
      <c r="A416" s="255">
        <f t="shared" si="26"/>
        <v>414</v>
      </c>
      <c r="B416" s="256">
        <v>45035</v>
      </c>
      <c r="C416" s="257">
        <v>136.194278</v>
      </c>
      <c r="D416" s="258">
        <v>98.829108483893535</v>
      </c>
      <c r="E416" s="257">
        <f t="shared" si="27"/>
        <v>98.829108483893535</v>
      </c>
      <c r="F416" s="263"/>
      <c r="G416" s="190" t="str">
        <f t="shared" si="28"/>
        <v/>
      </c>
      <c r="H416" s="259" t="str">
        <f t="shared" si="29"/>
        <v/>
      </c>
      <c r="I416" s="260"/>
    </row>
    <row r="417" spans="1:9">
      <c r="A417" s="255">
        <f t="shared" si="26"/>
        <v>415</v>
      </c>
      <c r="B417" s="256">
        <v>45036</v>
      </c>
      <c r="C417" s="257">
        <v>139.79872800000001</v>
      </c>
      <c r="D417" s="258">
        <v>98.829108483893535</v>
      </c>
      <c r="E417" s="257">
        <f t="shared" si="27"/>
        <v>98.829108483893535</v>
      </c>
      <c r="F417" s="263"/>
      <c r="G417" s="190" t="str">
        <f t="shared" si="28"/>
        <v/>
      </c>
      <c r="H417" s="259" t="str">
        <f t="shared" si="29"/>
        <v/>
      </c>
      <c r="I417" s="260"/>
    </row>
    <row r="418" spans="1:9">
      <c r="A418" s="255">
        <f t="shared" si="26"/>
        <v>416</v>
      </c>
      <c r="B418" s="256">
        <v>45037</v>
      </c>
      <c r="C418" s="257">
        <v>114.334315</v>
      </c>
      <c r="D418" s="258">
        <v>98.829108483893535</v>
      </c>
      <c r="E418" s="257">
        <f t="shared" si="27"/>
        <v>98.829108483893535</v>
      </c>
      <c r="F418" s="263"/>
      <c r="G418" s="190" t="str">
        <f t="shared" si="28"/>
        <v/>
      </c>
      <c r="H418" s="259" t="str">
        <f t="shared" si="29"/>
        <v/>
      </c>
      <c r="I418" s="260"/>
    </row>
    <row r="419" spans="1:9">
      <c r="A419" s="255">
        <f t="shared" si="26"/>
        <v>417</v>
      </c>
      <c r="B419" s="256">
        <v>45038</v>
      </c>
      <c r="C419" s="257">
        <v>107.769004</v>
      </c>
      <c r="D419" s="258">
        <v>98.829108483893535</v>
      </c>
      <c r="E419" s="257">
        <f t="shared" si="27"/>
        <v>98.829108483893535</v>
      </c>
      <c r="F419" s="263"/>
      <c r="G419" s="190" t="str">
        <f t="shared" si="28"/>
        <v/>
      </c>
      <c r="H419" s="259" t="str">
        <f t="shared" si="29"/>
        <v/>
      </c>
      <c r="I419" s="260"/>
    </row>
    <row r="420" spans="1:9">
      <c r="A420" s="255">
        <f t="shared" si="26"/>
        <v>418</v>
      </c>
      <c r="B420" s="256">
        <v>45039</v>
      </c>
      <c r="C420" s="257">
        <v>116.34672400000001</v>
      </c>
      <c r="D420" s="258">
        <v>98.829108483893535</v>
      </c>
      <c r="E420" s="257">
        <f t="shared" si="27"/>
        <v>98.829108483893535</v>
      </c>
      <c r="F420" s="263"/>
      <c r="G420" s="190" t="str">
        <f t="shared" si="28"/>
        <v/>
      </c>
      <c r="H420" s="259" t="str">
        <f t="shared" si="29"/>
        <v/>
      </c>
      <c r="I420" s="260"/>
    </row>
    <row r="421" spans="1:9">
      <c r="A421" s="255">
        <f t="shared" si="26"/>
        <v>419</v>
      </c>
      <c r="B421" s="256">
        <v>45040</v>
      </c>
      <c r="C421" s="257">
        <v>145.25350899999998</v>
      </c>
      <c r="D421" s="258">
        <v>98.829108483893535</v>
      </c>
      <c r="E421" s="257">
        <f t="shared" si="27"/>
        <v>98.829108483893535</v>
      </c>
      <c r="F421" s="263"/>
      <c r="G421" s="190" t="str">
        <f t="shared" si="28"/>
        <v/>
      </c>
      <c r="H421" s="259" t="str">
        <f t="shared" si="29"/>
        <v/>
      </c>
      <c r="I421" s="260"/>
    </row>
    <row r="422" spans="1:9">
      <c r="A422" s="255">
        <f t="shared" si="26"/>
        <v>420</v>
      </c>
      <c r="B422" s="256">
        <v>45041</v>
      </c>
      <c r="C422" s="257">
        <v>143.50723099999999</v>
      </c>
      <c r="D422" s="258">
        <v>98.829108483893535</v>
      </c>
      <c r="E422" s="257">
        <f t="shared" si="27"/>
        <v>98.829108483893535</v>
      </c>
      <c r="F422" s="263"/>
      <c r="G422" s="190" t="str">
        <f t="shared" si="28"/>
        <v/>
      </c>
      <c r="H422" s="259" t="str">
        <f t="shared" si="29"/>
        <v/>
      </c>
      <c r="I422" s="260"/>
    </row>
    <row r="423" spans="1:9">
      <c r="A423" s="255">
        <f t="shared" si="26"/>
        <v>421</v>
      </c>
      <c r="B423" s="256">
        <v>45042</v>
      </c>
      <c r="C423" s="257">
        <v>144.78818500000003</v>
      </c>
      <c r="D423" s="258">
        <v>98.829108483893535</v>
      </c>
      <c r="E423" s="257">
        <f t="shared" si="27"/>
        <v>98.829108483893535</v>
      </c>
      <c r="F423" s="263"/>
      <c r="G423" s="190" t="str">
        <f t="shared" si="28"/>
        <v/>
      </c>
      <c r="H423" s="259" t="str">
        <f t="shared" si="29"/>
        <v/>
      </c>
      <c r="I423" s="260"/>
    </row>
    <row r="424" spans="1:9">
      <c r="A424" s="255">
        <f t="shared" si="26"/>
        <v>422</v>
      </c>
      <c r="B424" s="256">
        <v>45043</v>
      </c>
      <c r="C424" s="257">
        <v>125.38563799999999</v>
      </c>
      <c r="D424" s="258">
        <v>98.829108483893535</v>
      </c>
      <c r="E424" s="257">
        <f t="shared" si="27"/>
        <v>98.829108483893535</v>
      </c>
      <c r="F424" s="263"/>
      <c r="G424" s="190" t="str">
        <f t="shared" si="28"/>
        <v/>
      </c>
      <c r="H424" s="259" t="str">
        <f t="shared" si="29"/>
        <v/>
      </c>
      <c r="I424" s="260"/>
    </row>
    <row r="425" spans="1:9">
      <c r="A425" s="255">
        <f t="shared" si="26"/>
        <v>423</v>
      </c>
      <c r="B425" s="256">
        <v>45044</v>
      </c>
      <c r="C425" s="257">
        <v>109.92610400000001</v>
      </c>
      <c r="D425" s="258">
        <v>98.829108483893535</v>
      </c>
      <c r="E425" s="257">
        <f t="shared" si="27"/>
        <v>98.829108483893535</v>
      </c>
      <c r="F425" s="263"/>
      <c r="G425" s="190" t="str">
        <f t="shared" si="28"/>
        <v/>
      </c>
      <c r="H425" s="259" t="str">
        <f t="shared" si="29"/>
        <v/>
      </c>
      <c r="I425" s="260"/>
    </row>
    <row r="426" spans="1:9">
      <c r="A426" s="255">
        <f t="shared" si="26"/>
        <v>424</v>
      </c>
      <c r="B426" s="256">
        <v>45045</v>
      </c>
      <c r="C426" s="257">
        <v>103.34577400000001</v>
      </c>
      <c r="D426" s="258">
        <v>98.829108483893535</v>
      </c>
      <c r="E426" s="257">
        <f t="shared" si="27"/>
        <v>98.829108483893535</v>
      </c>
      <c r="F426" s="263"/>
      <c r="G426" s="190" t="str">
        <f t="shared" si="28"/>
        <v/>
      </c>
      <c r="H426" s="259" t="str">
        <f t="shared" si="29"/>
        <v/>
      </c>
      <c r="I426" s="260"/>
    </row>
    <row r="427" spans="1:9">
      <c r="A427" s="255">
        <f t="shared" si="26"/>
        <v>425</v>
      </c>
      <c r="B427" s="256">
        <v>45046</v>
      </c>
      <c r="C427" s="257">
        <v>110.06460700000001</v>
      </c>
      <c r="D427" s="258">
        <v>98.829108483893535</v>
      </c>
      <c r="E427" s="257">
        <f t="shared" si="27"/>
        <v>98.829108483893535</v>
      </c>
      <c r="F427" s="263"/>
      <c r="G427" s="190" t="str">
        <f t="shared" si="28"/>
        <v/>
      </c>
      <c r="H427" s="259" t="str">
        <f t="shared" si="29"/>
        <v/>
      </c>
      <c r="I427" s="260"/>
    </row>
    <row r="428" spans="1:9">
      <c r="A428" s="255">
        <f t="shared" si="26"/>
        <v>426</v>
      </c>
      <c r="B428" s="256">
        <v>45047</v>
      </c>
      <c r="C428" s="257">
        <v>127.70328099999999</v>
      </c>
      <c r="D428" s="258">
        <v>116.21973299154708</v>
      </c>
      <c r="E428" s="257">
        <f t="shared" si="27"/>
        <v>116.21973299154708</v>
      </c>
      <c r="F428" s="260"/>
      <c r="G428" s="190" t="str">
        <f t="shared" si="28"/>
        <v/>
      </c>
      <c r="H428" s="259" t="str">
        <f t="shared" si="29"/>
        <v/>
      </c>
      <c r="I428" s="260"/>
    </row>
    <row r="429" spans="1:9">
      <c r="A429" s="255">
        <f t="shared" si="26"/>
        <v>427</v>
      </c>
      <c r="B429" s="256">
        <v>45048</v>
      </c>
      <c r="C429" s="257">
        <v>133.54557800000001</v>
      </c>
      <c r="D429" s="258">
        <v>116.21973299154708</v>
      </c>
      <c r="E429" s="257">
        <f t="shared" si="27"/>
        <v>116.21973299154708</v>
      </c>
      <c r="F429" s="263"/>
      <c r="G429" s="190" t="str">
        <f t="shared" si="28"/>
        <v/>
      </c>
      <c r="H429" s="259" t="str">
        <f t="shared" si="29"/>
        <v/>
      </c>
      <c r="I429" s="260"/>
    </row>
    <row r="430" spans="1:9">
      <c r="A430" s="255">
        <f t="shared" si="26"/>
        <v>428</v>
      </c>
      <c r="B430" s="256">
        <v>45049</v>
      </c>
      <c r="C430" s="257">
        <v>124.455432</v>
      </c>
      <c r="D430" s="258">
        <v>116.21973299154708</v>
      </c>
      <c r="E430" s="257">
        <f t="shared" si="27"/>
        <v>116.21973299154708</v>
      </c>
      <c r="F430" s="263"/>
      <c r="G430" s="190" t="str">
        <f t="shared" si="28"/>
        <v/>
      </c>
      <c r="H430" s="259" t="str">
        <f t="shared" si="29"/>
        <v/>
      </c>
      <c r="I430" s="260"/>
    </row>
    <row r="431" spans="1:9">
      <c r="A431" s="255">
        <f t="shared" si="26"/>
        <v>429</v>
      </c>
      <c r="B431" s="256">
        <v>45050</v>
      </c>
      <c r="C431" s="257">
        <v>140.48423600000001</v>
      </c>
      <c r="D431" s="258">
        <v>116.21973299154708</v>
      </c>
      <c r="E431" s="257">
        <f t="shared" si="27"/>
        <v>116.21973299154708</v>
      </c>
      <c r="F431" s="263"/>
      <c r="G431" s="190" t="str">
        <f t="shared" si="28"/>
        <v/>
      </c>
      <c r="H431" s="259" t="str">
        <f t="shared" si="29"/>
        <v/>
      </c>
      <c r="I431" s="260"/>
    </row>
    <row r="432" spans="1:9">
      <c r="A432" s="255">
        <f t="shared" si="26"/>
        <v>430</v>
      </c>
      <c r="B432" s="256">
        <v>45051</v>
      </c>
      <c r="C432" s="257">
        <v>155.09906099999998</v>
      </c>
      <c r="D432" s="258">
        <v>116.21973299154708</v>
      </c>
      <c r="E432" s="257">
        <f t="shared" si="27"/>
        <v>116.21973299154708</v>
      </c>
      <c r="F432" s="263"/>
      <c r="G432" s="190" t="str">
        <f t="shared" si="28"/>
        <v/>
      </c>
      <c r="H432" s="259" t="str">
        <f t="shared" si="29"/>
        <v/>
      </c>
      <c r="I432" s="260"/>
    </row>
    <row r="433" spans="1:9">
      <c r="A433" s="255">
        <f t="shared" si="26"/>
        <v>431</v>
      </c>
      <c r="B433" s="256">
        <v>45052</v>
      </c>
      <c r="C433" s="257">
        <v>142.350458</v>
      </c>
      <c r="D433" s="258">
        <v>116.21973299154708</v>
      </c>
      <c r="E433" s="257">
        <f t="shared" si="27"/>
        <v>116.21973299154708</v>
      </c>
      <c r="F433" s="263"/>
      <c r="G433" s="190" t="str">
        <f t="shared" si="28"/>
        <v/>
      </c>
      <c r="H433" s="259" t="str">
        <f t="shared" si="29"/>
        <v/>
      </c>
      <c r="I433" s="260"/>
    </row>
    <row r="434" spans="1:9">
      <c r="A434" s="255">
        <f t="shared" si="26"/>
        <v>432</v>
      </c>
      <c r="B434" s="256">
        <v>45053</v>
      </c>
      <c r="C434" s="257">
        <v>142.07624900000002</v>
      </c>
      <c r="D434" s="258">
        <v>116.21973299154708</v>
      </c>
      <c r="E434" s="257">
        <f t="shared" si="27"/>
        <v>116.21973299154708</v>
      </c>
      <c r="F434" s="263"/>
      <c r="G434" s="190" t="str">
        <f t="shared" si="28"/>
        <v/>
      </c>
      <c r="H434" s="259" t="str">
        <f t="shared" si="29"/>
        <v/>
      </c>
      <c r="I434" s="260"/>
    </row>
    <row r="435" spans="1:9">
      <c r="A435" s="255">
        <f t="shared" si="26"/>
        <v>433</v>
      </c>
      <c r="B435" s="256">
        <v>45054</v>
      </c>
      <c r="C435" s="257">
        <v>140.72897700000001</v>
      </c>
      <c r="D435" s="258">
        <v>116.21973299154708</v>
      </c>
      <c r="E435" s="257">
        <f t="shared" si="27"/>
        <v>116.21973299154708</v>
      </c>
      <c r="F435" s="263"/>
      <c r="G435" s="190" t="str">
        <f t="shared" si="28"/>
        <v/>
      </c>
      <c r="H435" s="259" t="str">
        <f t="shared" si="29"/>
        <v/>
      </c>
      <c r="I435" s="260"/>
    </row>
    <row r="436" spans="1:9">
      <c r="A436" s="255">
        <f t="shared" si="26"/>
        <v>434</v>
      </c>
      <c r="B436" s="256">
        <v>45055</v>
      </c>
      <c r="C436" s="257">
        <v>137.97235899999998</v>
      </c>
      <c r="D436" s="258">
        <v>116.21973299154708</v>
      </c>
      <c r="E436" s="257">
        <f t="shared" si="27"/>
        <v>116.21973299154708</v>
      </c>
      <c r="F436" s="263"/>
      <c r="G436" s="190" t="str">
        <f t="shared" si="28"/>
        <v/>
      </c>
      <c r="H436" s="259" t="str">
        <f t="shared" si="29"/>
        <v/>
      </c>
      <c r="I436" s="260"/>
    </row>
    <row r="437" spans="1:9">
      <c r="A437" s="255">
        <f t="shared" si="26"/>
        <v>435</v>
      </c>
      <c r="B437" s="256">
        <v>45056</v>
      </c>
      <c r="C437" s="257">
        <v>154.38725099999999</v>
      </c>
      <c r="D437" s="258">
        <v>116.21973299154708</v>
      </c>
      <c r="E437" s="257">
        <f t="shared" si="27"/>
        <v>116.21973299154708</v>
      </c>
      <c r="F437" s="263"/>
      <c r="G437" s="190" t="str">
        <f t="shared" si="28"/>
        <v/>
      </c>
      <c r="H437" s="259" t="str">
        <f t="shared" si="29"/>
        <v/>
      </c>
      <c r="I437" s="260"/>
    </row>
    <row r="438" spans="1:9">
      <c r="A438" s="255">
        <f t="shared" si="26"/>
        <v>436</v>
      </c>
      <c r="B438" s="256">
        <v>45057</v>
      </c>
      <c r="C438" s="257">
        <v>147.037983</v>
      </c>
      <c r="D438" s="258">
        <v>116.21973299154708</v>
      </c>
      <c r="E438" s="257">
        <f t="shared" si="27"/>
        <v>116.21973299154708</v>
      </c>
      <c r="F438" s="263"/>
      <c r="G438" s="190" t="str">
        <f t="shared" si="28"/>
        <v/>
      </c>
      <c r="H438" s="259" t="str">
        <f t="shared" si="29"/>
        <v/>
      </c>
      <c r="I438" s="260"/>
    </row>
    <row r="439" spans="1:9">
      <c r="A439" s="255">
        <f t="shared" si="26"/>
        <v>437</v>
      </c>
      <c r="B439" s="256">
        <v>45058</v>
      </c>
      <c r="C439" s="257">
        <v>136.12856500000001</v>
      </c>
      <c r="D439" s="258">
        <v>116.21973299154708</v>
      </c>
      <c r="E439" s="257">
        <f t="shared" si="27"/>
        <v>116.21973299154708</v>
      </c>
      <c r="F439" s="263"/>
      <c r="G439" s="190" t="str">
        <f t="shared" si="28"/>
        <v/>
      </c>
      <c r="H439" s="259" t="str">
        <f t="shared" si="29"/>
        <v/>
      </c>
      <c r="I439" s="260"/>
    </row>
    <row r="440" spans="1:9">
      <c r="A440" s="255">
        <f t="shared" si="26"/>
        <v>438</v>
      </c>
      <c r="B440" s="256">
        <v>45059</v>
      </c>
      <c r="C440" s="257">
        <v>134.17357800000002</v>
      </c>
      <c r="D440" s="258">
        <v>116.21973299154708</v>
      </c>
      <c r="E440" s="257">
        <f t="shared" si="27"/>
        <v>116.21973299154708</v>
      </c>
      <c r="F440" s="263"/>
      <c r="G440" s="190" t="str">
        <f t="shared" si="28"/>
        <v/>
      </c>
      <c r="H440" s="259" t="str">
        <f t="shared" si="29"/>
        <v/>
      </c>
      <c r="I440" s="260"/>
    </row>
    <row r="441" spans="1:9">
      <c r="A441" s="255">
        <f t="shared" si="26"/>
        <v>439</v>
      </c>
      <c r="B441" s="256">
        <v>45060</v>
      </c>
      <c r="C441" s="257">
        <v>122.26504100000001</v>
      </c>
      <c r="D441" s="258">
        <v>116.21973299154708</v>
      </c>
      <c r="E441" s="257">
        <f t="shared" si="27"/>
        <v>116.21973299154708</v>
      </c>
      <c r="F441" s="263"/>
      <c r="G441" s="190" t="str">
        <f t="shared" si="28"/>
        <v/>
      </c>
      <c r="H441" s="259" t="str">
        <f t="shared" si="29"/>
        <v/>
      </c>
      <c r="I441" s="260"/>
    </row>
    <row r="442" spans="1:9">
      <c r="A442" s="255">
        <f t="shared" si="26"/>
        <v>440</v>
      </c>
      <c r="B442" s="256">
        <v>45061</v>
      </c>
      <c r="C442" s="257">
        <v>144.82706199999998</v>
      </c>
      <c r="D442" s="258">
        <v>116.21973299154708</v>
      </c>
      <c r="E442" s="257">
        <f t="shared" si="27"/>
        <v>116.21973299154708</v>
      </c>
      <c r="F442" s="263"/>
      <c r="G442" s="190" t="str">
        <f t="shared" si="28"/>
        <v>M</v>
      </c>
      <c r="H442" s="259" t="str">
        <f t="shared" si="29"/>
        <v>116,2</v>
      </c>
      <c r="I442" s="260"/>
    </row>
    <row r="443" spans="1:9">
      <c r="A443" s="255">
        <f t="shared" si="26"/>
        <v>441</v>
      </c>
      <c r="B443" s="256">
        <v>45062</v>
      </c>
      <c r="C443" s="257">
        <v>150.76968199999999</v>
      </c>
      <c r="D443" s="258">
        <v>116.21973299154708</v>
      </c>
      <c r="E443" s="257">
        <f t="shared" si="27"/>
        <v>116.21973299154708</v>
      </c>
      <c r="F443" s="263"/>
      <c r="G443" s="190" t="str">
        <f t="shared" si="28"/>
        <v/>
      </c>
      <c r="H443" s="259" t="str">
        <f t="shared" si="29"/>
        <v/>
      </c>
      <c r="I443" s="260"/>
    </row>
    <row r="444" spans="1:9">
      <c r="A444" s="255">
        <f t="shared" si="26"/>
        <v>442</v>
      </c>
      <c r="B444" s="256">
        <v>45063</v>
      </c>
      <c r="C444" s="257">
        <v>121.58065300000001</v>
      </c>
      <c r="D444" s="258">
        <v>116.21973299154708</v>
      </c>
      <c r="E444" s="257">
        <f t="shared" si="27"/>
        <v>116.21973299154708</v>
      </c>
      <c r="F444" s="263"/>
      <c r="G444" s="190" t="str">
        <f t="shared" si="28"/>
        <v/>
      </c>
      <c r="H444" s="259" t="str">
        <f t="shared" si="29"/>
        <v/>
      </c>
      <c r="I444" s="260"/>
    </row>
    <row r="445" spans="1:9">
      <c r="A445" s="255">
        <f t="shared" si="26"/>
        <v>443</v>
      </c>
      <c r="B445" s="256">
        <v>45064</v>
      </c>
      <c r="C445" s="257">
        <v>126.31832799999999</v>
      </c>
      <c r="D445" s="258">
        <v>116.21973299154708</v>
      </c>
      <c r="E445" s="257">
        <f t="shared" si="27"/>
        <v>116.21973299154708</v>
      </c>
      <c r="F445" s="263"/>
      <c r="G445" s="190" t="str">
        <f t="shared" si="28"/>
        <v/>
      </c>
      <c r="H445" s="259" t="str">
        <f t="shared" si="29"/>
        <v/>
      </c>
      <c r="I445" s="260"/>
    </row>
    <row r="446" spans="1:9">
      <c r="A446" s="255">
        <f t="shared" si="26"/>
        <v>444</v>
      </c>
      <c r="B446" s="256">
        <v>45065</v>
      </c>
      <c r="C446" s="257">
        <v>127.47469700000001</v>
      </c>
      <c r="D446" s="258">
        <v>116.21973299154708</v>
      </c>
      <c r="E446" s="257">
        <f t="shared" si="27"/>
        <v>116.21973299154708</v>
      </c>
      <c r="F446" s="263"/>
      <c r="G446" s="190" t="str">
        <f t="shared" si="28"/>
        <v/>
      </c>
      <c r="H446" s="259" t="str">
        <f t="shared" si="29"/>
        <v/>
      </c>
      <c r="I446" s="260"/>
    </row>
    <row r="447" spans="1:9">
      <c r="A447" s="255">
        <f t="shared" si="26"/>
        <v>445</v>
      </c>
      <c r="B447" s="256">
        <v>45066</v>
      </c>
      <c r="C447" s="257">
        <v>109.751002</v>
      </c>
      <c r="D447" s="258">
        <v>116.21973299154708</v>
      </c>
      <c r="E447" s="257">
        <f t="shared" si="27"/>
        <v>109.751002</v>
      </c>
      <c r="F447" s="263"/>
      <c r="G447" s="190" t="str">
        <f t="shared" si="28"/>
        <v/>
      </c>
      <c r="H447" s="259" t="str">
        <f t="shared" si="29"/>
        <v/>
      </c>
      <c r="I447" s="260"/>
    </row>
    <row r="448" spans="1:9">
      <c r="A448" s="255">
        <f t="shared" si="26"/>
        <v>446</v>
      </c>
      <c r="B448" s="256">
        <v>45067</v>
      </c>
      <c r="C448" s="257">
        <v>100.609866</v>
      </c>
      <c r="D448" s="258">
        <v>116.21973299154708</v>
      </c>
      <c r="E448" s="257">
        <f t="shared" si="27"/>
        <v>100.609866</v>
      </c>
      <c r="F448" s="263"/>
      <c r="G448" s="190" t="str">
        <f t="shared" si="28"/>
        <v/>
      </c>
      <c r="H448" s="259" t="str">
        <f t="shared" si="29"/>
        <v/>
      </c>
      <c r="I448" s="260"/>
    </row>
    <row r="449" spans="1:9">
      <c r="A449" s="255">
        <f t="shared" si="26"/>
        <v>447</v>
      </c>
      <c r="B449" s="256">
        <v>45068</v>
      </c>
      <c r="C449" s="257">
        <v>76.472811000000007</v>
      </c>
      <c r="D449" s="258">
        <v>116.21973299154708</v>
      </c>
      <c r="E449" s="257">
        <f t="shared" si="27"/>
        <v>76.472811000000007</v>
      </c>
      <c r="F449" s="263"/>
      <c r="G449" s="190" t="str">
        <f t="shared" si="28"/>
        <v/>
      </c>
      <c r="H449" s="259" t="str">
        <f t="shared" si="29"/>
        <v/>
      </c>
      <c r="I449" s="260"/>
    </row>
    <row r="450" spans="1:9">
      <c r="A450" s="255">
        <f t="shared" si="26"/>
        <v>448</v>
      </c>
      <c r="B450" s="256">
        <v>45069</v>
      </c>
      <c r="C450" s="257">
        <v>76.783833000000001</v>
      </c>
      <c r="D450" s="258">
        <v>116.21973299154708</v>
      </c>
      <c r="E450" s="257">
        <f t="shared" si="27"/>
        <v>76.783833000000001</v>
      </c>
      <c r="F450" s="263"/>
      <c r="G450" s="190" t="str">
        <f t="shared" si="28"/>
        <v/>
      </c>
      <c r="H450" s="259" t="str">
        <f t="shared" si="29"/>
        <v/>
      </c>
      <c r="I450" s="260"/>
    </row>
    <row r="451" spans="1:9">
      <c r="A451" s="255">
        <f t="shared" si="26"/>
        <v>449</v>
      </c>
      <c r="B451" s="256">
        <v>45070</v>
      </c>
      <c r="C451" s="257">
        <v>110.17815299999999</v>
      </c>
      <c r="D451" s="258">
        <v>116.21973299154708</v>
      </c>
      <c r="E451" s="257">
        <f t="shared" si="27"/>
        <v>110.17815299999999</v>
      </c>
      <c r="F451" s="263"/>
      <c r="G451" s="190" t="str">
        <f t="shared" si="28"/>
        <v/>
      </c>
      <c r="H451" s="259" t="str">
        <f t="shared" si="29"/>
        <v/>
      </c>
      <c r="I451" s="260"/>
    </row>
    <row r="452" spans="1:9">
      <c r="A452" s="255">
        <f t="shared" ref="A452:A515" si="30">+A451+1</f>
        <v>450</v>
      </c>
      <c r="B452" s="256">
        <v>45071</v>
      </c>
      <c r="C452" s="257">
        <v>123.15555499999999</v>
      </c>
      <c r="D452" s="258">
        <v>116.21973299154708</v>
      </c>
      <c r="E452" s="257">
        <f t="shared" ref="E452:E515" si="31">IF(C452&gt;D452,D452,C452)</f>
        <v>116.21973299154708</v>
      </c>
      <c r="F452" s="263"/>
      <c r="G452" s="190" t="str">
        <f t="shared" ref="G452:G515" si="32">IF(DAY(B452)=15,IF(MONTH(B452)=1,"E",IF(MONTH(B452)=2,"F",IF(MONTH(B452)=3,"M",IF(MONTH(B452)=4,"A",IF(MONTH(B452)=5,"M",IF(MONTH(B452)=6,"J",IF(MONTH(B452)=7,"J",IF(MONTH(B452)=8,"A",IF(MONTH(B452)=9,"S",IF(MONTH(B452)=10,"O",IF(MONTH(B452)=11,"N",IF(MONTH(B452)=12,"D","")))))))))))),"")</f>
        <v/>
      </c>
      <c r="H452" s="259" t="str">
        <f t="shared" ref="H452:H515" si="33">IF(DAY($B452)=15,TEXT(D452,"#,0"),"")</f>
        <v/>
      </c>
      <c r="I452" s="260"/>
    </row>
    <row r="453" spans="1:9">
      <c r="A453" s="255">
        <f t="shared" si="30"/>
        <v>451</v>
      </c>
      <c r="B453" s="256">
        <v>45072</v>
      </c>
      <c r="C453" s="257">
        <v>93.167641000000003</v>
      </c>
      <c r="D453" s="258">
        <v>116.21973299154708</v>
      </c>
      <c r="E453" s="257">
        <f t="shared" si="31"/>
        <v>93.167641000000003</v>
      </c>
      <c r="F453" s="263"/>
      <c r="G453" s="190" t="str">
        <f t="shared" si="32"/>
        <v/>
      </c>
      <c r="H453" s="259" t="str">
        <f t="shared" si="33"/>
        <v/>
      </c>
      <c r="I453" s="260"/>
    </row>
    <row r="454" spans="1:9">
      <c r="A454" s="255">
        <f t="shared" si="30"/>
        <v>452</v>
      </c>
      <c r="B454" s="256">
        <v>45073</v>
      </c>
      <c r="C454" s="257">
        <v>72.789244999999994</v>
      </c>
      <c r="D454" s="258">
        <v>116.21973299154708</v>
      </c>
      <c r="E454" s="257">
        <f t="shared" si="31"/>
        <v>72.789244999999994</v>
      </c>
      <c r="F454" s="263"/>
      <c r="G454" s="190" t="str">
        <f t="shared" si="32"/>
        <v/>
      </c>
      <c r="H454" s="259" t="str">
        <f t="shared" si="33"/>
        <v/>
      </c>
      <c r="I454" s="260"/>
    </row>
    <row r="455" spans="1:9">
      <c r="A455" s="255">
        <f t="shared" si="30"/>
        <v>453</v>
      </c>
      <c r="B455" s="256">
        <v>45074</v>
      </c>
      <c r="C455" s="257">
        <v>85.305626999999987</v>
      </c>
      <c r="D455" s="258">
        <v>116.21973299154708</v>
      </c>
      <c r="E455" s="257">
        <f t="shared" si="31"/>
        <v>85.305626999999987</v>
      </c>
      <c r="F455" s="263"/>
      <c r="G455" s="190" t="str">
        <f t="shared" si="32"/>
        <v/>
      </c>
      <c r="H455" s="259" t="str">
        <f t="shared" si="33"/>
        <v/>
      </c>
      <c r="I455" s="260"/>
    </row>
    <row r="456" spans="1:9">
      <c r="A456" s="255">
        <f t="shared" si="30"/>
        <v>454</v>
      </c>
      <c r="B456" s="256">
        <v>45075</v>
      </c>
      <c r="C456" s="257">
        <v>105.54447400000001</v>
      </c>
      <c r="D456" s="258">
        <v>116.21973299154708</v>
      </c>
      <c r="E456" s="257">
        <f t="shared" si="31"/>
        <v>105.54447400000001</v>
      </c>
      <c r="F456" s="263"/>
      <c r="G456" s="190" t="str">
        <f t="shared" si="32"/>
        <v/>
      </c>
      <c r="H456" s="259" t="str">
        <f t="shared" si="33"/>
        <v/>
      </c>
      <c r="I456" s="260"/>
    </row>
    <row r="457" spans="1:9">
      <c r="A457" s="255">
        <f t="shared" si="30"/>
        <v>455</v>
      </c>
      <c r="B457" s="256">
        <v>45076</v>
      </c>
      <c r="C457" s="257">
        <v>106.250502</v>
      </c>
      <c r="D457" s="258">
        <v>116.21973299154708</v>
      </c>
      <c r="E457" s="257">
        <f t="shared" si="31"/>
        <v>106.250502</v>
      </c>
      <c r="F457" s="263"/>
      <c r="G457" s="190" t="str">
        <f t="shared" si="32"/>
        <v/>
      </c>
      <c r="H457" s="259" t="str">
        <f t="shared" si="33"/>
        <v/>
      </c>
      <c r="I457" s="260"/>
    </row>
    <row r="458" spans="1:9">
      <c r="A458" s="255">
        <f t="shared" si="30"/>
        <v>456</v>
      </c>
      <c r="B458" s="256">
        <v>45077</v>
      </c>
      <c r="C458" s="257">
        <v>129.569952</v>
      </c>
      <c r="D458" s="258">
        <v>116.21973299154708</v>
      </c>
      <c r="E458" s="257">
        <f t="shared" si="31"/>
        <v>116.21973299154708</v>
      </c>
      <c r="F458" s="263"/>
      <c r="G458" s="190" t="str">
        <f t="shared" si="32"/>
        <v/>
      </c>
      <c r="H458" s="259" t="str">
        <f t="shared" si="33"/>
        <v/>
      </c>
      <c r="I458" s="260"/>
    </row>
    <row r="459" spans="1:9">
      <c r="A459" s="255">
        <f t="shared" si="30"/>
        <v>457</v>
      </c>
      <c r="B459" s="256">
        <v>45078</v>
      </c>
      <c r="C459" s="257">
        <v>98.401563999999993</v>
      </c>
      <c r="D459" s="258">
        <v>121.20108814209858</v>
      </c>
      <c r="E459" s="257">
        <f t="shared" si="31"/>
        <v>98.401563999999993</v>
      </c>
      <c r="F459" s="260"/>
      <c r="G459" s="190" t="str">
        <f t="shared" si="32"/>
        <v/>
      </c>
      <c r="H459" s="259" t="str">
        <f t="shared" si="33"/>
        <v/>
      </c>
      <c r="I459" s="260"/>
    </row>
    <row r="460" spans="1:9">
      <c r="A460" s="255">
        <f t="shared" si="30"/>
        <v>458</v>
      </c>
      <c r="B460" s="256">
        <v>45079</v>
      </c>
      <c r="C460" s="257">
        <v>103.16937</v>
      </c>
      <c r="D460" s="258">
        <v>121.20108814209858</v>
      </c>
      <c r="E460" s="257">
        <f t="shared" si="31"/>
        <v>103.16937</v>
      </c>
      <c r="F460" s="263"/>
      <c r="G460" s="190" t="str">
        <f t="shared" si="32"/>
        <v/>
      </c>
      <c r="H460" s="259" t="str">
        <f t="shared" si="33"/>
        <v/>
      </c>
      <c r="I460" s="260"/>
    </row>
    <row r="461" spans="1:9">
      <c r="A461" s="255">
        <f t="shared" si="30"/>
        <v>459</v>
      </c>
      <c r="B461" s="256">
        <v>45080</v>
      </c>
      <c r="C461" s="257">
        <v>120.423085</v>
      </c>
      <c r="D461" s="258">
        <v>121.20108814209858</v>
      </c>
      <c r="E461" s="257">
        <f t="shared" si="31"/>
        <v>120.423085</v>
      </c>
      <c r="F461" s="263"/>
      <c r="G461" s="190" t="str">
        <f t="shared" si="32"/>
        <v/>
      </c>
      <c r="H461" s="259" t="str">
        <f t="shared" si="33"/>
        <v/>
      </c>
      <c r="I461" s="260"/>
    </row>
    <row r="462" spans="1:9">
      <c r="A462" s="255">
        <f t="shared" si="30"/>
        <v>460</v>
      </c>
      <c r="B462" s="256">
        <v>45081</v>
      </c>
      <c r="C462" s="257">
        <v>125.16096499999999</v>
      </c>
      <c r="D462" s="258">
        <v>121.20108814209858</v>
      </c>
      <c r="E462" s="257">
        <f t="shared" si="31"/>
        <v>121.20108814209858</v>
      </c>
      <c r="F462" s="263"/>
      <c r="G462" s="190" t="str">
        <f t="shared" si="32"/>
        <v/>
      </c>
      <c r="H462" s="259" t="str">
        <f t="shared" si="33"/>
        <v/>
      </c>
      <c r="I462" s="260"/>
    </row>
    <row r="463" spans="1:9">
      <c r="A463" s="255">
        <f t="shared" si="30"/>
        <v>461</v>
      </c>
      <c r="B463" s="256">
        <v>45082</v>
      </c>
      <c r="C463" s="257">
        <v>127.735816</v>
      </c>
      <c r="D463" s="258">
        <v>121.20108814209858</v>
      </c>
      <c r="E463" s="257">
        <f t="shared" si="31"/>
        <v>121.20108814209858</v>
      </c>
      <c r="F463" s="263"/>
      <c r="G463" s="190" t="str">
        <f t="shared" si="32"/>
        <v/>
      </c>
      <c r="H463" s="259" t="str">
        <f t="shared" si="33"/>
        <v/>
      </c>
      <c r="I463" s="260"/>
    </row>
    <row r="464" spans="1:9">
      <c r="A464" s="255">
        <f t="shared" si="30"/>
        <v>462</v>
      </c>
      <c r="B464" s="256">
        <v>45083</v>
      </c>
      <c r="C464" s="257">
        <v>141.15463800000001</v>
      </c>
      <c r="D464" s="258">
        <v>121.20108814209858</v>
      </c>
      <c r="E464" s="257">
        <f t="shared" si="31"/>
        <v>121.20108814209858</v>
      </c>
      <c r="F464" s="263"/>
      <c r="G464" s="190" t="str">
        <f t="shared" si="32"/>
        <v/>
      </c>
      <c r="H464" s="259" t="str">
        <f t="shared" si="33"/>
        <v/>
      </c>
      <c r="I464" s="260"/>
    </row>
    <row r="465" spans="1:9">
      <c r="A465" s="255">
        <f t="shared" si="30"/>
        <v>463</v>
      </c>
      <c r="B465" s="256">
        <v>45084</v>
      </c>
      <c r="C465" s="257">
        <v>59.535052999999998</v>
      </c>
      <c r="D465" s="258">
        <v>121.20108814209858</v>
      </c>
      <c r="E465" s="257">
        <f t="shared" si="31"/>
        <v>59.535052999999998</v>
      </c>
      <c r="F465" s="263"/>
      <c r="G465" s="190" t="str">
        <f t="shared" si="32"/>
        <v/>
      </c>
      <c r="H465" s="259" t="str">
        <f t="shared" si="33"/>
        <v/>
      </c>
      <c r="I465" s="260"/>
    </row>
    <row r="466" spans="1:9">
      <c r="A466" s="255">
        <f t="shared" si="30"/>
        <v>464</v>
      </c>
      <c r="B466" s="256">
        <v>45085</v>
      </c>
      <c r="C466" s="257">
        <v>65.587326000000004</v>
      </c>
      <c r="D466" s="258">
        <v>121.20108814209858</v>
      </c>
      <c r="E466" s="257">
        <f t="shared" si="31"/>
        <v>65.587326000000004</v>
      </c>
      <c r="F466" s="263"/>
      <c r="G466" s="190" t="str">
        <f t="shared" si="32"/>
        <v/>
      </c>
      <c r="H466" s="259" t="str">
        <f t="shared" si="33"/>
        <v/>
      </c>
      <c r="I466" s="260"/>
    </row>
    <row r="467" spans="1:9">
      <c r="A467" s="255">
        <f t="shared" si="30"/>
        <v>465</v>
      </c>
      <c r="B467" s="256">
        <v>45086</v>
      </c>
      <c r="C467" s="257">
        <v>119.162999</v>
      </c>
      <c r="D467" s="258">
        <v>121.20108814209858</v>
      </c>
      <c r="E467" s="257">
        <f t="shared" si="31"/>
        <v>119.162999</v>
      </c>
      <c r="F467" s="263"/>
      <c r="G467" s="190" t="str">
        <f t="shared" si="32"/>
        <v/>
      </c>
      <c r="H467" s="259" t="str">
        <f t="shared" si="33"/>
        <v/>
      </c>
      <c r="I467" s="260"/>
    </row>
    <row r="468" spans="1:9">
      <c r="A468" s="255">
        <f t="shared" si="30"/>
        <v>466</v>
      </c>
      <c r="B468" s="256">
        <v>45087</v>
      </c>
      <c r="C468" s="257">
        <v>133.34664999999998</v>
      </c>
      <c r="D468" s="258">
        <v>121.20108814209858</v>
      </c>
      <c r="E468" s="257">
        <f t="shared" si="31"/>
        <v>121.20108814209858</v>
      </c>
      <c r="F468" s="263"/>
      <c r="G468" s="190" t="str">
        <f t="shared" si="32"/>
        <v/>
      </c>
      <c r="H468" s="259" t="str">
        <f t="shared" si="33"/>
        <v/>
      </c>
      <c r="I468" s="260"/>
    </row>
    <row r="469" spans="1:9">
      <c r="A469" s="255">
        <f t="shared" si="30"/>
        <v>467</v>
      </c>
      <c r="B469" s="256">
        <v>45088</v>
      </c>
      <c r="C469" s="257">
        <v>129.843614</v>
      </c>
      <c r="D469" s="258">
        <v>121.20108814209858</v>
      </c>
      <c r="E469" s="257">
        <f t="shared" si="31"/>
        <v>121.20108814209858</v>
      </c>
      <c r="F469" s="263"/>
      <c r="G469" s="190" t="str">
        <f t="shared" si="32"/>
        <v/>
      </c>
      <c r="H469" s="259" t="str">
        <f t="shared" si="33"/>
        <v/>
      </c>
      <c r="I469" s="260"/>
    </row>
    <row r="470" spans="1:9">
      <c r="A470" s="255">
        <f t="shared" si="30"/>
        <v>468</v>
      </c>
      <c r="B470" s="256">
        <v>45089</v>
      </c>
      <c r="C470" s="257">
        <v>123.50556399999999</v>
      </c>
      <c r="D470" s="258">
        <v>121.20108814209858</v>
      </c>
      <c r="E470" s="257">
        <f t="shared" si="31"/>
        <v>121.20108814209858</v>
      </c>
      <c r="F470" s="263"/>
      <c r="G470" s="190" t="str">
        <f t="shared" si="32"/>
        <v/>
      </c>
      <c r="H470" s="259" t="str">
        <f t="shared" si="33"/>
        <v/>
      </c>
      <c r="I470" s="260"/>
    </row>
    <row r="471" spans="1:9">
      <c r="A471" s="255">
        <f t="shared" si="30"/>
        <v>469</v>
      </c>
      <c r="B471" s="256">
        <v>45090</v>
      </c>
      <c r="C471" s="257">
        <v>124.59960000000001</v>
      </c>
      <c r="D471" s="258">
        <v>121.20108814209858</v>
      </c>
      <c r="E471" s="257">
        <f t="shared" si="31"/>
        <v>121.20108814209858</v>
      </c>
      <c r="F471" s="263"/>
      <c r="G471" s="190" t="str">
        <f t="shared" si="32"/>
        <v/>
      </c>
      <c r="H471" s="259" t="str">
        <f t="shared" si="33"/>
        <v/>
      </c>
      <c r="I471" s="260"/>
    </row>
    <row r="472" spans="1:9">
      <c r="A472" s="255">
        <f t="shared" si="30"/>
        <v>470</v>
      </c>
      <c r="B472" s="256">
        <v>45091</v>
      </c>
      <c r="C472" s="257">
        <v>148.34142600000001</v>
      </c>
      <c r="D472" s="258">
        <v>121.20108814209858</v>
      </c>
      <c r="E472" s="257">
        <f t="shared" si="31"/>
        <v>121.20108814209858</v>
      </c>
      <c r="F472" s="263"/>
      <c r="G472" s="190" t="str">
        <f t="shared" si="32"/>
        <v/>
      </c>
      <c r="H472" s="259" t="str">
        <f t="shared" si="33"/>
        <v/>
      </c>
      <c r="I472" s="260"/>
    </row>
    <row r="473" spans="1:9">
      <c r="A473" s="255">
        <f t="shared" si="30"/>
        <v>471</v>
      </c>
      <c r="B473" s="256">
        <v>45092</v>
      </c>
      <c r="C473" s="257">
        <v>158.01229800000002</v>
      </c>
      <c r="D473" s="258">
        <v>121.20108814209858</v>
      </c>
      <c r="E473" s="257">
        <f t="shared" si="31"/>
        <v>121.20108814209858</v>
      </c>
      <c r="F473" s="263"/>
      <c r="G473" s="190" t="str">
        <f t="shared" si="32"/>
        <v>J</v>
      </c>
      <c r="H473" s="259" t="str">
        <f t="shared" si="33"/>
        <v>121,2</v>
      </c>
      <c r="I473" s="260"/>
    </row>
    <row r="474" spans="1:9">
      <c r="A474" s="255">
        <f t="shared" si="30"/>
        <v>472</v>
      </c>
      <c r="B474" s="256">
        <v>45093</v>
      </c>
      <c r="C474" s="257">
        <v>152.66743500000001</v>
      </c>
      <c r="D474" s="258">
        <v>121.20108814209858</v>
      </c>
      <c r="E474" s="257">
        <f t="shared" si="31"/>
        <v>121.20108814209858</v>
      </c>
      <c r="F474" s="263"/>
      <c r="G474" s="190" t="str">
        <f t="shared" si="32"/>
        <v/>
      </c>
      <c r="H474" s="259" t="str">
        <f t="shared" si="33"/>
        <v/>
      </c>
      <c r="I474" s="260"/>
    </row>
    <row r="475" spans="1:9">
      <c r="A475" s="255">
        <f t="shared" si="30"/>
        <v>473</v>
      </c>
      <c r="B475" s="256">
        <v>45094</v>
      </c>
      <c r="C475" s="257">
        <v>141.857394</v>
      </c>
      <c r="D475" s="258">
        <v>121.20108814209858</v>
      </c>
      <c r="E475" s="257">
        <f t="shared" si="31"/>
        <v>121.20108814209858</v>
      </c>
      <c r="F475" s="263"/>
      <c r="G475" s="190" t="str">
        <f t="shared" si="32"/>
        <v/>
      </c>
      <c r="H475" s="259" t="str">
        <f t="shared" si="33"/>
        <v/>
      </c>
      <c r="I475" s="260"/>
    </row>
    <row r="476" spans="1:9">
      <c r="A476" s="255">
        <f t="shared" si="30"/>
        <v>474</v>
      </c>
      <c r="B476" s="256">
        <v>45095</v>
      </c>
      <c r="C476" s="257">
        <v>113.10303200000001</v>
      </c>
      <c r="D476" s="258">
        <v>121.20108814209858</v>
      </c>
      <c r="E476" s="257">
        <f t="shared" si="31"/>
        <v>113.10303200000001</v>
      </c>
      <c r="F476" s="263"/>
      <c r="G476" s="190" t="str">
        <f t="shared" si="32"/>
        <v/>
      </c>
      <c r="H476" s="259" t="str">
        <f t="shared" si="33"/>
        <v/>
      </c>
      <c r="I476" s="260"/>
    </row>
    <row r="477" spans="1:9">
      <c r="A477" s="255">
        <f t="shared" si="30"/>
        <v>475</v>
      </c>
      <c r="B477" s="256">
        <v>45096</v>
      </c>
      <c r="C477" s="257">
        <v>117.32886999999999</v>
      </c>
      <c r="D477" s="258">
        <v>121.20108814209858</v>
      </c>
      <c r="E477" s="257">
        <f t="shared" si="31"/>
        <v>117.32886999999999</v>
      </c>
      <c r="F477" s="263"/>
      <c r="G477" s="190" t="str">
        <f t="shared" si="32"/>
        <v/>
      </c>
      <c r="H477" s="259" t="str">
        <f t="shared" si="33"/>
        <v/>
      </c>
      <c r="I477" s="260"/>
    </row>
    <row r="478" spans="1:9">
      <c r="A478" s="255">
        <f t="shared" si="30"/>
        <v>476</v>
      </c>
      <c r="B478" s="256">
        <v>45097</v>
      </c>
      <c r="C478" s="257">
        <v>119.38496000000001</v>
      </c>
      <c r="D478" s="258">
        <v>121.20108814209858</v>
      </c>
      <c r="E478" s="257">
        <f t="shared" si="31"/>
        <v>119.38496000000001</v>
      </c>
      <c r="F478" s="263"/>
      <c r="G478" s="190" t="str">
        <f t="shared" si="32"/>
        <v/>
      </c>
      <c r="H478" s="259" t="str">
        <f t="shared" si="33"/>
        <v/>
      </c>
      <c r="I478" s="260"/>
    </row>
    <row r="479" spans="1:9">
      <c r="A479" s="255">
        <f t="shared" si="30"/>
        <v>477</v>
      </c>
      <c r="B479" s="256">
        <v>45098</v>
      </c>
      <c r="C479" s="257">
        <v>99.575516000000007</v>
      </c>
      <c r="D479" s="258">
        <v>121.20108814209858</v>
      </c>
      <c r="E479" s="257">
        <f t="shared" si="31"/>
        <v>99.575516000000007</v>
      </c>
      <c r="F479" s="263"/>
      <c r="G479" s="190" t="str">
        <f t="shared" si="32"/>
        <v/>
      </c>
      <c r="H479" s="259" t="str">
        <f t="shared" si="33"/>
        <v/>
      </c>
      <c r="I479" s="260"/>
    </row>
    <row r="480" spans="1:9">
      <c r="A480" s="255">
        <f t="shared" si="30"/>
        <v>478</v>
      </c>
      <c r="B480" s="256">
        <v>45099</v>
      </c>
      <c r="C480" s="257">
        <v>155.76371399999999</v>
      </c>
      <c r="D480" s="258">
        <v>121.20108814209858</v>
      </c>
      <c r="E480" s="257">
        <f t="shared" si="31"/>
        <v>121.20108814209858</v>
      </c>
      <c r="F480" s="263"/>
      <c r="G480" s="190" t="str">
        <f t="shared" si="32"/>
        <v/>
      </c>
      <c r="H480" s="259" t="str">
        <f t="shared" si="33"/>
        <v/>
      </c>
      <c r="I480" s="260"/>
    </row>
    <row r="481" spans="1:9">
      <c r="A481" s="255">
        <f t="shared" si="30"/>
        <v>479</v>
      </c>
      <c r="B481" s="256">
        <v>45100</v>
      </c>
      <c r="C481" s="257">
        <v>152.01008199999998</v>
      </c>
      <c r="D481" s="258">
        <v>121.20108814209858</v>
      </c>
      <c r="E481" s="257">
        <f t="shared" si="31"/>
        <v>121.20108814209858</v>
      </c>
      <c r="F481" s="263"/>
      <c r="G481" s="190" t="str">
        <f t="shared" si="32"/>
        <v/>
      </c>
      <c r="H481" s="259" t="str">
        <f t="shared" si="33"/>
        <v/>
      </c>
      <c r="I481" s="260"/>
    </row>
    <row r="482" spans="1:9">
      <c r="A482" s="255">
        <f t="shared" si="30"/>
        <v>480</v>
      </c>
      <c r="B482" s="256">
        <v>45101</v>
      </c>
      <c r="C482" s="257">
        <v>148.014927</v>
      </c>
      <c r="D482" s="258">
        <v>121.20108814209858</v>
      </c>
      <c r="E482" s="257">
        <f t="shared" si="31"/>
        <v>121.20108814209858</v>
      </c>
      <c r="F482" s="263"/>
      <c r="G482" s="190" t="str">
        <f t="shared" si="32"/>
        <v/>
      </c>
      <c r="H482" s="259" t="str">
        <f t="shared" si="33"/>
        <v/>
      </c>
      <c r="I482" s="260"/>
    </row>
    <row r="483" spans="1:9">
      <c r="A483" s="255">
        <f t="shared" si="30"/>
        <v>481</v>
      </c>
      <c r="B483" s="256">
        <v>45102</v>
      </c>
      <c r="C483" s="257">
        <v>134.86253600000001</v>
      </c>
      <c r="D483" s="258">
        <v>121.20108814209858</v>
      </c>
      <c r="E483" s="257">
        <f t="shared" si="31"/>
        <v>121.20108814209858</v>
      </c>
      <c r="F483" s="263"/>
      <c r="G483" s="190" t="str">
        <f t="shared" si="32"/>
        <v/>
      </c>
      <c r="H483" s="259" t="str">
        <f t="shared" si="33"/>
        <v/>
      </c>
      <c r="I483" s="260"/>
    </row>
    <row r="484" spans="1:9">
      <c r="A484" s="255">
        <f t="shared" si="30"/>
        <v>482</v>
      </c>
      <c r="B484" s="256">
        <v>45103</v>
      </c>
      <c r="C484" s="257">
        <v>145.55550099999999</v>
      </c>
      <c r="D484" s="258">
        <v>121.20108814209858</v>
      </c>
      <c r="E484" s="257">
        <f t="shared" si="31"/>
        <v>121.20108814209858</v>
      </c>
      <c r="F484" s="263"/>
      <c r="G484" s="190" t="str">
        <f t="shared" si="32"/>
        <v/>
      </c>
      <c r="H484" s="259" t="str">
        <f t="shared" si="33"/>
        <v/>
      </c>
      <c r="I484" s="260"/>
    </row>
    <row r="485" spans="1:9">
      <c r="A485" s="255">
        <f t="shared" si="30"/>
        <v>483</v>
      </c>
      <c r="B485" s="256">
        <v>45104</v>
      </c>
      <c r="C485" s="257">
        <v>137.352531</v>
      </c>
      <c r="D485" s="258">
        <v>121.20108814209858</v>
      </c>
      <c r="E485" s="257">
        <f t="shared" si="31"/>
        <v>121.20108814209858</v>
      </c>
      <c r="F485" s="263"/>
      <c r="G485" s="190" t="str">
        <f t="shared" si="32"/>
        <v/>
      </c>
      <c r="H485" s="259" t="str">
        <f t="shared" si="33"/>
        <v/>
      </c>
      <c r="I485" s="260"/>
    </row>
    <row r="486" spans="1:9">
      <c r="A486" s="255">
        <f t="shared" si="30"/>
        <v>484</v>
      </c>
      <c r="B486" s="256">
        <v>45105</v>
      </c>
      <c r="C486" s="257">
        <v>137.04166000000001</v>
      </c>
      <c r="D486" s="258">
        <v>121.20108814209858</v>
      </c>
      <c r="E486" s="257">
        <f t="shared" si="31"/>
        <v>121.20108814209858</v>
      </c>
      <c r="F486" s="263"/>
      <c r="G486" s="190" t="str">
        <f t="shared" si="32"/>
        <v/>
      </c>
      <c r="H486" s="259" t="str">
        <f t="shared" si="33"/>
        <v/>
      </c>
      <c r="I486" s="260"/>
    </row>
    <row r="487" spans="1:9">
      <c r="A487" s="255">
        <f t="shared" si="30"/>
        <v>485</v>
      </c>
      <c r="B487" s="256">
        <v>45106</v>
      </c>
      <c r="C487" s="257">
        <v>144.070438</v>
      </c>
      <c r="D487" s="258">
        <v>121.20108814209858</v>
      </c>
      <c r="E487" s="257">
        <f t="shared" si="31"/>
        <v>121.20108814209858</v>
      </c>
      <c r="F487" s="263"/>
      <c r="G487" s="190" t="str">
        <f t="shared" si="32"/>
        <v/>
      </c>
      <c r="H487" s="259" t="str">
        <f t="shared" si="33"/>
        <v/>
      </c>
      <c r="I487" s="260"/>
    </row>
    <row r="488" spans="1:9">
      <c r="A488" s="255">
        <f t="shared" si="30"/>
        <v>486</v>
      </c>
      <c r="B488" s="256">
        <v>45107</v>
      </c>
      <c r="C488" s="257">
        <v>154.94057400000003</v>
      </c>
      <c r="D488" s="258">
        <v>121.20108814209858</v>
      </c>
      <c r="E488" s="257">
        <f t="shared" si="31"/>
        <v>121.20108814209858</v>
      </c>
      <c r="F488" s="263"/>
      <c r="G488" s="190" t="str">
        <f t="shared" si="32"/>
        <v/>
      </c>
      <c r="H488" s="259" t="str">
        <f t="shared" si="33"/>
        <v/>
      </c>
      <c r="I488" s="260"/>
    </row>
    <row r="489" spans="1:9">
      <c r="A489" s="255">
        <f t="shared" si="30"/>
        <v>487</v>
      </c>
      <c r="B489" s="256">
        <v>45108</v>
      </c>
      <c r="C489" s="257">
        <v>146.47155300000003</v>
      </c>
      <c r="D489" s="258">
        <v>122.82651299125682</v>
      </c>
      <c r="E489" s="257">
        <f t="shared" si="31"/>
        <v>122.82651299125682</v>
      </c>
      <c r="F489" s="260"/>
      <c r="G489" s="190" t="str">
        <f t="shared" si="32"/>
        <v/>
      </c>
      <c r="H489" s="259" t="str">
        <f t="shared" si="33"/>
        <v/>
      </c>
    </row>
    <row r="490" spans="1:9">
      <c r="A490" s="255">
        <f t="shared" si="30"/>
        <v>488</v>
      </c>
      <c r="B490" s="256">
        <v>45109</v>
      </c>
      <c r="C490" s="257">
        <v>134.50713500000001</v>
      </c>
      <c r="D490" s="258">
        <v>122.82651299125682</v>
      </c>
      <c r="E490" s="257">
        <f t="shared" si="31"/>
        <v>122.82651299125682</v>
      </c>
      <c r="F490" s="263"/>
      <c r="G490" s="190" t="str">
        <f t="shared" si="32"/>
        <v/>
      </c>
      <c r="H490" s="259" t="str">
        <f t="shared" si="33"/>
        <v/>
      </c>
    </row>
    <row r="491" spans="1:9">
      <c r="A491" s="255">
        <f t="shared" si="30"/>
        <v>489</v>
      </c>
      <c r="B491" s="256">
        <v>45110</v>
      </c>
      <c r="C491" s="257">
        <v>140.62016599999998</v>
      </c>
      <c r="D491" s="258">
        <v>122.82651299125682</v>
      </c>
      <c r="E491" s="257">
        <f t="shared" si="31"/>
        <v>122.82651299125682</v>
      </c>
      <c r="F491" s="263"/>
      <c r="G491" s="190" t="str">
        <f t="shared" si="32"/>
        <v/>
      </c>
      <c r="H491" s="259" t="str">
        <f t="shared" si="33"/>
        <v/>
      </c>
    </row>
    <row r="492" spans="1:9">
      <c r="A492" s="255">
        <f t="shared" si="30"/>
        <v>490</v>
      </c>
      <c r="B492" s="256">
        <v>45111</v>
      </c>
      <c r="C492" s="257">
        <v>150.66038599999999</v>
      </c>
      <c r="D492" s="258">
        <v>122.82651299125682</v>
      </c>
      <c r="E492" s="257">
        <f t="shared" si="31"/>
        <v>122.82651299125682</v>
      </c>
      <c r="F492" s="263"/>
      <c r="G492" s="190" t="str">
        <f t="shared" si="32"/>
        <v/>
      </c>
      <c r="H492" s="259" t="str">
        <f t="shared" si="33"/>
        <v/>
      </c>
    </row>
    <row r="493" spans="1:9">
      <c r="A493" s="255">
        <f t="shared" si="30"/>
        <v>491</v>
      </c>
      <c r="B493" s="256">
        <v>45112</v>
      </c>
      <c r="C493" s="257">
        <v>129.60574699999998</v>
      </c>
      <c r="D493" s="258">
        <v>122.82651299125682</v>
      </c>
      <c r="E493" s="257">
        <f t="shared" si="31"/>
        <v>122.82651299125682</v>
      </c>
      <c r="F493" s="263"/>
      <c r="G493" s="190" t="str">
        <f t="shared" si="32"/>
        <v/>
      </c>
      <c r="H493" s="259" t="str">
        <f t="shared" si="33"/>
        <v/>
      </c>
    </row>
    <row r="494" spans="1:9">
      <c r="A494" s="255">
        <f t="shared" si="30"/>
        <v>492</v>
      </c>
      <c r="B494" s="256">
        <v>45113</v>
      </c>
      <c r="C494" s="257">
        <v>131.33787000000001</v>
      </c>
      <c r="D494" s="258">
        <v>122.82651299125682</v>
      </c>
      <c r="E494" s="257">
        <f t="shared" si="31"/>
        <v>122.82651299125682</v>
      </c>
      <c r="F494" s="263"/>
      <c r="G494" s="190" t="str">
        <f t="shared" si="32"/>
        <v/>
      </c>
      <c r="H494" s="259" t="str">
        <f t="shared" si="33"/>
        <v/>
      </c>
    </row>
    <row r="495" spans="1:9">
      <c r="A495" s="255">
        <f t="shared" si="30"/>
        <v>493</v>
      </c>
      <c r="B495" s="256">
        <v>45114</v>
      </c>
      <c r="C495" s="257">
        <v>144.35227799999998</v>
      </c>
      <c r="D495" s="258">
        <v>122.82651299125682</v>
      </c>
      <c r="E495" s="257">
        <f t="shared" si="31"/>
        <v>122.82651299125682</v>
      </c>
      <c r="F495" s="263"/>
      <c r="G495" s="190" t="str">
        <f t="shared" si="32"/>
        <v/>
      </c>
      <c r="H495" s="259" t="str">
        <f t="shared" si="33"/>
        <v/>
      </c>
    </row>
    <row r="496" spans="1:9">
      <c r="A496" s="255">
        <f t="shared" si="30"/>
        <v>494</v>
      </c>
      <c r="B496" s="256">
        <v>45115</v>
      </c>
      <c r="C496" s="257">
        <v>155.54117000000002</v>
      </c>
      <c r="D496" s="258">
        <v>122.82651299125682</v>
      </c>
      <c r="E496" s="257">
        <f t="shared" si="31"/>
        <v>122.82651299125682</v>
      </c>
      <c r="F496" s="263"/>
      <c r="G496" s="190" t="str">
        <f t="shared" si="32"/>
        <v/>
      </c>
      <c r="H496" s="259" t="str">
        <f t="shared" si="33"/>
        <v/>
      </c>
    </row>
    <row r="497" spans="1:8">
      <c r="A497" s="255">
        <f t="shared" si="30"/>
        <v>495</v>
      </c>
      <c r="B497" s="256">
        <v>45116</v>
      </c>
      <c r="C497" s="257">
        <v>154.65964600000001</v>
      </c>
      <c r="D497" s="258">
        <v>122.82651299125682</v>
      </c>
      <c r="E497" s="257">
        <f t="shared" si="31"/>
        <v>122.82651299125682</v>
      </c>
      <c r="F497" s="263"/>
      <c r="G497" s="190" t="str">
        <f t="shared" si="32"/>
        <v/>
      </c>
      <c r="H497" s="259" t="str">
        <f t="shared" si="33"/>
        <v/>
      </c>
    </row>
    <row r="498" spans="1:8">
      <c r="A498" s="255">
        <f t="shared" si="30"/>
        <v>496</v>
      </c>
      <c r="B498" s="256">
        <v>45117</v>
      </c>
      <c r="C498" s="257">
        <v>146.97024399999998</v>
      </c>
      <c r="D498" s="258">
        <v>122.82651299125682</v>
      </c>
      <c r="E498" s="257">
        <f t="shared" si="31"/>
        <v>122.82651299125682</v>
      </c>
      <c r="F498" s="263"/>
      <c r="G498" s="190" t="str">
        <f t="shared" si="32"/>
        <v/>
      </c>
      <c r="H498" s="259" t="str">
        <f t="shared" si="33"/>
        <v/>
      </c>
    </row>
    <row r="499" spans="1:8">
      <c r="A499" s="255">
        <f t="shared" si="30"/>
        <v>497</v>
      </c>
      <c r="B499" s="256">
        <v>45118</v>
      </c>
      <c r="C499" s="257">
        <v>147.10348400000001</v>
      </c>
      <c r="D499" s="258">
        <v>122.82651299125682</v>
      </c>
      <c r="E499" s="257">
        <f t="shared" si="31"/>
        <v>122.82651299125682</v>
      </c>
      <c r="F499" s="263"/>
      <c r="G499" s="190" t="str">
        <f t="shared" si="32"/>
        <v/>
      </c>
      <c r="H499" s="259" t="str">
        <f t="shared" si="33"/>
        <v/>
      </c>
    </row>
    <row r="500" spans="1:8">
      <c r="A500" s="255">
        <f t="shared" si="30"/>
        <v>498</v>
      </c>
      <c r="B500" s="256">
        <v>45119</v>
      </c>
      <c r="C500" s="257">
        <v>142.59994</v>
      </c>
      <c r="D500" s="258">
        <v>122.82651299125682</v>
      </c>
      <c r="E500" s="257">
        <f t="shared" si="31"/>
        <v>122.82651299125682</v>
      </c>
      <c r="F500" s="263"/>
      <c r="G500" s="190" t="str">
        <f t="shared" si="32"/>
        <v/>
      </c>
      <c r="H500" s="259" t="str">
        <f t="shared" si="33"/>
        <v/>
      </c>
    </row>
    <row r="501" spans="1:8">
      <c r="A501" s="255">
        <f t="shared" si="30"/>
        <v>499</v>
      </c>
      <c r="B501" s="256">
        <v>45120</v>
      </c>
      <c r="C501" s="257">
        <v>161.04785100000004</v>
      </c>
      <c r="D501" s="258">
        <v>122.82651299125682</v>
      </c>
      <c r="E501" s="257">
        <f t="shared" si="31"/>
        <v>122.82651299125682</v>
      </c>
      <c r="F501" s="263"/>
      <c r="G501" s="190" t="str">
        <f t="shared" si="32"/>
        <v/>
      </c>
      <c r="H501" s="259" t="str">
        <f t="shared" si="33"/>
        <v/>
      </c>
    </row>
    <row r="502" spans="1:8">
      <c r="A502" s="255">
        <f t="shared" si="30"/>
        <v>500</v>
      </c>
      <c r="B502" s="256">
        <v>45121</v>
      </c>
      <c r="C502" s="257">
        <v>159.127296</v>
      </c>
      <c r="D502" s="258">
        <v>122.82651299125682</v>
      </c>
      <c r="E502" s="257">
        <f t="shared" si="31"/>
        <v>122.82651299125682</v>
      </c>
      <c r="F502" s="263"/>
      <c r="G502" s="190" t="str">
        <f t="shared" si="32"/>
        <v/>
      </c>
      <c r="H502" s="259" t="str">
        <f t="shared" si="33"/>
        <v/>
      </c>
    </row>
    <row r="503" spans="1:8">
      <c r="A503" s="255">
        <f t="shared" si="30"/>
        <v>501</v>
      </c>
      <c r="B503" s="256">
        <v>45122</v>
      </c>
      <c r="C503" s="257">
        <v>151.01801900000001</v>
      </c>
      <c r="D503" s="258">
        <v>122.82651299125682</v>
      </c>
      <c r="E503" s="257">
        <f t="shared" si="31"/>
        <v>122.82651299125682</v>
      </c>
      <c r="F503" s="263"/>
      <c r="G503" s="190" t="str">
        <f t="shared" si="32"/>
        <v>J</v>
      </c>
      <c r="H503" s="259" t="str">
        <f t="shared" si="33"/>
        <v>122,8</v>
      </c>
    </row>
    <row r="504" spans="1:8">
      <c r="A504" s="255">
        <f t="shared" si="30"/>
        <v>502</v>
      </c>
      <c r="B504" s="256">
        <v>45123</v>
      </c>
      <c r="C504" s="257">
        <v>144.6146</v>
      </c>
      <c r="D504" s="258">
        <v>122.82651299125682</v>
      </c>
      <c r="E504" s="257">
        <f t="shared" si="31"/>
        <v>122.82651299125682</v>
      </c>
      <c r="F504" s="263"/>
      <c r="G504" s="190" t="str">
        <f t="shared" si="32"/>
        <v/>
      </c>
      <c r="H504" s="259" t="str">
        <f t="shared" si="33"/>
        <v/>
      </c>
    </row>
    <row r="505" spans="1:8">
      <c r="A505" s="255">
        <f t="shared" si="30"/>
        <v>503</v>
      </c>
      <c r="B505" s="256">
        <v>45124</v>
      </c>
      <c r="C505" s="257">
        <v>137.15288200000001</v>
      </c>
      <c r="D505" s="258">
        <v>122.82651299125682</v>
      </c>
      <c r="E505" s="257">
        <f t="shared" si="31"/>
        <v>122.82651299125682</v>
      </c>
      <c r="F505" s="263"/>
      <c r="G505" s="190" t="str">
        <f t="shared" si="32"/>
        <v/>
      </c>
      <c r="H505" s="259" t="str">
        <f t="shared" si="33"/>
        <v/>
      </c>
    </row>
    <row r="506" spans="1:8">
      <c r="A506" s="255">
        <f t="shared" si="30"/>
        <v>504</v>
      </c>
      <c r="B506" s="256">
        <v>45125</v>
      </c>
      <c r="C506" s="257">
        <v>131.433616</v>
      </c>
      <c r="D506" s="258">
        <v>122.82651299125682</v>
      </c>
      <c r="E506" s="257">
        <f t="shared" si="31"/>
        <v>122.82651299125682</v>
      </c>
      <c r="F506" s="263"/>
      <c r="G506" s="190" t="str">
        <f t="shared" si="32"/>
        <v/>
      </c>
      <c r="H506" s="259" t="str">
        <f t="shared" si="33"/>
        <v/>
      </c>
    </row>
    <row r="507" spans="1:8">
      <c r="A507" s="255">
        <f t="shared" si="30"/>
        <v>505</v>
      </c>
      <c r="B507" s="256">
        <v>45126</v>
      </c>
      <c r="C507" s="257">
        <v>141.119574</v>
      </c>
      <c r="D507" s="258">
        <v>122.82651299125682</v>
      </c>
      <c r="E507" s="257">
        <f t="shared" si="31"/>
        <v>122.82651299125682</v>
      </c>
      <c r="F507" s="263"/>
      <c r="G507" s="190" t="str">
        <f t="shared" si="32"/>
        <v/>
      </c>
      <c r="H507" s="259" t="str">
        <f t="shared" si="33"/>
        <v/>
      </c>
    </row>
    <row r="508" spans="1:8">
      <c r="A508" s="255">
        <f t="shared" si="30"/>
        <v>506</v>
      </c>
      <c r="B508" s="256">
        <v>45127</v>
      </c>
      <c r="C508" s="257">
        <v>147.220989</v>
      </c>
      <c r="D508" s="258">
        <v>122.82651299125682</v>
      </c>
      <c r="E508" s="257">
        <f t="shared" si="31"/>
        <v>122.82651299125682</v>
      </c>
      <c r="F508" s="263"/>
      <c r="G508" s="190" t="str">
        <f t="shared" si="32"/>
        <v/>
      </c>
      <c r="H508" s="259" t="str">
        <f t="shared" si="33"/>
        <v/>
      </c>
    </row>
    <row r="509" spans="1:8">
      <c r="A509" s="255">
        <f t="shared" si="30"/>
        <v>507</v>
      </c>
      <c r="B509" s="256">
        <v>45128</v>
      </c>
      <c r="C509" s="257">
        <v>151.08956000000001</v>
      </c>
      <c r="D509" s="258">
        <v>122.82651299125682</v>
      </c>
      <c r="E509" s="257">
        <f t="shared" si="31"/>
        <v>122.82651299125682</v>
      </c>
      <c r="F509" s="263"/>
      <c r="G509" s="190" t="str">
        <f t="shared" si="32"/>
        <v/>
      </c>
      <c r="H509" s="259" t="str">
        <f t="shared" si="33"/>
        <v/>
      </c>
    </row>
    <row r="510" spans="1:8">
      <c r="A510" s="255">
        <f t="shared" si="30"/>
        <v>508</v>
      </c>
      <c r="B510" s="256">
        <v>45129</v>
      </c>
      <c r="C510" s="257">
        <v>148.44709800000001</v>
      </c>
      <c r="D510" s="258">
        <v>122.82651299125682</v>
      </c>
      <c r="E510" s="257">
        <f t="shared" si="31"/>
        <v>122.82651299125682</v>
      </c>
      <c r="F510" s="263"/>
      <c r="G510" s="190" t="str">
        <f t="shared" si="32"/>
        <v/>
      </c>
      <c r="H510" s="259" t="str">
        <f t="shared" si="33"/>
        <v/>
      </c>
    </row>
    <row r="511" spans="1:8">
      <c r="A511" s="255">
        <f t="shared" si="30"/>
        <v>509</v>
      </c>
      <c r="B511" s="256">
        <v>45130</v>
      </c>
      <c r="C511" s="257">
        <v>137.361672</v>
      </c>
      <c r="D511" s="258">
        <v>122.82651299125682</v>
      </c>
      <c r="E511" s="257">
        <f t="shared" si="31"/>
        <v>122.82651299125682</v>
      </c>
      <c r="F511" s="263"/>
      <c r="G511" s="190" t="str">
        <f t="shared" si="32"/>
        <v/>
      </c>
      <c r="H511" s="259" t="str">
        <f t="shared" si="33"/>
        <v/>
      </c>
    </row>
    <row r="512" spans="1:8">
      <c r="A512" s="255">
        <f t="shared" si="30"/>
        <v>510</v>
      </c>
      <c r="B512" s="256">
        <v>45131</v>
      </c>
      <c r="C512" s="257">
        <v>149.28779</v>
      </c>
      <c r="D512" s="258">
        <v>122.82651299125682</v>
      </c>
      <c r="E512" s="257">
        <f t="shared" si="31"/>
        <v>122.82651299125682</v>
      </c>
      <c r="F512" s="263"/>
      <c r="G512" s="190" t="str">
        <f t="shared" si="32"/>
        <v/>
      </c>
      <c r="H512" s="259" t="str">
        <f t="shared" si="33"/>
        <v/>
      </c>
    </row>
    <row r="513" spans="1:8">
      <c r="A513" s="255">
        <f t="shared" si="30"/>
        <v>511</v>
      </c>
      <c r="B513" s="256">
        <v>45132</v>
      </c>
      <c r="C513" s="257">
        <v>164.24027900000002</v>
      </c>
      <c r="D513" s="258">
        <v>122.82651299125682</v>
      </c>
      <c r="E513" s="257">
        <f t="shared" si="31"/>
        <v>122.82651299125682</v>
      </c>
      <c r="F513" s="263"/>
      <c r="G513" s="190" t="str">
        <f t="shared" si="32"/>
        <v/>
      </c>
      <c r="H513" s="259" t="str">
        <f t="shared" si="33"/>
        <v/>
      </c>
    </row>
    <row r="514" spans="1:8">
      <c r="A514" s="255">
        <f t="shared" si="30"/>
        <v>512</v>
      </c>
      <c r="B514" s="256">
        <v>45133</v>
      </c>
      <c r="C514" s="257">
        <v>158.25809600000002</v>
      </c>
      <c r="D514" s="258">
        <v>122.82651299125682</v>
      </c>
      <c r="E514" s="257">
        <f t="shared" si="31"/>
        <v>122.82651299125682</v>
      </c>
      <c r="F514" s="263"/>
      <c r="G514" s="190" t="str">
        <f t="shared" si="32"/>
        <v/>
      </c>
      <c r="H514" s="259" t="str">
        <f t="shared" si="33"/>
        <v/>
      </c>
    </row>
    <row r="515" spans="1:8">
      <c r="A515" s="255">
        <f t="shared" si="30"/>
        <v>513</v>
      </c>
      <c r="B515" s="256">
        <v>45134</v>
      </c>
      <c r="C515" s="257">
        <v>148.75172800000001</v>
      </c>
      <c r="D515" s="258">
        <v>122.82651299125682</v>
      </c>
      <c r="E515" s="257">
        <f t="shared" si="31"/>
        <v>122.82651299125682</v>
      </c>
      <c r="F515" s="263"/>
      <c r="G515" s="190" t="str">
        <f t="shared" si="32"/>
        <v/>
      </c>
      <c r="H515" s="259" t="str">
        <f t="shared" si="33"/>
        <v/>
      </c>
    </row>
    <row r="516" spans="1:8">
      <c r="A516" s="255">
        <f t="shared" ref="A516:A579" si="34">+A515+1</f>
        <v>514</v>
      </c>
      <c r="B516" s="256">
        <v>45135</v>
      </c>
      <c r="C516" s="257">
        <v>157.75624500000001</v>
      </c>
      <c r="D516" s="258">
        <v>122.82651299125682</v>
      </c>
      <c r="E516" s="257">
        <f t="shared" ref="E516:E579" si="35">IF(C516&gt;D516,D516,C516)</f>
        <v>122.82651299125682</v>
      </c>
      <c r="F516" s="263"/>
      <c r="G516" s="190" t="str">
        <f t="shared" ref="G516:G579" si="36">IF(DAY(B516)=15,IF(MONTH(B516)=1,"E",IF(MONTH(B516)=2,"F",IF(MONTH(B516)=3,"M",IF(MONTH(B516)=4,"A",IF(MONTH(B516)=5,"M",IF(MONTH(B516)=6,"J",IF(MONTH(B516)=7,"J",IF(MONTH(B516)=8,"A",IF(MONTH(B516)=9,"S",IF(MONTH(B516)=10,"O",IF(MONTH(B516)=11,"N",IF(MONTH(B516)=12,"D","")))))))))))),"")</f>
        <v/>
      </c>
      <c r="H516" s="259" t="str">
        <f t="shared" ref="H516:H579" si="37">IF(DAY($B516)=15,TEXT(D516,"#,0"),"")</f>
        <v/>
      </c>
    </row>
    <row r="517" spans="1:8">
      <c r="A517" s="255">
        <f t="shared" si="34"/>
        <v>515</v>
      </c>
      <c r="B517" s="256">
        <v>45136</v>
      </c>
      <c r="C517" s="257">
        <v>153.59593799999999</v>
      </c>
      <c r="D517" s="258">
        <v>122.82651299125682</v>
      </c>
      <c r="E517" s="257">
        <f t="shared" si="35"/>
        <v>122.82651299125682</v>
      </c>
      <c r="F517" s="263"/>
      <c r="G517" s="190" t="str">
        <f t="shared" si="36"/>
        <v/>
      </c>
      <c r="H517" s="259" t="str">
        <f t="shared" si="37"/>
        <v/>
      </c>
    </row>
    <row r="518" spans="1:8">
      <c r="A518" s="255">
        <f t="shared" si="34"/>
        <v>516</v>
      </c>
      <c r="B518" s="256">
        <v>45137</v>
      </c>
      <c r="C518" s="257">
        <v>146.944534</v>
      </c>
      <c r="D518" s="258">
        <v>122.82651299125682</v>
      </c>
      <c r="E518" s="257">
        <f t="shared" si="35"/>
        <v>122.82651299125682</v>
      </c>
      <c r="F518" s="263"/>
      <c r="G518" s="190" t="str">
        <f t="shared" si="36"/>
        <v/>
      </c>
      <c r="H518" s="259" t="str">
        <f t="shared" si="37"/>
        <v/>
      </c>
    </row>
    <row r="519" spans="1:8">
      <c r="A519" s="255">
        <f t="shared" si="34"/>
        <v>517</v>
      </c>
      <c r="B519" s="256">
        <v>45138</v>
      </c>
      <c r="C519" s="257">
        <v>157.70444400000002</v>
      </c>
      <c r="D519" s="258">
        <v>122.82651299125682</v>
      </c>
      <c r="E519" s="257">
        <f t="shared" si="35"/>
        <v>122.82651299125682</v>
      </c>
      <c r="F519" s="263"/>
      <c r="G519" s="190" t="str">
        <f t="shared" si="36"/>
        <v/>
      </c>
      <c r="H519" s="259" t="str">
        <f t="shared" si="37"/>
        <v/>
      </c>
    </row>
    <row r="520" spans="1:8">
      <c r="A520" s="255">
        <f t="shared" si="34"/>
        <v>518</v>
      </c>
      <c r="B520" s="256">
        <v>45139</v>
      </c>
      <c r="C520" s="257">
        <v>159.641605</v>
      </c>
      <c r="D520" s="258">
        <v>114.19078946559939</v>
      </c>
      <c r="E520" s="257">
        <f t="shared" si="35"/>
        <v>114.19078946559939</v>
      </c>
      <c r="F520" s="260"/>
      <c r="G520" s="190" t="str">
        <f t="shared" si="36"/>
        <v/>
      </c>
      <c r="H520" s="259" t="str">
        <f t="shared" si="37"/>
        <v/>
      </c>
    </row>
    <row r="521" spans="1:8">
      <c r="A521" s="255">
        <f t="shared" si="34"/>
        <v>519</v>
      </c>
      <c r="B521" s="256">
        <v>45140</v>
      </c>
      <c r="C521" s="257">
        <v>160.946381</v>
      </c>
      <c r="D521" s="258">
        <v>114.19078946559939</v>
      </c>
      <c r="E521" s="257">
        <f t="shared" si="35"/>
        <v>114.19078946559939</v>
      </c>
      <c r="F521" s="263"/>
      <c r="G521" s="190" t="str">
        <f t="shared" si="36"/>
        <v/>
      </c>
      <c r="H521" s="259" t="str">
        <f t="shared" si="37"/>
        <v/>
      </c>
    </row>
    <row r="522" spans="1:8">
      <c r="A522" s="255">
        <f t="shared" si="34"/>
        <v>520</v>
      </c>
      <c r="B522" s="256">
        <v>45141</v>
      </c>
      <c r="C522" s="257">
        <v>154.615095</v>
      </c>
      <c r="D522" s="258">
        <v>114.19078946559939</v>
      </c>
      <c r="E522" s="257">
        <f t="shared" si="35"/>
        <v>114.19078946559939</v>
      </c>
      <c r="F522" s="263"/>
      <c r="G522" s="190" t="str">
        <f t="shared" si="36"/>
        <v/>
      </c>
      <c r="H522" s="259" t="str">
        <f t="shared" si="37"/>
        <v/>
      </c>
    </row>
    <row r="523" spans="1:8">
      <c r="A523" s="255">
        <f t="shared" si="34"/>
        <v>521</v>
      </c>
      <c r="B523" s="256">
        <v>45142</v>
      </c>
      <c r="C523" s="257">
        <v>154.15444399999998</v>
      </c>
      <c r="D523" s="258">
        <v>114.19078946559939</v>
      </c>
      <c r="E523" s="257">
        <f t="shared" si="35"/>
        <v>114.19078946559939</v>
      </c>
      <c r="F523" s="263"/>
      <c r="G523" s="190" t="str">
        <f t="shared" si="36"/>
        <v/>
      </c>
      <c r="H523" s="259" t="str">
        <f t="shared" si="37"/>
        <v/>
      </c>
    </row>
    <row r="524" spans="1:8">
      <c r="A524" s="255">
        <f t="shared" si="34"/>
        <v>522</v>
      </c>
      <c r="B524" s="256">
        <v>45143</v>
      </c>
      <c r="C524" s="257">
        <v>153.29989799999998</v>
      </c>
      <c r="D524" s="258">
        <v>114.19078946559939</v>
      </c>
      <c r="E524" s="257">
        <f t="shared" si="35"/>
        <v>114.19078946559939</v>
      </c>
      <c r="F524" s="263"/>
      <c r="G524" s="190" t="str">
        <f t="shared" si="36"/>
        <v/>
      </c>
      <c r="H524" s="259" t="str">
        <f t="shared" si="37"/>
        <v/>
      </c>
    </row>
    <row r="525" spans="1:8">
      <c r="A525" s="255">
        <f t="shared" si="34"/>
        <v>523</v>
      </c>
      <c r="B525" s="256">
        <v>45144</v>
      </c>
      <c r="C525" s="257">
        <v>130.916706</v>
      </c>
      <c r="D525" s="258">
        <v>114.19078946559939</v>
      </c>
      <c r="E525" s="257">
        <f t="shared" si="35"/>
        <v>114.19078946559939</v>
      </c>
      <c r="F525" s="263"/>
      <c r="G525" s="190" t="str">
        <f t="shared" si="36"/>
        <v/>
      </c>
      <c r="H525" s="259" t="str">
        <f t="shared" si="37"/>
        <v/>
      </c>
    </row>
    <row r="526" spans="1:8">
      <c r="A526" s="255">
        <f t="shared" si="34"/>
        <v>524</v>
      </c>
      <c r="B526" s="256">
        <v>45145</v>
      </c>
      <c r="C526" s="257">
        <v>149.32700299999999</v>
      </c>
      <c r="D526" s="258">
        <v>114.19078946559939</v>
      </c>
      <c r="E526" s="257">
        <f t="shared" si="35"/>
        <v>114.19078946559939</v>
      </c>
      <c r="F526" s="263"/>
      <c r="G526" s="190" t="str">
        <f t="shared" si="36"/>
        <v/>
      </c>
      <c r="H526" s="259" t="str">
        <f t="shared" si="37"/>
        <v/>
      </c>
    </row>
    <row r="527" spans="1:8">
      <c r="A527" s="255">
        <f t="shared" si="34"/>
        <v>525</v>
      </c>
      <c r="B527" s="256">
        <v>45146</v>
      </c>
      <c r="C527" s="257">
        <v>138.871801</v>
      </c>
      <c r="D527" s="258">
        <v>114.19078946559939</v>
      </c>
      <c r="E527" s="257">
        <f t="shared" si="35"/>
        <v>114.19078946559939</v>
      </c>
      <c r="F527" s="263"/>
      <c r="G527" s="190" t="str">
        <f t="shared" si="36"/>
        <v/>
      </c>
      <c r="H527" s="259" t="str">
        <f t="shared" si="37"/>
        <v/>
      </c>
    </row>
    <row r="528" spans="1:8">
      <c r="A528" s="255">
        <f t="shared" si="34"/>
        <v>526</v>
      </c>
      <c r="B528" s="256">
        <v>45147</v>
      </c>
      <c r="C528" s="257">
        <v>118.807481</v>
      </c>
      <c r="D528" s="258">
        <v>114.19078946559939</v>
      </c>
      <c r="E528" s="257">
        <f t="shared" si="35"/>
        <v>114.19078946559939</v>
      </c>
      <c r="F528" s="263"/>
      <c r="G528" s="190" t="str">
        <f t="shared" si="36"/>
        <v/>
      </c>
      <c r="H528" s="259" t="str">
        <f t="shared" si="37"/>
        <v/>
      </c>
    </row>
    <row r="529" spans="1:8">
      <c r="A529" s="255">
        <f t="shared" si="34"/>
        <v>527</v>
      </c>
      <c r="B529" s="256">
        <v>45148</v>
      </c>
      <c r="C529" s="257">
        <v>148.40572</v>
      </c>
      <c r="D529" s="258">
        <v>114.19078946559939</v>
      </c>
      <c r="E529" s="257">
        <f t="shared" si="35"/>
        <v>114.19078946559939</v>
      </c>
      <c r="F529" s="263"/>
      <c r="G529" s="190" t="str">
        <f t="shared" si="36"/>
        <v/>
      </c>
      <c r="H529" s="259" t="str">
        <f t="shared" si="37"/>
        <v/>
      </c>
    </row>
    <row r="530" spans="1:8">
      <c r="A530" s="255">
        <f t="shared" si="34"/>
        <v>528</v>
      </c>
      <c r="B530" s="256">
        <v>45149</v>
      </c>
      <c r="C530" s="257">
        <v>155.69850099999999</v>
      </c>
      <c r="D530" s="258">
        <v>114.19078946559939</v>
      </c>
      <c r="E530" s="257">
        <f t="shared" si="35"/>
        <v>114.19078946559939</v>
      </c>
      <c r="F530" s="263"/>
      <c r="G530" s="190" t="str">
        <f t="shared" si="36"/>
        <v/>
      </c>
      <c r="H530" s="259" t="str">
        <f t="shared" si="37"/>
        <v/>
      </c>
    </row>
    <row r="531" spans="1:8">
      <c r="A531" s="255">
        <f t="shared" si="34"/>
        <v>529</v>
      </c>
      <c r="B531" s="256">
        <v>45150</v>
      </c>
      <c r="C531" s="257">
        <v>152.719471</v>
      </c>
      <c r="D531" s="258">
        <v>114.19078946559939</v>
      </c>
      <c r="E531" s="257">
        <f t="shared" si="35"/>
        <v>114.19078946559939</v>
      </c>
      <c r="F531" s="263"/>
      <c r="G531" s="190" t="str">
        <f t="shared" si="36"/>
        <v/>
      </c>
      <c r="H531" s="259" t="str">
        <f t="shared" si="37"/>
        <v/>
      </c>
    </row>
    <row r="532" spans="1:8">
      <c r="A532" s="255">
        <f t="shared" si="34"/>
        <v>530</v>
      </c>
      <c r="B532" s="256">
        <v>45151</v>
      </c>
      <c r="C532" s="257">
        <v>147.996522</v>
      </c>
      <c r="D532" s="258">
        <v>114.19078946559939</v>
      </c>
      <c r="E532" s="257">
        <f t="shared" si="35"/>
        <v>114.19078946559939</v>
      </c>
      <c r="F532" s="263"/>
      <c r="G532" s="190" t="str">
        <f t="shared" si="36"/>
        <v/>
      </c>
      <c r="H532" s="259" t="str">
        <f t="shared" si="37"/>
        <v/>
      </c>
    </row>
    <row r="533" spans="1:8">
      <c r="A533" s="255">
        <f t="shared" si="34"/>
        <v>531</v>
      </c>
      <c r="B533" s="256">
        <v>45152</v>
      </c>
      <c r="C533" s="257">
        <v>152.08022599999998</v>
      </c>
      <c r="D533" s="258">
        <v>114.19078946559939</v>
      </c>
      <c r="E533" s="257">
        <f t="shared" si="35"/>
        <v>114.19078946559939</v>
      </c>
      <c r="F533" s="263"/>
      <c r="G533" s="190" t="str">
        <f t="shared" si="36"/>
        <v/>
      </c>
      <c r="H533" s="259" t="str">
        <f t="shared" si="37"/>
        <v/>
      </c>
    </row>
    <row r="534" spans="1:8">
      <c r="A534" s="255">
        <f t="shared" si="34"/>
        <v>532</v>
      </c>
      <c r="B534" s="256">
        <v>45153</v>
      </c>
      <c r="C534" s="257">
        <v>141.41481999999999</v>
      </c>
      <c r="D534" s="258">
        <v>114.19078946559939</v>
      </c>
      <c r="E534" s="257">
        <f t="shared" si="35"/>
        <v>114.19078946559939</v>
      </c>
      <c r="F534" s="263"/>
      <c r="G534" s="190" t="str">
        <f t="shared" si="36"/>
        <v>A</v>
      </c>
      <c r="H534" s="259" t="str">
        <f t="shared" si="37"/>
        <v>114,2</v>
      </c>
    </row>
    <row r="535" spans="1:8">
      <c r="A535" s="255">
        <f t="shared" si="34"/>
        <v>533</v>
      </c>
      <c r="B535" s="256">
        <v>45154</v>
      </c>
      <c r="C535" s="257">
        <v>146.34521100000001</v>
      </c>
      <c r="D535" s="258">
        <v>114.19078946559939</v>
      </c>
      <c r="E535" s="257">
        <f t="shared" si="35"/>
        <v>114.19078946559939</v>
      </c>
      <c r="F535" s="263"/>
      <c r="G535" s="190" t="str">
        <f t="shared" si="36"/>
        <v/>
      </c>
      <c r="H535" s="259" t="str">
        <f t="shared" si="37"/>
        <v/>
      </c>
    </row>
    <row r="536" spans="1:8">
      <c r="A536" s="255">
        <f t="shared" si="34"/>
        <v>534</v>
      </c>
      <c r="B536" s="256">
        <v>45155</v>
      </c>
      <c r="C536" s="257">
        <v>153.36753200000001</v>
      </c>
      <c r="D536" s="258">
        <v>114.19078946559939</v>
      </c>
      <c r="E536" s="257">
        <f t="shared" si="35"/>
        <v>114.19078946559939</v>
      </c>
      <c r="F536" s="263"/>
      <c r="G536" s="190" t="str">
        <f t="shared" si="36"/>
        <v/>
      </c>
      <c r="H536" s="259" t="str">
        <f t="shared" si="37"/>
        <v/>
      </c>
    </row>
    <row r="537" spans="1:8">
      <c r="A537" s="255">
        <f t="shared" si="34"/>
        <v>535</v>
      </c>
      <c r="B537" s="256">
        <v>45156</v>
      </c>
      <c r="C537" s="257">
        <v>137.79235699999998</v>
      </c>
      <c r="D537" s="258">
        <v>114.19078946559939</v>
      </c>
      <c r="E537" s="257">
        <f t="shared" si="35"/>
        <v>114.19078946559939</v>
      </c>
      <c r="F537" s="263"/>
      <c r="G537" s="190" t="str">
        <f t="shared" si="36"/>
        <v/>
      </c>
      <c r="H537" s="259" t="str">
        <f t="shared" si="37"/>
        <v/>
      </c>
    </row>
    <row r="538" spans="1:8">
      <c r="A538" s="255">
        <f t="shared" si="34"/>
        <v>536</v>
      </c>
      <c r="B538" s="256">
        <v>45157</v>
      </c>
      <c r="C538" s="257">
        <v>149.33111600000001</v>
      </c>
      <c r="D538" s="258">
        <v>114.19078946559939</v>
      </c>
      <c r="E538" s="257">
        <f t="shared" si="35"/>
        <v>114.19078946559939</v>
      </c>
      <c r="F538" s="263"/>
      <c r="G538" s="190" t="str">
        <f t="shared" si="36"/>
        <v/>
      </c>
      <c r="H538" s="259" t="str">
        <f t="shared" si="37"/>
        <v/>
      </c>
    </row>
    <row r="539" spans="1:8">
      <c r="A539" s="255">
        <f t="shared" si="34"/>
        <v>537</v>
      </c>
      <c r="B539" s="256">
        <v>45158</v>
      </c>
      <c r="C539" s="257">
        <v>146.58249599999999</v>
      </c>
      <c r="D539" s="258">
        <v>114.19078946559939</v>
      </c>
      <c r="E539" s="257">
        <f t="shared" si="35"/>
        <v>114.19078946559939</v>
      </c>
      <c r="F539" s="263"/>
      <c r="G539" s="190" t="str">
        <f t="shared" si="36"/>
        <v/>
      </c>
      <c r="H539" s="259" t="str">
        <f t="shared" si="37"/>
        <v/>
      </c>
    </row>
    <row r="540" spans="1:8">
      <c r="A540" s="255">
        <f t="shared" si="34"/>
        <v>538</v>
      </c>
      <c r="B540" s="256">
        <v>45159</v>
      </c>
      <c r="C540" s="257">
        <v>146.10304300000001</v>
      </c>
      <c r="D540" s="258">
        <v>114.19078946559939</v>
      </c>
      <c r="E540" s="257">
        <f t="shared" si="35"/>
        <v>114.19078946559939</v>
      </c>
      <c r="F540" s="263"/>
      <c r="G540" s="190" t="str">
        <f t="shared" si="36"/>
        <v/>
      </c>
      <c r="H540" s="259" t="str">
        <f t="shared" si="37"/>
        <v/>
      </c>
    </row>
    <row r="541" spans="1:8">
      <c r="A541" s="255">
        <f t="shared" si="34"/>
        <v>539</v>
      </c>
      <c r="B541" s="256">
        <v>45160</v>
      </c>
      <c r="C541" s="257">
        <v>144.10764200000003</v>
      </c>
      <c r="D541" s="258">
        <v>114.19078946559939</v>
      </c>
      <c r="E541" s="257">
        <f t="shared" si="35"/>
        <v>114.19078946559939</v>
      </c>
      <c r="F541" s="263"/>
      <c r="G541" s="190" t="str">
        <f t="shared" si="36"/>
        <v/>
      </c>
      <c r="H541" s="259" t="str">
        <f t="shared" si="37"/>
        <v/>
      </c>
    </row>
    <row r="542" spans="1:8">
      <c r="A542" s="255">
        <f t="shared" si="34"/>
        <v>540</v>
      </c>
      <c r="B542" s="256">
        <v>45161</v>
      </c>
      <c r="C542" s="257">
        <v>143.66591500000001</v>
      </c>
      <c r="D542" s="258">
        <v>114.19078946559939</v>
      </c>
      <c r="E542" s="257">
        <f t="shared" si="35"/>
        <v>114.19078946559939</v>
      </c>
      <c r="F542" s="263"/>
      <c r="G542" s="190" t="str">
        <f t="shared" si="36"/>
        <v/>
      </c>
      <c r="H542" s="259" t="str">
        <f t="shared" si="37"/>
        <v/>
      </c>
    </row>
    <row r="543" spans="1:8">
      <c r="A543" s="255">
        <f t="shared" si="34"/>
        <v>541</v>
      </c>
      <c r="B543" s="256">
        <v>45162</v>
      </c>
      <c r="C543" s="257">
        <v>143.52281400000001</v>
      </c>
      <c r="D543" s="258">
        <v>114.19078946559939</v>
      </c>
      <c r="E543" s="257">
        <f t="shared" si="35"/>
        <v>114.19078946559939</v>
      </c>
      <c r="F543" s="263"/>
      <c r="G543" s="190" t="str">
        <f t="shared" si="36"/>
        <v/>
      </c>
      <c r="H543" s="259" t="str">
        <f t="shared" si="37"/>
        <v/>
      </c>
    </row>
    <row r="544" spans="1:8">
      <c r="A544" s="255">
        <f t="shared" si="34"/>
        <v>542</v>
      </c>
      <c r="B544" s="256">
        <v>45163</v>
      </c>
      <c r="C544" s="257">
        <v>131.73344500000002</v>
      </c>
      <c r="D544" s="258">
        <v>114.19078946559939</v>
      </c>
      <c r="E544" s="257">
        <f t="shared" si="35"/>
        <v>114.19078946559939</v>
      </c>
      <c r="F544" s="263"/>
      <c r="G544" s="190" t="str">
        <f t="shared" si="36"/>
        <v/>
      </c>
      <c r="H544" s="259" t="str">
        <f t="shared" si="37"/>
        <v/>
      </c>
    </row>
    <row r="545" spans="1:8">
      <c r="A545" s="255">
        <f t="shared" si="34"/>
        <v>543</v>
      </c>
      <c r="B545" s="256">
        <v>45164</v>
      </c>
      <c r="C545" s="257">
        <v>85.459106000000006</v>
      </c>
      <c r="D545" s="258">
        <v>114.19078946559939</v>
      </c>
      <c r="E545" s="257">
        <f t="shared" si="35"/>
        <v>85.459106000000006</v>
      </c>
      <c r="F545" s="263"/>
      <c r="G545" s="190" t="str">
        <f t="shared" si="36"/>
        <v/>
      </c>
      <c r="H545" s="259" t="str">
        <f t="shared" si="37"/>
        <v/>
      </c>
    </row>
    <row r="546" spans="1:8">
      <c r="A546" s="255">
        <f t="shared" si="34"/>
        <v>544</v>
      </c>
      <c r="B546" s="256">
        <v>45165</v>
      </c>
      <c r="C546" s="257">
        <v>110.997637</v>
      </c>
      <c r="D546" s="258">
        <v>114.19078946559939</v>
      </c>
      <c r="E546" s="257">
        <f t="shared" si="35"/>
        <v>110.997637</v>
      </c>
      <c r="F546" s="263"/>
      <c r="G546" s="190" t="str">
        <f t="shared" si="36"/>
        <v/>
      </c>
      <c r="H546" s="259" t="str">
        <f t="shared" si="37"/>
        <v/>
      </c>
    </row>
    <row r="547" spans="1:8">
      <c r="A547" s="255">
        <f t="shared" si="34"/>
        <v>545</v>
      </c>
      <c r="B547" s="256">
        <v>45166</v>
      </c>
      <c r="C547" s="257">
        <v>141.29713000000001</v>
      </c>
      <c r="D547" s="258">
        <v>114.19078946559939</v>
      </c>
      <c r="E547" s="257">
        <f t="shared" si="35"/>
        <v>114.19078946559939</v>
      </c>
      <c r="F547" s="263"/>
      <c r="G547" s="190" t="str">
        <f t="shared" si="36"/>
        <v/>
      </c>
      <c r="H547" s="259" t="str">
        <f t="shared" si="37"/>
        <v/>
      </c>
    </row>
    <row r="548" spans="1:8">
      <c r="A548" s="255">
        <f t="shared" si="34"/>
        <v>546</v>
      </c>
      <c r="B548" s="256">
        <v>45167</v>
      </c>
      <c r="C548" s="257">
        <v>139.64534900000001</v>
      </c>
      <c r="D548" s="258">
        <v>114.19078946559939</v>
      </c>
      <c r="E548" s="257">
        <f t="shared" si="35"/>
        <v>114.19078946559939</v>
      </c>
      <c r="F548" s="263"/>
      <c r="G548" s="190" t="str">
        <f t="shared" si="36"/>
        <v/>
      </c>
      <c r="H548" s="259" t="str">
        <f t="shared" si="37"/>
        <v/>
      </c>
    </row>
    <row r="549" spans="1:8">
      <c r="A549" s="255">
        <f t="shared" si="34"/>
        <v>547</v>
      </c>
      <c r="B549" s="256">
        <v>45168</v>
      </c>
      <c r="C549" s="257">
        <v>135.33954900000001</v>
      </c>
      <c r="D549" s="258">
        <v>114.19078946559939</v>
      </c>
      <c r="E549" s="257">
        <f t="shared" si="35"/>
        <v>114.19078946559939</v>
      </c>
      <c r="F549" s="263"/>
      <c r="G549" s="190" t="str">
        <f t="shared" si="36"/>
        <v/>
      </c>
      <c r="H549" s="259" t="str">
        <f t="shared" si="37"/>
        <v/>
      </c>
    </row>
    <row r="550" spans="1:8">
      <c r="A550" s="255">
        <f t="shared" si="34"/>
        <v>548</v>
      </c>
      <c r="B550" s="256">
        <v>45169</v>
      </c>
      <c r="C550" s="257">
        <v>145.87965899999998</v>
      </c>
      <c r="D550" s="258">
        <v>114.19078946559939</v>
      </c>
      <c r="E550" s="257">
        <f t="shared" si="35"/>
        <v>114.19078946559939</v>
      </c>
      <c r="F550" s="263"/>
      <c r="G550" s="190" t="str">
        <f t="shared" si="36"/>
        <v/>
      </c>
      <c r="H550" s="259" t="str">
        <f t="shared" si="37"/>
        <v/>
      </c>
    </row>
    <row r="551" spans="1:8">
      <c r="A551" s="255">
        <f t="shared" si="34"/>
        <v>549</v>
      </c>
      <c r="B551" s="256">
        <v>45170</v>
      </c>
      <c r="C551" s="257">
        <v>130.54316800000001</v>
      </c>
      <c r="D551" s="258">
        <v>98.140348626727686</v>
      </c>
      <c r="E551" s="257">
        <f t="shared" si="35"/>
        <v>98.140348626727686</v>
      </c>
      <c r="F551" s="263"/>
      <c r="G551" s="190" t="str">
        <f t="shared" si="36"/>
        <v/>
      </c>
      <c r="H551" s="259" t="str">
        <f t="shared" si="37"/>
        <v/>
      </c>
    </row>
    <row r="552" spans="1:8">
      <c r="A552" s="255">
        <f t="shared" si="34"/>
        <v>550</v>
      </c>
      <c r="B552" s="256">
        <v>45171</v>
      </c>
      <c r="C552" s="257">
        <v>69.105034000000003</v>
      </c>
      <c r="D552" s="258">
        <v>98.140348626727686</v>
      </c>
      <c r="E552" s="257">
        <f t="shared" si="35"/>
        <v>69.105034000000003</v>
      </c>
      <c r="F552" s="263"/>
      <c r="G552" s="190" t="str">
        <f t="shared" si="36"/>
        <v/>
      </c>
      <c r="H552" s="259" t="str">
        <f t="shared" si="37"/>
        <v/>
      </c>
    </row>
    <row r="553" spans="1:8">
      <c r="A553" s="255">
        <f t="shared" si="34"/>
        <v>551</v>
      </c>
      <c r="B553" s="256">
        <v>45172</v>
      </c>
      <c r="C553" s="257">
        <v>38.813513</v>
      </c>
      <c r="D553" s="258">
        <v>98.140348626727686</v>
      </c>
      <c r="E553" s="257">
        <f t="shared" si="35"/>
        <v>38.813513</v>
      </c>
      <c r="F553" s="263"/>
      <c r="G553" s="190" t="str">
        <f t="shared" si="36"/>
        <v/>
      </c>
      <c r="H553" s="259" t="str">
        <f t="shared" si="37"/>
        <v/>
      </c>
    </row>
    <row r="554" spans="1:8">
      <c r="A554" s="255">
        <f t="shared" si="34"/>
        <v>552</v>
      </c>
      <c r="B554" s="256">
        <v>45173</v>
      </c>
      <c r="C554" s="257">
        <v>104.362629</v>
      </c>
      <c r="D554" s="258">
        <v>98.140348626727686</v>
      </c>
      <c r="E554" s="257">
        <f t="shared" si="35"/>
        <v>98.140348626727686</v>
      </c>
      <c r="F554" s="263"/>
      <c r="G554" s="190" t="str">
        <f t="shared" si="36"/>
        <v/>
      </c>
      <c r="H554" s="259" t="str">
        <f t="shared" si="37"/>
        <v/>
      </c>
    </row>
    <row r="555" spans="1:8">
      <c r="A555" s="255">
        <f t="shared" si="34"/>
        <v>553</v>
      </c>
      <c r="B555" s="256">
        <v>45174</v>
      </c>
      <c r="C555" s="257">
        <v>119.65685000000001</v>
      </c>
      <c r="D555" s="258">
        <v>98.140348626727686</v>
      </c>
      <c r="E555" s="257">
        <f t="shared" si="35"/>
        <v>98.140348626727686</v>
      </c>
      <c r="F555" s="263"/>
      <c r="G555" s="190" t="str">
        <f t="shared" si="36"/>
        <v/>
      </c>
      <c r="H555" s="259" t="str">
        <f t="shared" si="37"/>
        <v/>
      </c>
    </row>
    <row r="556" spans="1:8">
      <c r="A556" s="255">
        <f t="shared" si="34"/>
        <v>554</v>
      </c>
      <c r="B556" s="256">
        <v>45175</v>
      </c>
      <c r="C556" s="257">
        <v>121.33107200000001</v>
      </c>
      <c r="D556" s="258">
        <v>98.140348626727686</v>
      </c>
      <c r="E556" s="257">
        <f t="shared" si="35"/>
        <v>98.140348626727686</v>
      </c>
      <c r="F556" s="263"/>
      <c r="G556" s="190" t="str">
        <f t="shared" si="36"/>
        <v/>
      </c>
      <c r="H556" s="259" t="str">
        <f t="shared" si="37"/>
        <v/>
      </c>
    </row>
    <row r="557" spans="1:8">
      <c r="A557" s="255">
        <f t="shared" si="34"/>
        <v>555</v>
      </c>
      <c r="B557" s="256">
        <v>45176</v>
      </c>
      <c r="C557" s="257">
        <v>105.225438</v>
      </c>
      <c r="D557" s="258">
        <v>98.140348626727686</v>
      </c>
      <c r="E557" s="257">
        <f t="shared" si="35"/>
        <v>98.140348626727686</v>
      </c>
      <c r="F557" s="263"/>
      <c r="G557" s="190" t="str">
        <f t="shared" si="36"/>
        <v/>
      </c>
      <c r="H557" s="259" t="str">
        <f t="shared" si="37"/>
        <v/>
      </c>
    </row>
    <row r="558" spans="1:8">
      <c r="A558" s="255">
        <f t="shared" si="34"/>
        <v>556</v>
      </c>
      <c r="B558" s="256">
        <v>45177</v>
      </c>
      <c r="C558" s="257">
        <v>124.13243799999999</v>
      </c>
      <c r="D558" s="258">
        <v>98.140348626727686</v>
      </c>
      <c r="E558" s="257">
        <f t="shared" si="35"/>
        <v>98.140348626727686</v>
      </c>
      <c r="F558" s="263"/>
      <c r="G558" s="190" t="str">
        <f t="shared" si="36"/>
        <v/>
      </c>
      <c r="H558" s="259" t="str">
        <f t="shared" si="37"/>
        <v/>
      </c>
    </row>
    <row r="559" spans="1:8">
      <c r="A559" s="255">
        <f t="shared" si="34"/>
        <v>557</v>
      </c>
      <c r="B559" s="256">
        <v>45178</v>
      </c>
      <c r="C559" s="257">
        <v>107.31618699999999</v>
      </c>
      <c r="D559" s="258">
        <v>98.140348626727686</v>
      </c>
      <c r="E559" s="257">
        <f t="shared" si="35"/>
        <v>98.140348626727686</v>
      </c>
      <c r="F559" s="263"/>
      <c r="G559" s="190" t="str">
        <f t="shared" si="36"/>
        <v/>
      </c>
      <c r="H559" s="259" t="str">
        <f t="shared" si="37"/>
        <v/>
      </c>
    </row>
    <row r="560" spans="1:8">
      <c r="A560" s="255">
        <f t="shared" si="34"/>
        <v>558</v>
      </c>
      <c r="B560" s="256">
        <v>45179</v>
      </c>
      <c r="C560" s="257">
        <v>122.46715500000001</v>
      </c>
      <c r="D560" s="258">
        <v>98.140348626727686</v>
      </c>
      <c r="E560" s="257">
        <f t="shared" si="35"/>
        <v>98.140348626727686</v>
      </c>
      <c r="F560" s="263"/>
      <c r="G560" s="190" t="str">
        <f t="shared" si="36"/>
        <v/>
      </c>
      <c r="H560" s="259" t="str">
        <f t="shared" si="37"/>
        <v/>
      </c>
    </row>
    <row r="561" spans="1:8">
      <c r="A561" s="255">
        <f t="shared" si="34"/>
        <v>559</v>
      </c>
      <c r="B561" s="256">
        <v>45180</v>
      </c>
      <c r="C561" s="257">
        <v>116.246014</v>
      </c>
      <c r="D561" s="258">
        <v>98.140348626727686</v>
      </c>
      <c r="E561" s="257">
        <f t="shared" si="35"/>
        <v>98.140348626727686</v>
      </c>
      <c r="F561" s="263"/>
      <c r="G561" s="190" t="str">
        <f t="shared" si="36"/>
        <v/>
      </c>
      <c r="H561" s="259" t="str">
        <f t="shared" si="37"/>
        <v/>
      </c>
    </row>
    <row r="562" spans="1:8">
      <c r="A562" s="255">
        <f t="shared" si="34"/>
        <v>560</v>
      </c>
      <c r="B562" s="256">
        <v>45181</v>
      </c>
      <c r="C562" s="257">
        <v>115.80509699999999</v>
      </c>
      <c r="D562" s="258">
        <v>98.140348626727686</v>
      </c>
      <c r="E562" s="257">
        <f t="shared" si="35"/>
        <v>98.140348626727686</v>
      </c>
      <c r="F562" s="263"/>
      <c r="G562" s="190" t="str">
        <f t="shared" si="36"/>
        <v/>
      </c>
      <c r="H562" s="259" t="str">
        <f t="shared" si="37"/>
        <v/>
      </c>
    </row>
    <row r="563" spans="1:8">
      <c r="A563" s="255">
        <f t="shared" si="34"/>
        <v>561</v>
      </c>
      <c r="B563" s="256">
        <v>45182</v>
      </c>
      <c r="C563" s="257">
        <v>125.21198299999999</v>
      </c>
      <c r="D563" s="258">
        <v>98.140348626727686</v>
      </c>
      <c r="E563" s="257">
        <f t="shared" si="35"/>
        <v>98.140348626727686</v>
      </c>
      <c r="F563" s="263"/>
      <c r="G563" s="190" t="str">
        <f t="shared" si="36"/>
        <v/>
      </c>
      <c r="H563" s="259" t="str">
        <f t="shared" si="37"/>
        <v/>
      </c>
    </row>
    <row r="564" spans="1:8">
      <c r="A564" s="255">
        <f t="shared" si="34"/>
        <v>562</v>
      </c>
      <c r="B564" s="256">
        <v>45183</v>
      </c>
      <c r="C564" s="257">
        <v>113.033214</v>
      </c>
      <c r="D564" s="258">
        <v>98.140348626727686</v>
      </c>
      <c r="E564" s="257">
        <f t="shared" si="35"/>
        <v>98.140348626727686</v>
      </c>
      <c r="F564" s="263"/>
      <c r="G564" s="190" t="str">
        <f t="shared" si="36"/>
        <v/>
      </c>
      <c r="H564" s="259" t="str">
        <f t="shared" si="37"/>
        <v/>
      </c>
    </row>
    <row r="565" spans="1:8">
      <c r="A565" s="255">
        <f t="shared" si="34"/>
        <v>563</v>
      </c>
      <c r="B565" s="256">
        <v>45184</v>
      </c>
      <c r="C565" s="257">
        <v>82.169178000000002</v>
      </c>
      <c r="D565" s="258">
        <v>98.140348626727686</v>
      </c>
      <c r="E565" s="257">
        <f t="shared" si="35"/>
        <v>82.169178000000002</v>
      </c>
      <c r="F565" s="263"/>
      <c r="G565" s="190" t="str">
        <f t="shared" si="36"/>
        <v>S</v>
      </c>
      <c r="H565" s="259" t="str">
        <f t="shared" si="37"/>
        <v>98,1</v>
      </c>
    </row>
    <row r="566" spans="1:8">
      <c r="A566" s="255">
        <f t="shared" si="34"/>
        <v>564</v>
      </c>
      <c r="B566" s="256">
        <v>45185</v>
      </c>
      <c r="C566" s="257">
        <v>71.069744999999998</v>
      </c>
      <c r="D566" s="258">
        <v>98.140348626727686</v>
      </c>
      <c r="E566" s="257">
        <f t="shared" si="35"/>
        <v>71.069744999999998</v>
      </c>
      <c r="F566" s="263"/>
      <c r="G566" s="190" t="str">
        <f t="shared" si="36"/>
        <v/>
      </c>
      <c r="H566" s="259" t="str">
        <f t="shared" si="37"/>
        <v/>
      </c>
    </row>
    <row r="567" spans="1:8">
      <c r="A567" s="255">
        <f t="shared" si="34"/>
        <v>565</v>
      </c>
      <c r="B567" s="256">
        <v>45186</v>
      </c>
      <c r="C567" s="257">
        <v>80.584566000000009</v>
      </c>
      <c r="D567" s="258">
        <v>98.140348626727686</v>
      </c>
      <c r="E567" s="257">
        <f t="shared" si="35"/>
        <v>80.584566000000009</v>
      </c>
      <c r="F567" s="263"/>
      <c r="G567" s="190" t="str">
        <f t="shared" si="36"/>
        <v/>
      </c>
      <c r="H567" s="259" t="str">
        <f t="shared" si="37"/>
        <v/>
      </c>
    </row>
    <row r="568" spans="1:8">
      <c r="A568" s="255">
        <f t="shared" si="34"/>
        <v>566</v>
      </c>
      <c r="B568" s="256">
        <v>45187</v>
      </c>
      <c r="C568" s="257">
        <v>94.975397000000001</v>
      </c>
      <c r="D568" s="258">
        <v>98.140348626727686</v>
      </c>
      <c r="E568" s="257">
        <f t="shared" si="35"/>
        <v>94.975397000000001</v>
      </c>
      <c r="F568" s="263"/>
      <c r="G568" s="190" t="str">
        <f t="shared" si="36"/>
        <v/>
      </c>
      <c r="H568" s="259" t="str">
        <f t="shared" si="37"/>
        <v/>
      </c>
    </row>
    <row r="569" spans="1:8">
      <c r="A569" s="255">
        <f t="shared" si="34"/>
        <v>567</v>
      </c>
      <c r="B569" s="256">
        <v>45188</v>
      </c>
      <c r="C569" s="257">
        <v>113.43906700000001</v>
      </c>
      <c r="D569" s="258">
        <v>98.140348626727686</v>
      </c>
      <c r="E569" s="257">
        <f t="shared" si="35"/>
        <v>98.140348626727686</v>
      </c>
      <c r="F569" s="263"/>
      <c r="G569" s="190" t="str">
        <f t="shared" si="36"/>
        <v/>
      </c>
      <c r="H569" s="259" t="str">
        <f t="shared" si="37"/>
        <v/>
      </c>
    </row>
    <row r="570" spans="1:8">
      <c r="A570" s="255">
        <f t="shared" si="34"/>
        <v>568</v>
      </c>
      <c r="B570" s="256">
        <v>45189</v>
      </c>
      <c r="C570" s="257">
        <v>134.27815699999999</v>
      </c>
      <c r="D570" s="258">
        <v>98.140348626727686</v>
      </c>
      <c r="E570" s="257">
        <f t="shared" si="35"/>
        <v>98.140348626727686</v>
      </c>
      <c r="F570" s="263"/>
      <c r="G570" s="190" t="str">
        <f t="shared" si="36"/>
        <v/>
      </c>
      <c r="H570" s="259" t="str">
        <f t="shared" si="37"/>
        <v/>
      </c>
    </row>
    <row r="571" spans="1:8">
      <c r="A571" s="255">
        <f t="shared" si="34"/>
        <v>569</v>
      </c>
      <c r="B571" s="256">
        <v>45190</v>
      </c>
      <c r="C571" s="257">
        <v>77.363046999999995</v>
      </c>
      <c r="D571" s="258">
        <v>98.140348626727686</v>
      </c>
      <c r="E571" s="257">
        <f t="shared" si="35"/>
        <v>77.363046999999995</v>
      </c>
      <c r="F571" s="263"/>
      <c r="G571" s="190" t="str">
        <f t="shared" si="36"/>
        <v/>
      </c>
      <c r="H571" s="259" t="str">
        <f t="shared" si="37"/>
        <v/>
      </c>
    </row>
    <row r="572" spans="1:8">
      <c r="A572" s="255">
        <f t="shared" si="34"/>
        <v>570</v>
      </c>
      <c r="B572" s="256">
        <v>45191</v>
      </c>
      <c r="C572" s="257">
        <v>131.40779599999999</v>
      </c>
      <c r="D572" s="258">
        <v>98.140348626727686</v>
      </c>
      <c r="E572" s="257">
        <f t="shared" si="35"/>
        <v>98.140348626727686</v>
      </c>
      <c r="F572" s="263"/>
      <c r="G572" s="190" t="str">
        <f t="shared" si="36"/>
        <v/>
      </c>
      <c r="H572" s="259" t="str">
        <f t="shared" si="37"/>
        <v/>
      </c>
    </row>
    <row r="573" spans="1:8">
      <c r="A573" s="255">
        <f t="shared" si="34"/>
        <v>571</v>
      </c>
      <c r="B573" s="256">
        <v>45192</v>
      </c>
      <c r="C573" s="257">
        <v>135.50163000000001</v>
      </c>
      <c r="D573" s="258">
        <v>98.140348626727686</v>
      </c>
      <c r="E573" s="257">
        <f t="shared" si="35"/>
        <v>98.140348626727686</v>
      </c>
      <c r="F573" s="263"/>
      <c r="G573" s="190" t="str">
        <f t="shared" si="36"/>
        <v/>
      </c>
      <c r="H573" s="259" t="str">
        <f t="shared" si="37"/>
        <v/>
      </c>
    </row>
    <row r="574" spans="1:8">
      <c r="A574" s="255">
        <f t="shared" si="34"/>
        <v>572</v>
      </c>
      <c r="B574" s="256">
        <v>45193</v>
      </c>
      <c r="C574" s="257">
        <v>121.84695300000001</v>
      </c>
      <c r="D574" s="258">
        <v>98.140348626727686</v>
      </c>
      <c r="E574" s="257">
        <f t="shared" si="35"/>
        <v>98.140348626727686</v>
      </c>
      <c r="F574" s="263"/>
      <c r="G574" s="190" t="str">
        <f t="shared" si="36"/>
        <v/>
      </c>
      <c r="H574" s="259" t="str">
        <f t="shared" si="37"/>
        <v/>
      </c>
    </row>
    <row r="575" spans="1:8">
      <c r="A575" s="255">
        <f t="shared" si="34"/>
        <v>573</v>
      </c>
      <c r="B575" s="256">
        <v>45194</v>
      </c>
      <c r="C575" s="257">
        <v>134.863631</v>
      </c>
      <c r="D575" s="258">
        <v>98.140348626727686</v>
      </c>
      <c r="E575" s="257">
        <f t="shared" si="35"/>
        <v>98.140348626727686</v>
      </c>
      <c r="F575" s="263"/>
      <c r="G575" s="190" t="str">
        <f t="shared" si="36"/>
        <v/>
      </c>
      <c r="H575" s="259" t="str">
        <f t="shared" si="37"/>
        <v/>
      </c>
    </row>
    <row r="576" spans="1:8">
      <c r="A576" s="255">
        <f t="shared" si="34"/>
        <v>574</v>
      </c>
      <c r="B576" s="256">
        <v>45195</v>
      </c>
      <c r="C576" s="257">
        <v>128.07150999999999</v>
      </c>
      <c r="D576" s="258">
        <v>98.140348626727686</v>
      </c>
      <c r="E576" s="257">
        <f t="shared" si="35"/>
        <v>98.140348626727686</v>
      </c>
      <c r="F576" s="263"/>
      <c r="G576" s="190" t="str">
        <f t="shared" si="36"/>
        <v/>
      </c>
      <c r="H576" s="259" t="str">
        <f t="shared" si="37"/>
        <v/>
      </c>
    </row>
    <row r="577" spans="1:8">
      <c r="A577" s="255">
        <f t="shared" si="34"/>
        <v>575</v>
      </c>
      <c r="B577" s="256">
        <v>45196</v>
      </c>
      <c r="C577" s="257">
        <v>123.78243499999999</v>
      </c>
      <c r="D577" s="258">
        <v>98.140348626727686</v>
      </c>
      <c r="E577" s="257">
        <f t="shared" si="35"/>
        <v>98.140348626727686</v>
      </c>
      <c r="F577" s="263"/>
      <c r="G577" s="190" t="str">
        <f t="shared" si="36"/>
        <v/>
      </c>
      <c r="H577" s="259" t="str">
        <f t="shared" si="37"/>
        <v/>
      </c>
    </row>
    <row r="578" spans="1:8">
      <c r="A578" s="255">
        <f t="shared" si="34"/>
        <v>576</v>
      </c>
      <c r="B578" s="256">
        <v>45197</v>
      </c>
      <c r="C578" s="257">
        <v>128.89891</v>
      </c>
      <c r="D578" s="258">
        <v>98.140348626727686</v>
      </c>
      <c r="E578" s="257">
        <f t="shared" si="35"/>
        <v>98.140348626727686</v>
      </c>
      <c r="F578" s="263"/>
      <c r="G578" s="190" t="str">
        <f t="shared" si="36"/>
        <v/>
      </c>
      <c r="H578" s="259" t="str">
        <f t="shared" si="37"/>
        <v/>
      </c>
    </row>
    <row r="579" spans="1:8">
      <c r="A579" s="255">
        <f t="shared" si="34"/>
        <v>577</v>
      </c>
      <c r="B579" s="256">
        <v>45198</v>
      </c>
      <c r="C579" s="257">
        <v>130.21517300000002</v>
      </c>
      <c r="D579" s="258">
        <v>98.140348626727686</v>
      </c>
      <c r="E579" s="257">
        <f t="shared" si="35"/>
        <v>98.140348626727686</v>
      </c>
      <c r="F579" s="263"/>
      <c r="G579" s="190" t="str">
        <f t="shared" si="36"/>
        <v/>
      </c>
      <c r="H579" s="259" t="str">
        <f t="shared" si="37"/>
        <v/>
      </c>
    </row>
    <row r="580" spans="1:8">
      <c r="A580" s="255">
        <f t="shared" ref="A580:A643" si="38">+A579+1</f>
        <v>578</v>
      </c>
      <c r="B580" s="256">
        <v>45199</v>
      </c>
      <c r="C580" s="257">
        <v>125.488322</v>
      </c>
      <c r="D580" s="258">
        <v>98.140348626727686</v>
      </c>
      <c r="E580" s="257">
        <f t="shared" ref="E580:E643" si="39">IF(C580&gt;D580,D580,C580)</f>
        <v>98.140348626727686</v>
      </c>
      <c r="F580" s="263"/>
      <c r="G580" s="190" t="str">
        <f t="shared" ref="G580:G643" si="40">IF(DAY(B580)=15,IF(MONTH(B580)=1,"E",IF(MONTH(B580)=2,"F",IF(MONTH(B580)=3,"M",IF(MONTH(B580)=4,"A",IF(MONTH(B580)=5,"M",IF(MONTH(B580)=6,"J",IF(MONTH(B580)=7,"J",IF(MONTH(B580)=8,"A",IF(MONTH(B580)=9,"S",IF(MONTH(B580)=10,"O",IF(MONTH(B580)=11,"N",IF(MONTH(B580)=12,"D","")))))))))))),"")</f>
        <v/>
      </c>
      <c r="H580" s="259" t="str">
        <f t="shared" ref="H580:H643" si="41">IF(DAY($B580)=15,TEXT(D580,"#,0"),"")</f>
        <v/>
      </c>
    </row>
    <row r="581" spans="1:8">
      <c r="A581" s="255">
        <f t="shared" si="38"/>
        <v>579</v>
      </c>
      <c r="B581" s="256">
        <v>45200</v>
      </c>
      <c r="C581" s="257">
        <v>130.32539199999999</v>
      </c>
      <c r="D581" s="258">
        <v>78.374494078493669</v>
      </c>
      <c r="E581" s="257">
        <f t="shared" si="39"/>
        <v>78.374494078493669</v>
      </c>
      <c r="F581" s="260"/>
      <c r="G581" s="190" t="str">
        <f t="shared" si="40"/>
        <v/>
      </c>
      <c r="H581" s="259" t="str">
        <f t="shared" si="41"/>
        <v/>
      </c>
    </row>
    <row r="582" spans="1:8">
      <c r="A582" s="255">
        <f t="shared" si="38"/>
        <v>580</v>
      </c>
      <c r="B582" s="256">
        <v>45201</v>
      </c>
      <c r="C582" s="257">
        <v>125.11716199999999</v>
      </c>
      <c r="D582" s="258">
        <v>78.374494078493669</v>
      </c>
      <c r="E582" s="257">
        <f t="shared" si="39"/>
        <v>78.374494078493669</v>
      </c>
      <c r="F582" s="263"/>
      <c r="G582" s="190" t="str">
        <f t="shared" si="40"/>
        <v/>
      </c>
      <c r="H582" s="259" t="str">
        <f t="shared" si="41"/>
        <v/>
      </c>
    </row>
    <row r="583" spans="1:8">
      <c r="A583" s="255">
        <f t="shared" si="38"/>
        <v>581</v>
      </c>
      <c r="B583" s="256">
        <v>45202</v>
      </c>
      <c r="C583" s="257">
        <v>118.01702299999999</v>
      </c>
      <c r="D583" s="258">
        <v>78.374494078493669</v>
      </c>
      <c r="E583" s="257">
        <f t="shared" si="39"/>
        <v>78.374494078493669</v>
      </c>
      <c r="F583" s="263"/>
      <c r="G583" s="190" t="str">
        <f t="shared" si="40"/>
        <v/>
      </c>
      <c r="H583" s="259" t="str">
        <f t="shared" si="41"/>
        <v/>
      </c>
    </row>
    <row r="584" spans="1:8">
      <c r="A584" s="255">
        <f t="shared" si="38"/>
        <v>582</v>
      </c>
      <c r="B584" s="256">
        <v>45203</v>
      </c>
      <c r="C584" s="257">
        <v>120.533817</v>
      </c>
      <c r="D584" s="258">
        <v>78.374494078493669</v>
      </c>
      <c r="E584" s="257">
        <f t="shared" si="39"/>
        <v>78.374494078493669</v>
      </c>
      <c r="F584" s="263"/>
      <c r="G584" s="190" t="str">
        <f t="shared" si="40"/>
        <v/>
      </c>
      <c r="H584" s="259" t="str">
        <f t="shared" si="41"/>
        <v/>
      </c>
    </row>
    <row r="585" spans="1:8">
      <c r="A585" s="255">
        <f t="shared" si="38"/>
        <v>583</v>
      </c>
      <c r="B585" s="256">
        <v>45204</v>
      </c>
      <c r="C585" s="257">
        <v>122.049132</v>
      </c>
      <c r="D585" s="258">
        <v>78.374494078493669</v>
      </c>
      <c r="E585" s="257">
        <f t="shared" si="39"/>
        <v>78.374494078493669</v>
      </c>
      <c r="F585" s="263"/>
      <c r="G585" s="190" t="str">
        <f t="shared" si="40"/>
        <v/>
      </c>
      <c r="H585" s="259" t="str">
        <f t="shared" si="41"/>
        <v/>
      </c>
    </row>
    <row r="586" spans="1:8">
      <c r="A586" s="255">
        <f t="shared" si="38"/>
        <v>584</v>
      </c>
      <c r="B586" s="256">
        <v>45205</v>
      </c>
      <c r="C586" s="257">
        <v>118.636257</v>
      </c>
      <c r="D586" s="258">
        <v>78.374494078493669</v>
      </c>
      <c r="E586" s="257">
        <f t="shared" si="39"/>
        <v>78.374494078493669</v>
      </c>
      <c r="F586" s="263"/>
      <c r="G586" s="190" t="str">
        <f t="shared" si="40"/>
        <v/>
      </c>
      <c r="H586" s="259" t="str">
        <f t="shared" si="41"/>
        <v/>
      </c>
    </row>
    <row r="587" spans="1:8">
      <c r="A587" s="255">
        <f t="shared" si="38"/>
        <v>585</v>
      </c>
      <c r="B587" s="256">
        <v>45206</v>
      </c>
      <c r="C587" s="257">
        <v>115.414249</v>
      </c>
      <c r="D587" s="258">
        <v>78.374494078493669</v>
      </c>
      <c r="E587" s="257">
        <f t="shared" si="39"/>
        <v>78.374494078493669</v>
      </c>
      <c r="F587" s="263"/>
      <c r="G587" s="190" t="str">
        <f t="shared" si="40"/>
        <v/>
      </c>
      <c r="H587" s="259" t="str">
        <f t="shared" si="41"/>
        <v/>
      </c>
    </row>
    <row r="588" spans="1:8">
      <c r="A588" s="255">
        <f t="shared" si="38"/>
        <v>586</v>
      </c>
      <c r="B588" s="256">
        <v>45207</v>
      </c>
      <c r="C588" s="257">
        <v>118.409454</v>
      </c>
      <c r="D588" s="258">
        <v>78.374494078493669</v>
      </c>
      <c r="E588" s="257">
        <f t="shared" si="39"/>
        <v>78.374494078493669</v>
      </c>
      <c r="F588" s="263"/>
      <c r="G588" s="190" t="str">
        <f t="shared" si="40"/>
        <v/>
      </c>
      <c r="H588" s="259" t="str">
        <f t="shared" si="41"/>
        <v/>
      </c>
    </row>
    <row r="589" spans="1:8">
      <c r="A589" s="255">
        <f t="shared" si="38"/>
        <v>587</v>
      </c>
      <c r="B589" s="256">
        <v>45208</v>
      </c>
      <c r="C589" s="257">
        <v>115.360595</v>
      </c>
      <c r="D589" s="258">
        <v>78.374494078493669</v>
      </c>
      <c r="E589" s="257">
        <f t="shared" si="39"/>
        <v>78.374494078493669</v>
      </c>
      <c r="F589" s="263"/>
      <c r="G589" s="190" t="str">
        <f t="shared" si="40"/>
        <v/>
      </c>
      <c r="H589" s="259" t="str">
        <f t="shared" si="41"/>
        <v/>
      </c>
    </row>
    <row r="590" spans="1:8">
      <c r="A590" s="255">
        <f t="shared" si="38"/>
        <v>588</v>
      </c>
      <c r="B590" s="256">
        <v>45209</v>
      </c>
      <c r="C590" s="257">
        <v>118.95877399999999</v>
      </c>
      <c r="D590" s="258">
        <v>78.374494078493669</v>
      </c>
      <c r="E590" s="257">
        <f t="shared" si="39"/>
        <v>78.374494078493669</v>
      </c>
      <c r="F590" s="263"/>
      <c r="G590" s="190" t="str">
        <f t="shared" si="40"/>
        <v/>
      </c>
      <c r="H590" s="259" t="str">
        <f t="shared" si="41"/>
        <v/>
      </c>
    </row>
    <row r="591" spans="1:8">
      <c r="A591" s="255">
        <f t="shared" si="38"/>
        <v>589</v>
      </c>
      <c r="B591" s="256">
        <v>45210</v>
      </c>
      <c r="C591" s="257">
        <v>120.64824399999999</v>
      </c>
      <c r="D591" s="258">
        <v>78.374494078493669</v>
      </c>
      <c r="E591" s="257">
        <f t="shared" si="39"/>
        <v>78.374494078493669</v>
      </c>
      <c r="F591" s="263"/>
      <c r="G591" s="190" t="str">
        <f t="shared" si="40"/>
        <v/>
      </c>
      <c r="H591" s="259" t="str">
        <f t="shared" si="41"/>
        <v/>
      </c>
    </row>
    <row r="592" spans="1:8">
      <c r="A592" s="255">
        <f t="shared" si="38"/>
        <v>590</v>
      </c>
      <c r="B592" s="256">
        <v>45211</v>
      </c>
      <c r="C592" s="257">
        <v>117.48099800000001</v>
      </c>
      <c r="D592" s="258">
        <v>78.374494078493669</v>
      </c>
      <c r="E592" s="257">
        <f t="shared" si="39"/>
        <v>78.374494078493669</v>
      </c>
      <c r="F592" s="263"/>
      <c r="G592" s="190" t="str">
        <f t="shared" si="40"/>
        <v/>
      </c>
      <c r="H592" s="259" t="str">
        <f t="shared" si="41"/>
        <v/>
      </c>
    </row>
    <row r="593" spans="1:8">
      <c r="A593" s="255">
        <f t="shared" si="38"/>
        <v>591</v>
      </c>
      <c r="B593" s="256">
        <v>45212</v>
      </c>
      <c r="C593" s="257">
        <v>86.081459000000009</v>
      </c>
      <c r="D593" s="258">
        <v>78.374494078493669</v>
      </c>
      <c r="E593" s="257">
        <f t="shared" si="39"/>
        <v>78.374494078493669</v>
      </c>
      <c r="F593" s="263"/>
      <c r="G593" s="190" t="str">
        <f t="shared" si="40"/>
        <v/>
      </c>
      <c r="H593" s="259" t="str">
        <f t="shared" si="41"/>
        <v/>
      </c>
    </row>
    <row r="594" spans="1:8">
      <c r="A594" s="255">
        <f t="shared" si="38"/>
        <v>592</v>
      </c>
      <c r="B594" s="256">
        <v>45213</v>
      </c>
      <c r="C594" s="257">
        <v>68.844414</v>
      </c>
      <c r="D594" s="258">
        <v>78.374494078493669</v>
      </c>
      <c r="E594" s="257">
        <f t="shared" si="39"/>
        <v>68.844414</v>
      </c>
      <c r="F594" s="263"/>
      <c r="G594" s="190" t="str">
        <f t="shared" si="40"/>
        <v/>
      </c>
      <c r="H594" s="259" t="str">
        <f t="shared" si="41"/>
        <v/>
      </c>
    </row>
    <row r="595" spans="1:8">
      <c r="A595" s="255">
        <f t="shared" si="38"/>
        <v>593</v>
      </c>
      <c r="B595" s="256">
        <v>45214</v>
      </c>
      <c r="C595" s="257">
        <v>76.667000999999999</v>
      </c>
      <c r="D595" s="258">
        <v>78.374494078493669</v>
      </c>
      <c r="E595" s="257">
        <f t="shared" si="39"/>
        <v>76.667000999999999</v>
      </c>
      <c r="F595" s="263"/>
      <c r="G595" s="190" t="str">
        <f t="shared" si="40"/>
        <v>O</v>
      </c>
      <c r="H595" s="259" t="str">
        <f t="shared" si="41"/>
        <v>78,4</v>
      </c>
    </row>
    <row r="596" spans="1:8">
      <c r="A596" s="255">
        <f t="shared" si="38"/>
        <v>594</v>
      </c>
      <c r="B596" s="256">
        <v>45215</v>
      </c>
      <c r="C596" s="257">
        <v>61.498703999999996</v>
      </c>
      <c r="D596" s="258">
        <v>78.374494078493669</v>
      </c>
      <c r="E596" s="257">
        <f t="shared" si="39"/>
        <v>61.498703999999996</v>
      </c>
      <c r="F596" s="263"/>
      <c r="G596" s="190" t="str">
        <f t="shared" si="40"/>
        <v/>
      </c>
      <c r="H596" s="259" t="str">
        <f t="shared" si="41"/>
        <v/>
      </c>
    </row>
    <row r="597" spans="1:8">
      <c r="A597" s="255">
        <f t="shared" si="38"/>
        <v>595</v>
      </c>
      <c r="B597" s="256">
        <v>45216</v>
      </c>
      <c r="C597" s="257">
        <v>63.355337999999996</v>
      </c>
      <c r="D597" s="258">
        <v>78.374494078493669</v>
      </c>
      <c r="E597" s="257">
        <f t="shared" si="39"/>
        <v>63.355337999999996</v>
      </c>
      <c r="F597" s="263"/>
      <c r="G597" s="190" t="str">
        <f t="shared" si="40"/>
        <v/>
      </c>
      <c r="H597" s="259" t="str">
        <f t="shared" si="41"/>
        <v/>
      </c>
    </row>
    <row r="598" spans="1:8">
      <c r="A598" s="255">
        <f t="shared" si="38"/>
        <v>596</v>
      </c>
      <c r="B598" s="256">
        <v>45217</v>
      </c>
      <c r="C598" s="257">
        <v>67.985439</v>
      </c>
      <c r="D598" s="258">
        <v>78.374494078493669</v>
      </c>
      <c r="E598" s="257">
        <f t="shared" si="39"/>
        <v>67.985439</v>
      </c>
      <c r="F598" s="263"/>
      <c r="G598" s="190" t="str">
        <f t="shared" si="40"/>
        <v/>
      </c>
      <c r="H598" s="259" t="str">
        <f t="shared" si="41"/>
        <v/>
      </c>
    </row>
    <row r="599" spans="1:8">
      <c r="A599" s="255">
        <f t="shared" si="38"/>
        <v>597</v>
      </c>
      <c r="B599" s="256">
        <v>45218</v>
      </c>
      <c r="C599" s="257">
        <v>21.934614</v>
      </c>
      <c r="D599" s="258">
        <v>78.374494078493669</v>
      </c>
      <c r="E599" s="257">
        <f t="shared" si="39"/>
        <v>21.934614</v>
      </c>
      <c r="F599" s="263"/>
      <c r="G599" s="190" t="str">
        <f t="shared" si="40"/>
        <v/>
      </c>
      <c r="H599" s="259" t="str">
        <f t="shared" si="41"/>
        <v/>
      </c>
    </row>
    <row r="600" spans="1:8">
      <c r="A600" s="255">
        <f t="shared" si="38"/>
        <v>598</v>
      </c>
      <c r="B600" s="256">
        <v>45219</v>
      </c>
      <c r="C600" s="257">
        <v>69.251991000000004</v>
      </c>
      <c r="D600" s="258">
        <v>78.374494078493669</v>
      </c>
      <c r="E600" s="257">
        <f t="shared" si="39"/>
        <v>69.251991000000004</v>
      </c>
      <c r="F600" s="263"/>
      <c r="G600" s="190" t="str">
        <f t="shared" si="40"/>
        <v/>
      </c>
      <c r="H600" s="259" t="str">
        <f t="shared" si="41"/>
        <v/>
      </c>
    </row>
    <row r="601" spans="1:8">
      <c r="A601" s="255">
        <f t="shared" si="38"/>
        <v>599</v>
      </c>
      <c r="B601" s="256">
        <v>45220</v>
      </c>
      <c r="C601" s="257">
        <v>89.275255000000001</v>
      </c>
      <c r="D601" s="258">
        <v>78.374494078493669</v>
      </c>
      <c r="E601" s="257">
        <f t="shared" si="39"/>
        <v>78.374494078493669</v>
      </c>
      <c r="F601" s="263"/>
      <c r="G601" s="190" t="str">
        <f t="shared" si="40"/>
        <v/>
      </c>
      <c r="H601" s="259" t="str">
        <f t="shared" si="41"/>
        <v/>
      </c>
    </row>
    <row r="602" spans="1:8">
      <c r="A602" s="255">
        <f t="shared" si="38"/>
        <v>600</v>
      </c>
      <c r="B602" s="256">
        <v>45221</v>
      </c>
      <c r="C602" s="257">
        <v>36.246982000000003</v>
      </c>
      <c r="D602" s="258">
        <v>78.374494078493669</v>
      </c>
      <c r="E602" s="257">
        <f t="shared" si="39"/>
        <v>36.246982000000003</v>
      </c>
      <c r="F602" s="263"/>
      <c r="G602" s="190" t="str">
        <f t="shared" si="40"/>
        <v/>
      </c>
      <c r="H602" s="259" t="str">
        <f t="shared" si="41"/>
        <v/>
      </c>
    </row>
    <row r="603" spans="1:8">
      <c r="A603" s="255">
        <f t="shared" si="38"/>
        <v>601</v>
      </c>
      <c r="B603" s="256">
        <v>45222</v>
      </c>
      <c r="C603" s="257">
        <v>47.990879</v>
      </c>
      <c r="D603" s="258">
        <v>78.374494078493669</v>
      </c>
      <c r="E603" s="257">
        <f t="shared" si="39"/>
        <v>47.990879</v>
      </c>
      <c r="F603" s="263"/>
      <c r="G603" s="190" t="str">
        <f t="shared" si="40"/>
        <v/>
      </c>
      <c r="H603" s="259" t="str">
        <f t="shared" si="41"/>
        <v/>
      </c>
    </row>
    <row r="604" spans="1:8">
      <c r="A604" s="255">
        <f t="shared" si="38"/>
        <v>602</v>
      </c>
      <c r="B604" s="256">
        <v>45223</v>
      </c>
      <c r="C604" s="257">
        <v>76.558424000000002</v>
      </c>
      <c r="D604" s="258">
        <v>78.374494078493669</v>
      </c>
      <c r="E604" s="257">
        <f t="shared" si="39"/>
        <v>76.558424000000002</v>
      </c>
      <c r="F604" s="263"/>
      <c r="G604" s="190" t="str">
        <f t="shared" si="40"/>
        <v/>
      </c>
      <c r="H604" s="259" t="str">
        <f t="shared" si="41"/>
        <v/>
      </c>
    </row>
    <row r="605" spans="1:8">
      <c r="A605" s="255">
        <f t="shared" si="38"/>
        <v>603</v>
      </c>
      <c r="B605" s="256">
        <v>45224</v>
      </c>
      <c r="C605" s="257">
        <v>54.231637999999997</v>
      </c>
      <c r="D605" s="258">
        <v>78.374494078493669</v>
      </c>
      <c r="E605" s="257">
        <f t="shared" si="39"/>
        <v>54.231637999999997</v>
      </c>
      <c r="F605" s="263"/>
      <c r="G605" s="190" t="str">
        <f t="shared" si="40"/>
        <v/>
      </c>
      <c r="H605" s="259" t="str">
        <f t="shared" si="41"/>
        <v/>
      </c>
    </row>
    <row r="606" spans="1:8">
      <c r="A606" s="255">
        <f t="shared" si="38"/>
        <v>604</v>
      </c>
      <c r="B606" s="256">
        <v>45225</v>
      </c>
      <c r="C606" s="257">
        <v>36.141512999999996</v>
      </c>
      <c r="D606" s="258">
        <v>78.374494078493669</v>
      </c>
      <c r="E606" s="257">
        <f t="shared" si="39"/>
        <v>36.141512999999996</v>
      </c>
      <c r="F606" s="263"/>
      <c r="G606" s="190" t="str">
        <f t="shared" si="40"/>
        <v/>
      </c>
      <c r="H606" s="259" t="str">
        <f t="shared" si="41"/>
        <v/>
      </c>
    </row>
    <row r="607" spans="1:8">
      <c r="A607" s="255">
        <f t="shared" si="38"/>
        <v>605</v>
      </c>
      <c r="B607" s="256">
        <v>45226</v>
      </c>
      <c r="C607" s="257">
        <v>64.703523000000004</v>
      </c>
      <c r="D607" s="258">
        <v>78.374494078493669</v>
      </c>
      <c r="E607" s="257">
        <f t="shared" si="39"/>
        <v>64.703523000000004</v>
      </c>
      <c r="F607" s="263"/>
      <c r="G607" s="190" t="str">
        <f t="shared" si="40"/>
        <v/>
      </c>
      <c r="H607" s="259" t="str">
        <f t="shared" si="41"/>
        <v/>
      </c>
    </row>
    <row r="608" spans="1:8">
      <c r="A608" s="255">
        <f t="shared" si="38"/>
        <v>606</v>
      </c>
      <c r="B608" s="256">
        <v>45227</v>
      </c>
      <c r="C608" s="257">
        <v>67.056303</v>
      </c>
      <c r="D608" s="258">
        <v>78.374494078493669</v>
      </c>
      <c r="E608" s="257">
        <f t="shared" si="39"/>
        <v>67.056303</v>
      </c>
      <c r="F608" s="263"/>
      <c r="G608" s="190" t="str">
        <f t="shared" si="40"/>
        <v/>
      </c>
      <c r="H608" s="259" t="str">
        <f t="shared" si="41"/>
        <v/>
      </c>
    </row>
    <row r="609" spans="1:8">
      <c r="A609" s="255">
        <f t="shared" si="38"/>
        <v>607</v>
      </c>
      <c r="B609" s="256">
        <v>45228</v>
      </c>
      <c r="C609" s="257">
        <v>50.034962</v>
      </c>
      <c r="D609" s="258">
        <v>78.374494078493669</v>
      </c>
      <c r="E609" s="257">
        <f t="shared" si="39"/>
        <v>50.034962</v>
      </c>
      <c r="F609" s="263"/>
      <c r="G609" s="190" t="str">
        <f t="shared" si="40"/>
        <v/>
      </c>
      <c r="H609" s="259" t="str">
        <f t="shared" si="41"/>
        <v/>
      </c>
    </row>
    <row r="610" spans="1:8">
      <c r="A610" s="255">
        <f t="shared" si="38"/>
        <v>608</v>
      </c>
      <c r="B610" s="256">
        <v>45229</v>
      </c>
      <c r="C610" s="257">
        <v>68.188317999999995</v>
      </c>
      <c r="D610" s="258">
        <v>78.374494078493669</v>
      </c>
      <c r="E610" s="257">
        <f t="shared" si="39"/>
        <v>68.188317999999995</v>
      </c>
      <c r="F610" s="263"/>
      <c r="G610" s="190" t="str">
        <f t="shared" si="40"/>
        <v/>
      </c>
      <c r="H610" s="259" t="str">
        <f t="shared" si="41"/>
        <v/>
      </c>
    </row>
    <row r="611" spans="1:8">
      <c r="A611" s="255">
        <f t="shared" si="38"/>
        <v>609</v>
      </c>
      <c r="B611" s="256">
        <v>45230</v>
      </c>
      <c r="C611" s="257">
        <v>36.451591000000001</v>
      </c>
      <c r="D611" s="258">
        <v>78.374494078493669</v>
      </c>
      <c r="E611" s="257">
        <f t="shared" si="39"/>
        <v>36.451591000000001</v>
      </c>
      <c r="F611" s="263"/>
      <c r="G611" s="190" t="str">
        <f t="shared" si="40"/>
        <v/>
      </c>
      <c r="H611" s="259" t="str">
        <f t="shared" si="41"/>
        <v/>
      </c>
    </row>
    <row r="612" spans="1:8">
      <c r="A612" s="255">
        <f t="shared" si="38"/>
        <v>610</v>
      </c>
      <c r="B612" s="256">
        <v>45231</v>
      </c>
      <c r="C612" s="257">
        <v>46.031711999999999</v>
      </c>
      <c r="D612" s="258">
        <v>58.21954484549682</v>
      </c>
      <c r="E612" s="257">
        <f t="shared" si="39"/>
        <v>46.031711999999999</v>
      </c>
      <c r="F612" s="260"/>
      <c r="G612" s="190" t="str">
        <f t="shared" si="40"/>
        <v/>
      </c>
      <c r="H612" s="259" t="str">
        <f t="shared" si="41"/>
        <v/>
      </c>
    </row>
    <row r="613" spans="1:8">
      <c r="A613" s="255">
        <f t="shared" si="38"/>
        <v>611</v>
      </c>
      <c r="B613" s="256">
        <v>45232</v>
      </c>
      <c r="C613" s="257">
        <v>40.612004999999996</v>
      </c>
      <c r="D613" s="258">
        <v>58.21954484549682</v>
      </c>
      <c r="E613" s="257">
        <f t="shared" si="39"/>
        <v>40.612004999999996</v>
      </c>
      <c r="F613" s="263"/>
      <c r="G613" s="190" t="str">
        <f t="shared" si="40"/>
        <v/>
      </c>
      <c r="H613" s="259" t="str">
        <f t="shared" si="41"/>
        <v/>
      </c>
    </row>
    <row r="614" spans="1:8">
      <c r="A614" s="255">
        <f t="shared" si="38"/>
        <v>612</v>
      </c>
      <c r="B614" s="256">
        <v>45233</v>
      </c>
      <c r="C614" s="257">
        <v>52.618447999999994</v>
      </c>
      <c r="D614" s="258">
        <v>58.21954484549682</v>
      </c>
      <c r="E614" s="257">
        <f t="shared" si="39"/>
        <v>52.618447999999994</v>
      </c>
      <c r="F614" s="263"/>
      <c r="G614" s="190" t="str">
        <f t="shared" si="40"/>
        <v/>
      </c>
      <c r="H614" s="259" t="str">
        <f t="shared" si="41"/>
        <v/>
      </c>
    </row>
    <row r="615" spans="1:8">
      <c r="A615" s="255">
        <f t="shared" si="38"/>
        <v>613</v>
      </c>
      <c r="B615" s="256">
        <v>45234</v>
      </c>
      <c r="C615" s="257">
        <v>41.754472</v>
      </c>
      <c r="D615" s="258">
        <v>58.21954484549682</v>
      </c>
      <c r="E615" s="257">
        <f t="shared" si="39"/>
        <v>41.754472</v>
      </c>
      <c r="F615" s="263"/>
      <c r="G615" s="190" t="str">
        <f t="shared" si="40"/>
        <v/>
      </c>
      <c r="H615" s="259" t="str">
        <f t="shared" si="41"/>
        <v/>
      </c>
    </row>
    <row r="616" spans="1:8">
      <c r="A616" s="255">
        <f t="shared" si="38"/>
        <v>614</v>
      </c>
      <c r="B616" s="256">
        <v>45235</v>
      </c>
      <c r="C616" s="257">
        <v>65.843980999999999</v>
      </c>
      <c r="D616" s="258">
        <v>58.21954484549682</v>
      </c>
      <c r="E616" s="257">
        <f t="shared" si="39"/>
        <v>58.21954484549682</v>
      </c>
      <c r="F616" s="263"/>
      <c r="G616" s="190" t="str">
        <f t="shared" si="40"/>
        <v/>
      </c>
      <c r="H616" s="259" t="str">
        <f t="shared" si="41"/>
        <v/>
      </c>
    </row>
    <row r="617" spans="1:8">
      <c r="A617" s="255">
        <f t="shared" si="38"/>
        <v>615</v>
      </c>
      <c r="B617" s="256">
        <v>45236</v>
      </c>
      <c r="C617" s="257">
        <v>84.995985999999988</v>
      </c>
      <c r="D617" s="258">
        <v>58.21954484549682</v>
      </c>
      <c r="E617" s="257">
        <f t="shared" si="39"/>
        <v>58.21954484549682</v>
      </c>
      <c r="F617" s="263"/>
      <c r="G617" s="190" t="str">
        <f t="shared" si="40"/>
        <v/>
      </c>
      <c r="H617" s="259" t="str">
        <f t="shared" si="41"/>
        <v/>
      </c>
    </row>
    <row r="618" spans="1:8">
      <c r="A618" s="255">
        <f t="shared" si="38"/>
        <v>616</v>
      </c>
      <c r="B618" s="256">
        <v>45237</v>
      </c>
      <c r="C618" s="257">
        <v>79.835048</v>
      </c>
      <c r="D618" s="258">
        <v>58.21954484549682</v>
      </c>
      <c r="E618" s="257">
        <f t="shared" si="39"/>
        <v>58.21954484549682</v>
      </c>
      <c r="F618" s="263"/>
      <c r="G618" s="190" t="str">
        <f t="shared" si="40"/>
        <v/>
      </c>
      <c r="H618" s="259" t="str">
        <f t="shared" si="41"/>
        <v/>
      </c>
    </row>
    <row r="619" spans="1:8">
      <c r="A619" s="255">
        <f t="shared" si="38"/>
        <v>617</v>
      </c>
      <c r="B619" s="256">
        <v>45238</v>
      </c>
      <c r="C619" s="257">
        <v>63.507482000000003</v>
      </c>
      <c r="D619" s="258">
        <v>58.21954484549682</v>
      </c>
      <c r="E619" s="257">
        <f t="shared" si="39"/>
        <v>58.21954484549682</v>
      </c>
      <c r="F619" s="263"/>
      <c r="G619" s="190" t="str">
        <f t="shared" si="40"/>
        <v/>
      </c>
      <c r="H619" s="259" t="str">
        <f t="shared" si="41"/>
        <v/>
      </c>
    </row>
    <row r="620" spans="1:8">
      <c r="A620" s="255">
        <f t="shared" si="38"/>
        <v>618</v>
      </c>
      <c r="B620" s="256">
        <v>45239</v>
      </c>
      <c r="C620" s="257">
        <v>68.158169999999998</v>
      </c>
      <c r="D620" s="258">
        <v>58.21954484549682</v>
      </c>
      <c r="E620" s="257">
        <f t="shared" si="39"/>
        <v>58.21954484549682</v>
      </c>
      <c r="F620" s="263"/>
      <c r="G620" s="190" t="str">
        <f t="shared" si="40"/>
        <v/>
      </c>
      <c r="H620" s="259" t="str">
        <f t="shared" si="41"/>
        <v/>
      </c>
    </row>
    <row r="621" spans="1:8">
      <c r="A621" s="255">
        <f t="shared" si="38"/>
        <v>619</v>
      </c>
      <c r="B621" s="256">
        <v>45240</v>
      </c>
      <c r="C621" s="257">
        <v>72.630984999999995</v>
      </c>
      <c r="D621" s="258">
        <v>58.21954484549682</v>
      </c>
      <c r="E621" s="257">
        <f t="shared" si="39"/>
        <v>58.21954484549682</v>
      </c>
      <c r="F621" s="263"/>
      <c r="G621" s="190" t="str">
        <f t="shared" si="40"/>
        <v/>
      </c>
      <c r="H621" s="259" t="str">
        <f t="shared" si="41"/>
        <v/>
      </c>
    </row>
    <row r="622" spans="1:8">
      <c r="A622" s="255">
        <f t="shared" si="38"/>
        <v>620</v>
      </c>
      <c r="B622" s="256">
        <v>45241</v>
      </c>
      <c r="C622" s="257">
        <v>43.655624000000003</v>
      </c>
      <c r="D622" s="258">
        <v>58.21954484549682</v>
      </c>
      <c r="E622" s="257">
        <f t="shared" si="39"/>
        <v>43.655624000000003</v>
      </c>
      <c r="F622" s="263"/>
      <c r="G622" s="190" t="str">
        <f t="shared" si="40"/>
        <v/>
      </c>
      <c r="H622" s="259" t="str">
        <f t="shared" si="41"/>
        <v/>
      </c>
    </row>
    <row r="623" spans="1:8">
      <c r="A623" s="255">
        <f t="shared" si="38"/>
        <v>621</v>
      </c>
      <c r="B623" s="256">
        <v>45242</v>
      </c>
      <c r="C623" s="257">
        <v>51.466819000000001</v>
      </c>
      <c r="D623" s="258">
        <v>58.21954484549682</v>
      </c>
      <c r="E623" s="257">
        <f t="shared" si="39"/>
        <v>51.466819000000001</v>
      </c>
      <c r="F623" s="263"/>
      <c r="G623" s="190" t="str">
        <f t="shared" si="40"/>
        <v/>
      </c>
      <c r="H623" s="259" t="str">
        <f t="shared" si="41"/>
        <v/>
      </c>
    </row>
    <row r="624" spans="1:8">
      <c r="A624" s="255">
        <f t="shared" si="38"/>
        <v>622</v>
      </c>
      <c r="B624" s="256">
        <v>45243</v>
      </c>
      <c r="C624" s="257">
        <v>72.91707000000001</v>
      </c>
      <c r="D624" s="258">
        <v>58.21954484549682</v>
      </c>
      <c r="E624" s="257">
        <f t="shared" si="39"/>
        <v>58.21954484549682</v>
      </c>
      <c r="F624" s="263"/>
      <c r="G624" s="190" t="str">
        <f t="shared" si="40"/>
        <v/>
      </c>
      <c r="H624" s="259" t="str">
        <f t="shared" si="41"/>
        <v/>
      </c>
    </row>
    <row r="625" spans="1:8">
      <c r="A625" s="255">
        <f t="shared" si="38"/>
        <v>623</v>
      </c>
      <c r="B625" s="256">
        <v>45244</v>
      </c>
      <c r="C625" s="257">
        <v>79.759754000000001</v>
      </c>
      <c r="D625" s="258">
        <v>58.21954484549682</v>
      </c>
      <c r="E625" s="257">
        <f t="shared" si="39"/>
        <v>58.21954484549682</v>
      </c>
      <c r="F625" s="263"/>
      <c r="G625" s="190" t="str">
        <f t="shared" si="40"/>
        <v/>
      </c>
      <c r="H625" s="259" t="str">
        <f t="shared" si="41"/>
        <v/>
      </c>
    </row>
    <row r="626" spans="1:8">
      <c r="A626" s="255">
        <f t="shared" si="38"/>
        <v>624</v>
      </c>
      <c r="B626" s="256">
        <v>45245</v>
      </c>
      <c r="C626" s="257">
        <v>71.039239999999992</v>
      </c>
      <c r="D626" s="258">
        <v>58.21954484549682</v>
      </c>
      <c r="E626" s="257">
        <f t="shared" si="39"/>
        <v>58.21954484549682</v>
      </c>
      <c r="F626" s="263"/>
      <c r="G626" s="190" t="str">
        <f t="shared" si="40"/>
        <v>N</v>
      </c>
      <c r="H626" s="259" t="str">
        <f t="shared" si="41"/>
        <v>58,2</v>
      </c>
    </row>
    <row r="627" spans="1:8">
      <c r="A627" s="255">
        <f t="shared" si="38"/>
        <v>625</v>
      </c>
      <c r="B627" s="256">
        <v>45246</v>
      </c>
      <c r="C627" s="257">
        <v>59.415500000000002</v>
      </c>
      <c r="D627" s="258">
        <v>58.21954484549682</v>
      </c>
      <c r="E627" s="257">
        <f t="shared" si="39"/>
        <v>58.21954484549682</v>
      </c>
      <c r="F627" s="263"/>
      <c r="G627" s="190" t="str">
        <f t="shared" si="40"/>
        <v/>
      </c>
      <c r="H627" s="259" t="str">
        <f t="shared" si="41"/>
        <v/>
      </c>
    </row>
    <row r="628" spans="1:8">
      <c r="A628" s="255">
        <f t="shared" si="38"/>
        <v>626</v>
      </c>
      <c r="B628" s="256">
        <v>45247</v>
      </c>
      <c r="C628" s="257">
        <v>69.848572000000004</v>
      </c>
      <c r="D628" s="258">
        <v>58.21954484549682</v>
      </c>
      <c r="E628" s="257">
        <f t="shared" si="39"/>
        <v>58.21954484549682</v>
      </c>
      <c r="F628" s="263"/>
      <c r="G628" s="190" t="str">
        <f t="shared" si="40"/>
        <v/>
      </c>
      <c r="H628" s="259" t="str">
        <f t="shared" si="41"/>
        <v/>
      </c>
    </row>
    <row r="629" spans="1:8">
      <c r="A629" s="255">
        <f t="shared" si="38"/>
        <v>627</v>
      </c>
      <c r="B629" s="256">
        <v>45248</v>
      </c>
      <c r="C629" s="257">
        <v>82.089074999999994</v>
      </c>
      <c r="D629" s="258">
        <v>58.21954484549682</v>
      </c>
      <c r="E629" s="257">
        <f t="shared" si="39"/>
        <v>58.21954484549682</v>
      </c>
      <c r="F629" s="263"/>
      <c r="G629" s="190" t="str">
        <f t="shared" si="40"/>
        <v/>
      </c>
      <c r="H629" s="259" t="str">
        <f t="shared" si="41"/>
        <v/>
      </c>
    </row>
    <row r="630" spans="1:8">
      <c r="A630" s="255">
        <f t="shared" si="38"/>
        <v>628</v>
      </c>
      <c r="B630" s="256">
        <v>45249</v>
      </c>
      <c r="C630" s="257">
        <v>86.218192999999999</v>
      </c>
      <c r="D630" s="258">
        <v>58.21954484549682</v>
      </c>
      <c r="E630" s="257">
        <f t="shared" si="39"/>
        <v>58.21954484549682</v>
      </c>
      <c r="F630" s="263"/>
      <c r="G630" s="190" t="str">
        <f t="shared" si="40"/>
        <v/>
      </c>
      <c r="H630" s="259" t="str">
        <f t="shared" si="41"/>
        <v/>
      </c>
    </row>
    <row r="631" spans="1:8">
      <c r="A631" s="255">
        <f t="shared" si="38"/>
        <v>629</v>
      </c>
      <c r="B631" s="256">
        <v>45250</v>
      </c>
      <c r="C631" s="257">
        <v>80.296768999999998</v>
      </c>
      <c r="D631" s="258">
        <v>58.21954484549682</v>
      </c>
      <c r="E631" s="257">
        <f t="shared" si="39"/>
        <v>58.21954484549682</v>
      </c>
      <c r="F631" s="263"/>
      <c r="G631" s="190" t="str">
        <f t="shared" si="40"/>
        <v/>
      </c>
      <c r="H631" s="259" t="str">
        <f t="shared" si="41"/>
        <v/>
      </c>
    </row>
    <row r="632" spans="1:8">
      <c r="A632" s="255">
        <f t="shared" si="38"/>
        <v>630</v>
      </c>
      <c r="B632" s="256">
        <v>45251</v>
      </c>
      <c r="C632" s="257">
        <v>71.9405</v>
      </c>
      <c r="D632" s="258">
        <v>58.21954484549682</v>
      </c>
      <c r="E632" s="257">
        <f t="shared" si="39"/>
        <v>58.21954484549682</v>
      </c>
      <c r="F632" s="263"/>
      <c r="G632" s="190" t="str">
        <f t="shared" si="40"/>
        <v/>
      </c>
      <c r="H632" s="259" t="str">
        <f t="shared" si="41"/>
        <v/>
      </c>
    </row>
    <row r="633" spans="1:8">
      <c r="A633" s="255">
        <f t="shared" si="38"/>
        <v>631</v>
      </c>
      <c r="B633" s="256">
        <v>45252</v>
      </c>
      <c r="C633" s="257">
        <v>80.505577000000002</v>
      </c>
      <c r="D633" s="258">
        <v>58.21954484549682</v>
      </c>
      <c r="E633" s="257">
        <f t="shared" si="39"/>
        <v>58.21954484549682</v>
      </c>
      <c r="F633" s="263"/>
      <c r="G633" s="190" t="str">
        <f t="shared" si="40"/>
        <v/>
      </c>
      <c r="H633" s="259" t="str">
        <f t="shared" si="41"/>
        <v/>
      </c>
    </row>
    <row r="634" spans="1:8">
      <c r="A634" s="255">
        <f t="shared" si="38"/>
        <v>632</v>
      </c>
      <c r="B634" s="256">
        <v>45253</v>
      </c>
      <c r="C634" s="257">
        <v>88.164876000000007</v>
      </c>
      <c r="D634" s="258">
        <v>58.21954484549682</v>
      </c>
      <c r="E634" s="257">
        <f t="shared" si="39"/>
        <v>58.21954484549682</v>
      </c>
      <c r="F634" s="263"/>
      <c r="G634" s="190" t="str">
        <f t="shared" si="40"/>
        <v/>
      </c>
      <c r="H634" s="259" t="str">
        <f t="shared" si="41"/>
        <v/>
      </c>
    </row>
    <row r="635" spans="1:8">
      <c r="A635" s="255">
        <f t="shared" si="38"/>
        <v>633</v>
      </c>
      <c r="B635" s="256">
        <v>45254</v>
      </c>
      <c r="C635" s="257">
        <v>90.974949000000009</v>
      </c>
      <c r="D635" s="258">
        <v>58.21954484549682</v>
      </c>
      <c r="E635" s="257">
        <f t="shared" si="39"/>
        <v>58.21954484549682</v>
      </c>
      <c r="F635" s="263"/>
      <c r="G635" s="190" t="str">
        <f t="shared" si="40"/>
        <v/>
      </c>
      <c r="H635" s="259" t="str">
        <f t="shared" si="41"/>
        <v/>
      </c>
    </row>
    <row r="636" spans="1:8">
      <c r="A636" s="255">
        <f t="shared" si="38"/>
        <v>634</v>
      </c>
      <c r="B636" s="256">
        <v>45255</v>
      </c>
      <c r="C636" s="257">
        <v>82.571436999999989</v>
      </c>
      <c r="D636" s="258">
        <v>58.21954484549682</v>
      </c>
      <c r="E636" s="257">
        <f t="shared" si="39"/>
        <v>58.21954484549682</v>
      </c>
      <c r="F636" s="263"/>
      <c r="G636" s="190" t="str">
        <f t="shared" si="40"/>
        <v/>
      </c>
      <c r="H636" s="259" t="str">
        <f t="shared" si="41"/>
        <v/>
      </c>
    </row>
    <row r="637" spans="1:8">
      <c r="A637" s="255">
        <f t="shared" si="38"/>
        <v>635</v>
      </c>
      <c r="B637" s="256">
        <v>45256</v>
      </c>
      <c r="C637" s="257">
        <v>75.435936999999996</v>
      </c>
      <c r="D637" s="258">
        <v>58.21954484549682</v>
      </c>
      <c r="E637" s="257">
        <f t="shared" si="39"/>
        <v>58.21954484549682</v>
      </c>
      <c r="F637" s="263"/>
      <c r="G637" s="190" t="str">
        <f t="shared" si="40"/>
        <v/>
      </c>
      <c r="H637" s="259" t="str">
        <f t="shared" si="41"/>
        <v/>
      </c>
    </row>
    <row r="638" spans="1:8">
      <c r="A638" s="255">
        <f t="shared" si="38"/>
        <v>636</v>
      </c>
      <c r="B638" s="256">
        <v>45257</v>
      </c>
      <c r="C638" s="257">
        <v>55.444144999999999</v>
      </c>
      <c r="D638" s="258">
        <v>58.21954484549682</v>
      </c>
      <c r="E638" s="257">
        <f t="shared" si="39"/>
        <v>55.444144999999999</v>
      </c>
      <c r="F638" s="263"/>
      <c r="G638" s="190" t="str">
        <f t="shared" si="40"/>
        <v/>
      </c>
      <c r="H638" s="259" t="str">
        <f t="shared" si="41"/>
        <v/>
      </c>
    </row>
    <row r="639" spans="1:8">
      <c r="A639" s="255">
        <f t="shared" si="38"/>
        <v>637</v>
      </c>
      <c r="B639" s="256">
        <v>45258</v>
      </c>
      <c r="C639" s="257">
        <v>29.677868</v>
      </c>
      <c r="D639" s="258">
        <v>58.21954484549682</v>
      </c>
      <c r="E639" s="257">
        <f t="shared" si="39"/>
        <v>29.677868</v>
      </c>
      <c r="F639" s="263"/>
      <c r="G639" s="190" t="str">
        <f t="shared" si="40"/>
        <v/>
      </c>
      <c r="H639" s="259" t="str">
        <f t="shared" si="41"/>
        <v/>
      </c>
    </row>
    <row r="640" spans="1:8">
      <c r="A640" s="255">
        <f t="shared" si="38"/>
        <v>638</v>
      </c>
      <c r="B640" s="256">
        <v>45259</v>
      </c>
      <c r="C640" s="257">
        <v>34.865326000000003</v>
      </c>
      <c r="D640" s="258">
        <v>58.21954484549682</v>
      </c>
      <c r="E640" s="257">
        <f t="shared" si="39"/>
        <v>34.865326000000003</v>
      </c>
      <c r="F640" s="263"/>
      <c r="G640" s="190" t="str">
        <f t="shared" si="40"/>
        <v/>
      </c>
      <c r="H640" s="259" t="str">
        <f t="shared" si="41"/>
        <v/>
      </c>
    </row>
    <row r="641" spans="1:8">
      <c r="A641" s="255">
        <f t="shared" si="38"/>
        <v>639</v>
      </c>
      <c r="B641" s="256">
        <v>45260</v>
      </c>
      <c r="C641" s="257">
        <v>25.240200000000002</v>
      </c>
      <c r="D641" s="258">
        <v>58.21954484549682</v>
      </c>
      <c r="E641" s="257">
        <f t="shared" si="39"/>
        <v>25.240200000000002</v>
      </c>
      <c r="F641" s="263"/>
      <c r="G641" s="190" t="str">
        <f t="shared" si="40"/>
        <v/>
      </c>
      <c r="H641" s="259" t="str">
        <f t="shared" si="41"/>
        <v/>
      </c>
    </row>
    <row r="642" spans="1:8">
      <c r="A642" s="255">
        <f t="shared" si="38"/>
        <v>640</v>
      </c>
      <c r="B642" s="256">
        <v>45261</v>
      </c>
      <c r="C642" s="257">
        <v>46.819038999999997</v>
      </c>
      <c r="D642" s="258">
        <v>49.218917743854135</v>
      </c>
      <c r="E642" s="257">
        <f t="shared" si="39"/>
        <v>46.819038999999997</v>
      </c>
      <c r="F642" s="260"/>
      <c r="G642" s="190" t="str">
        <f t="shared" si="40"/>
        <v/>
      </c>
      <c r="H642" s="259" t="str">
        <f t="shared" si="41"/>
        <v/>
      </c>
    </row>
    <row r="643" spans="1:8">
      <c r="A643" s="255">
        <f t="shared" si="38"/>
        <v>641</v>
      </c>
      <c r="B643" s="256">
        <v>45262</v>
      </c>
      <c r="C643" s="257">
        <v>72.090434999999999</v>
      </c>
      <c r="D643" s="258">
        <v>49.218917743854135</v>
      </c>
      <c r="E643" s="257">
        <f t="shared" si="39"/>
        <v>49.218917743854135</v>
      </c>
      <c r="F643" s="263"/>
      <c r="G643" s="190" t="str">
        <f t="shared" si="40"/>
        <v/>
      </c>
      <c r="H643" s="259" t="str">
        <f t="shared" si="41"/>
        <v/>
      </c>
    </row>
    <row r="644" spans="1:8">
      <c r="A644" s="255">
        <f t="shared" ref="A644:A707" si="42">+A643+1</f>
        <v>642</v>
      </c>
      <c r="B644" s="256">
        <v>45263</v>
      </c>
      <c r="C644" s="257">
        <v>65.798073000000002</v>
      </c>
      <c r="D644" s="258">
        <v>49.218917743854135</v>
      </c>
      <c r="E644" s="257">
        <f t="shared" ref="E644:E707" si="43">IF(C644&gt;D644,D644,C644)</f>
        <v>49.218917743854135</v>
      </c>
      <c r="F644" s="263"/>
      <c r="G644" s="190" t="str">
        <f t="shared" ref="G644:G707" si="44">IF(DAY(B644)=15,IF(MONTH(B644)=1,"E",IF(MONTH(B644)=2,"F",IF(MONTH(B644)=3,"M",IF(MONTH(B644)=4,"A",IF(MONTH(B644)=5,"M",IF(MONTH(B644)=6,"J",IF(MONTH(B644)=7,"J",IF(MONTH(B644)=8,"A",IF(MONTH(B644)=9,"S",IF(MONTH(B644)=10,"O",IF(MONTH(B644)=11,"N",IF(MONTH(B644)=12,"D","")))))))))))),"")</f>
        <v/>
      </c>
      <c r="H644" s="259" t="str">
        <f t="shared" ref="H644:H707" si="45">IF(DAY($B644)=15,TEXT(D644,"#,0"),"")</f>
        <v/>
      </c>
    </row>
    <row r="645" spans="1:8">
      <c r="A645" s="255">
        <f t="shared" si="42"/>
        <v>643</v>
      </c>
      <c r="B645" s="256">
        <v>45264</v>
      </c>
      <c r="C645" s="257">
        <v>32.699455</v>
      </c>
      <c r="D645" s="258">
        <v>49.218917743854135</v>
      </c>
      <c r="E645" s="257">
        <f t="shared" si="43"/>
        <v>32.699455</v>
      </c>
      <c r="F645" s="263"/>
      <c r="G645" s="190" t="str">
        <f t="shared" si="44"/>
        <v/>
      </c>
      <c r="H645" s="259" t="str">
        <f t="shared" si="45"/>
        <v/>
      </c>
    </row>
    <row r="646" spans="1:8">
      <c r="A646" s="255">
        <f t="shared" si="42"/>
        <v>644</v>
      </c>
      <c r="B646" s="256">
        <v>45265</v>
      </c>
      <c r="C646" s="257">
        <v>38.376978000000001</v>
      </c>
      <c r="D646" s="258">
        <v>49.218917743854135</v>
      </c>
      <c r="E646" s="257">
        <f t="shared" si="43"/>
        <v>38.376978000000001</v>
      </c>
      <c r="F646" s="263"/>
      <c r="G646" s="190" t="str">
        <f t="shared" si="44"/>
        <v/>
      </c>
      <c r="H646" s="259" t="str">
        <f t="shared" si="45"/>
        <v/>
      </c>
    </row>
    <row r="647" spans="1:8">
      <c r="A647" s="255">
        <f t="shared" si="42"/>
        <v>645</v>
      </c>
      <c r="B647" s="256">
        <v>45266</v>
      </c>
      <c r="C647" s="257">
        <v>40.194800999999998</v>
      </c>
      <c r="D647" s="258">
        <v>49.218917743854135</v>
      </c>
      <c r="E647" s="257">
        <f t="shared" si="43"/>
        <v>40.194800999999998</v>
      </c>
      <c r="F647" s="263"/>
      <c r="G647" s="190" t="str">
        <f t="shared" si="44"/>
        <v/>
      </c>
      <c r="H647" s="259" t="str">
        <f t="shared" si="45"/>
        <v/>
      </c>
    </row>
    <row r="648" spans="1:8">
      <c r="A648" s="255">
        <f t="shared" si="42"/>
        <v>646</v>
      </c>
      <c r="B648" s="256">
        <v>45267</v>
      </c>
      <c r="C648" s="257">
        <v>32.479962</v>
      </c>
      <c r="D648" s="258">
        <v>49.218917743854135</v>
      </c>
      <c r="E648" s="257">
        <f t="shared" si="43"/>
        <v>32.479962</v>
      </c>
      <c r="F648" s="263"/>
      <c r="G648" s="190" t="str">
        <f t="shared" si="44"/>
        <v/>
      </c>
      <c r="H648" s="259" t="str">
        <f t="shared" si="45"/>
        <v/>
      </c>
    </row>
    <row r="649" spans="1:8">
      <c r="A649" s="255">
        <f t="shared" si="42"/>
        <v>647</v>
      </c>
      <c r="B649" s="256">
        <v>45268</v>
      </c>
      <c r="C649" s="257">
        <v>51.001362</v>
      </c>
      <c r="D649" s="258">
        <v>49.218917743854135</v>
      </c>
      <c r="E649" s="257">
        <f t="shared" si="43"/>
        <v>49.218917743854135</v>
      </c>
      <c r="F649" s="263"/>
      <c r="G649" s="190" t="str">
        <f t="shared" si="44"/>
        <v/>
      </c>
      <c r="H649" s="259" t="str">
        <f t="shared" si="45"/>
        <v/>
      </c>
    </row>
    <row r="650" spans="1:8">
      <c r="A650" s="255">
        <f t="shared" si="42"/>
        <v>648</v>
      </c>
      <c r="B650" s="256">
        <v>45269</v>
      </c>
      <c r="C650" s="257">
        <v>41.814520999999999</v>
      </c>
      <c r="D650" s="258">
        <v>49.218917743854135</v>
      </c>
      <c r="E650" s="257">
        <f t="shared" si="43"/>
        <v>41.814520999999999</v>
      </c>
      <c r="F650" s="263"/>
      <c r="G650" s="190" t="str">
        <f t="shared" si="44"/>
        <v/>
      </c>
      <c r="H650" s="259" t="str">
        <f t="shared" si="45"/>
        <v/>
      </c>
    </row>
    <row r="651" spans="1:8">
      <c r="A651" s="255">
        <f t="shared" si="42"/>
        <v>649</v>
      </c>
      <c r="B651" s="256">
        <v>45270</v>
      </c>
      <c r="C651" s="257">
        <v>44.747978000000003</v>
      </c>
      <c r="D651" s="258">
        <v>49.218917743854135</v>
      </c>
      <c r="E651" s="257">
        <f t="shared" si="43"/>
        <v>44.747978000000003</v>
      </c>
      <c r="F651" s="263"/>
      <c r="G651" s="190" t="str">
        <f t="shared" si="44"/>
        <v/>
      </c>
      <c r="H651" s="259" t="str">
        <f t="shared" si="45"/>
        <v/>
      </c>
    </row>
    <row r="652" spans="1:8">
      <c r="A652" s="255">
        <f t="shared" si="42"/>
        <v>650</v>
      </c>
      <c r="B652" s="256">
        <v>45271</v>
      </c>
      <c r="C652" s="257">
        <v>58.435447999999994</v>
      </c>
      <c r="D652" s="258">
        <v>49.218917743854135</v>
      </c>
      <c r="E652" s="257">
        <f t="shared" si="43"/>
        <v>49.218917743854135</v>
      </c>
      <c r="F652" s="263"/>
      <c r="G652" s="190" t="str">
        <f t="shared" si="44"/>
        <v/>
      </c>
      <c r="H652" s="259" t="str">
        <f t="shared" si="45"/>
        <v/>
      </c>
    </row>
    <row r="653" spans="1:8">
      <c r="A653" s="255">
        <f t="shared" si="42"/>
        <v>651</v>
      </c>
      <c r="B653" s="256">
        <v>45272</v>
      </c>
      <c r="C653" s="257">
        <v>46.892511999999996</v>
      </c>
      <c r="D653" s="258">
        <v>49.218917743854135</v>
      </c>
      <c r="E653" s="257">
        <f t="shared" si="43"/>
        <v>46.892511999999996</v>
      </c>
      <c r="F653" s="263"/>
      <c r="G653" s="190" t="str">
        <f t="shared" si="44"/>
        <v/>
      </c>
      <c r="H653" s="259" t="str">
        <f t="shared" si="45"/>
        <v/>
      </c>
    </row>
    <row r="654" spans="1:8">
      <c r="A654" s="255">
        <f t="shared" si="42"/>
        <v>652</v>
      </c>
      <c r="B654" s="256">
        <v>45273</v>
      </c>
      <c r="C654" s="257">
        <v>48.613869000000001</v>
      </c>
      <c r="D654" s="258">
        <v>49.218917743854135</v>
      </c>
      <c r="E654" s="257">
        <f t="shared" si="43"/>
        <v>48.613869000000001</v>
      </c>
      <c r="F654" s="263"/>
      <c r="G654" s="190" t="str">
        <f t="shared" si="44"/>
        <v/>
      </c>
      <c r="H654" s="259" t="str">
        <f t="shared" si="45"/>
        <v/>
      </c>
    </row>
    <row r="655" spans="1:8">
      <c r="A655" s="255">
        <f t="shared" si="42"/>
        <v>653</v>
      </c>
      <c r="B655" s="256">
        <v>45274</v>
      </c>
      <c r="C655" s="257">
        <v>79.640462999999983</v>
      </c>
      <c r="D655" s="258">
        <v>49.218917743854135</v>
      </c>
      <c r="E655" s="257">
        <f t="shared" si="43"/>
        <v>49.218917743854135</v>
      </c>
      <c r="F655" s="263"/>
      <c r="G655" s="190" t="str">
        <f t="shared" si="44"/>
        <v/>
      </c>
      <c r="H655" s="259" t="str">
        <f t="shared" si="45"/>
        <v/>
      </c>
    </row>
    <row r="656" spans="1:8">
      <c r="A656" s="255">
        <f t="shared" si="42"/>
        <v>654</v>
      </c>
      <c r="B656" s="256">
        <v>45275</v>
      </c>
      <c r="C656" s="257">
        <v>81.373981000000001</v>
      </c>
      <c r="D656" s="258">
        <v>49.218917743854135</v>
      </c>
      <c r="E656" s="257">
        <f t="shared" si="43"/>
        <v>49.218917743854135</v>
      </c>
      <c r="F656" s="263"/>
      <c r="G656" s="190" t="str">
        <f t="shared" si="44"/>
        <v>D</v>
      </c>
      <c r="H656" s="259" t="str">
        <f t="shared" si="45"/>
        <v>49,2</v>
      </c>
    </row>
    <row r="657" spans="1:8">
      <c r="A657" s="255">
        <f t="shared" si="42"/>
        <v>655</v>
      </c>
      <c r="B657" s="256">
        <v>45276</v>
      </c>
      <c r="C657" s="257">
        <v>81.534304000000006</v>
      </c>
      <c r="D657" s="258">
        <v>49.218917743854135</v>
      </c>
      <c r="E657" s="257">
        <f t="shared" si="43"/>
        <v>49.218917743854135</v>
      </c>
      <c r="F657" s="263"/>
      <c r="G657" s="190" t="str">
        <f t="shared" si="44"/>
        <v/>
      </c>
      <c r="H657" s="259" t="str">
        <f t="shared" si="45"/>
        <v/>
      </c>
    </row>
    <row r="658" spans="1:8">
      <c r="A658" s="255">
        <f t="shared" si="42"/>
        <v>656</v>
      </c>
      <c r="B658" s="256">
        <v>45277</v>
      </c>
      <c r="C658" s="257">
        <v>78.983294999999998</v>
      </c>
      <c r="D658" s="258">
        <v>49.218917743854135</v>
      </c>
      <c r="E658" s="257">
        <f t="shared" si="43"/>
        <v>49.218917743854135</v>
      </c>
      <c r="F658" s="263"/>
      <c r="G658" s="190" t="str">
        <f t="shared" si="44"/>
        <v/>
      </c>
      <c r="H658" s="259" t="str">
        <f t="shared" si="45"/>
        <v/>
      </c>
    </row>
    <row r="659" spans="1:8">
      <c r="A659" s="255">
        <f t="shared" si="42"/>
        <v>657</v>
      </c>
      <c r="B659" s="256">
        <v>45278</v>
      </c>
      <c r="C659" s="257">
        <v>79.534385</v>
      </c>
      <c r="D659" s="258">
        <v>49.218917743854135</v>
      </c>
      <c r="E659" s="257">
        <f t="shared" si="43"/>
        <v>49.218917743854135</v>
      </c>
      <c r="F659" s="263"/>
      <c r="G659" s="190" t="str">
        <f t="shared" si="44"/>
        <v/>
      </c>
      <c r="H659" s="259" t="str">
        <f t="shared" si="45"/>
        <v/>
      </c>
    </row>
    <row r="660" spans="1:8">
      <c r="A660" s="255">
        <f t="shared" si="42"/>
        <v>658</v>
      </c>
      <c r="B660" s="256">
        <v>45279</v>
      </c>
      <c r="C660" s="257">
        <v>78.967001999999994</v>
      </c>
      <c r="D660" s="258">
        <v>49.218917743854135</v>
      </c>
      <c r="E660" s="257">
        <f t="shared" si="43"/>
        <v>49.218917743854135</v>
      </c>
      <c r="F660" s="263"/>
      <c r="G660" s="190" t="str">
        <f t="shared" si="44"/>
        <v/>
      </c>
      <c r="H660" s="259" t="str">
        <f t="shared" si="45"/>
        <v/>
      </c>
    </row>
    <row r="661" spans="1:8">
      <c r="A661" s="255">
        <f t="shared" si="42"/>
        <v>659</v>
      </c>
      <c r="B661" s="256">
        <v>45280</v>
      </c>
      <c r="C661" s="257">
        <v>47.568999000000005</v>
      </c>
      <c r="D661" s="258">
        <v>49.218917743854135</v>
      </c>
      <c r="E661" s="257">
        <f t="shared" si="43"/>
        <v>47.568999000000005</v>
      </c>
      <c r="F661" s="263"/>
      <c r="G661" s="190" t="str">
        <f t="shared" si="44"/>
        <v/>
      </c>
      <c r="H661" s="259" t="str">
        <f t="shared" si="45"/>
        <v/>
      </c>
    </row>
    <row r="662" spans="1:8">
      <c r="A662" s="255">
        <f t="shared" si="42"/>
        <v>660</v>
      </c>
      <c r="B662" s="256">
        <v>45281</v>
      </c>
      <c r="C662" s="257">
        <v>77.624911999999995</v>
      </c>
      <c r="D662" s="258">
        <v>49.218917743854135</v>
      </c>
      <c r="E662" s="257">
        <f t="shared" si="43"/>
        <v>49.218917743854135</v>
      </c>
      <c r="F662" s="263"/>
      <c r="G662" s="190" t="str">
        <f t="shared" si="44"/>
        <v/>
      </c>
      <c r="H662" s="259" t="str">
        <f t="shared" si="45"/>
        <v/>
      </c>
    </row>
    <row r="663" spans="1:8">
      <c r="A663" s="255">
        <f t="shared" si="42"/>
        <v>661</v>
      </c>
      <c r="B663" s="256">
        <v>45282</v>
      </c>
      <c r="C663" s="257">
        <v>78.030814000000007</v>
      </c>
      <c r="D663" s="258">
        <v>49.218917743854135</v>
      </c>
      <c r="E663" s="257">
        <f t="shared" si="43"/>
        <v>49.218917743854135</v>
      </c>
      <c r="F663" s="263"/>
      <c r="G663" s="190" t="str">
        <f t="shared" si="44"/>
        <v/>
      </c>
      <c r="H663" s="259" t="str">
        <f t="shared" si="45"/>
        <v/>
      </c>
    </row>
    <row r="664" spans="1:8">
      <c r="A664" s="255">
        <f t="shared" si="42"/>
        <v>662</v>
      </c>
      <c r="B664" s="256">
        <v>45283</v>
      </c>
      <c r="C664" s="257">
        <v>77.777689999999993</v>
      </c>
      <c r="D664" s="258">
        <v>49.218917743854135</v>
      </c>
      <c r="E664" s="257">
        <f t="shared" si="43"/>
        <v>49.218917743854135</v>
      </c>
      <c r="F664" s="263"/>
      <c r="G664" s="190" t="str">
        <f t="shared" si="44"/>
        <v/>
      </c>
      <c r="H664" s="259" t="str">
        <f t="shared" si="45"/>
        <v/>
      </c>
    </row>
    <row r="665" spans="1:8">
      <c r="A665" s="255">
        <f t="shared" si="42"/>
        <v>663</v>
      </c>
      <c r="B665" s="256">
        <v>45284</v>
      </c>
      <c r="C665" s="257">
        <v>77.432638999999995</v>
      </c>
      <c r="D665" s="258">
        <v>49.218917743854135</v>
      </c>
      <c r="E665" s="257">
        <f t="shared" si="43"/>
        <v>49.218917743854135</v>
      </c>
      <c r="F665" s="263"/>
      <c r="G665" s="190" t="str">
        <f t="shared" si="44"/>
        <v/>
      </c>
      <c r="H665" s="259" t="str">
        <f t="shared" si="45"/>
        <v/>
      </c>
    </row>
    <row r="666" spans="1:8">
      <c r="A666" s="255">
        <f t="shared" si="42"/>
        <v>664</v>
      </c>
      <c r="B666" s="256">
        <v>45285</v>
      </c>
      <c r="C666" s="257">
        <v>71.49633</v>
      </c>
      <c r="D666" s="258">
        <v>49.218917743854135</v>
      </c>
      <c r="E666" s="257">
        <f t="shared" si="43"/>
        <v>49.218917743854135</v>
      </c>
      <c r="F666" s="263"/>
      <c r="G666" s="190" t="str">
        <f t="shared" si="44"/>
        <v/>
      </c>
      <c r="H666" s="259" t="str">
        <f t="shared" si="45"/>
        <v/>
      </c>
    </row>
    <row r="667" spans="1:8">
      <c r="A667" s="255">
        <f t="shared" si="42"/>
        <v>665</v>
      </c>
      <c r="B667" s="256">
        <v>45286</v>
      </c>
      <c r="C667" s="257">
        <v>57.709153000000001</v>
      </c>
      <c r="D667" s="258">
        <v>49.218917743854135</v>
      </c>
      <c r="E667" s="257">
        <f t="shared" si="43"/>
        <v>49.218917743854135</v>
      </c>
      <c r="F667" s="263"/>
      <c r="G667" s="190" t="str">
        <f t="shared" si="44"/>
        <v/>
      </c>
      <c r="H667" s="259" t="str">
        <f t="shared" si="45"/>
        <v/>
      </c>
    </row>
    <row r="668" spans="1:8">
      <c r="A668" s="255">
        <f t="shared" si="42"/>
        <v>666</v>
      </c>
      <c r="B668" s="256">
        <v>45287</v>
      </c>
      <c r="C668" s="257">
        <v>59.583220000000004</v>
      </c>
      <c r="D668" s="258">
        <v>49.218917743854135</v>
      </c>
      <c r="E668" s="257">
        <f t="shared" si="43"/>
        <v>49.218917743854135</v>
      </c>
      <c r="F668" s="263"/>
      <c r="G668" s="190" t="str">
        <f t="shared" si="44"/>
        <v/>
      </c>
      <c r="H668" s="259" t="str">
        <f t="shared" si="45"/>
        <v/>
      </c>
    </row>
    <row r="669" spans="1:8">
      <c r="A669" s="255">
        <f t="shared" si="42"/>
        <v>667</v>
      </c>
      <c r="B669" s="256">
        <v>45288</v>
      </c>
      <c r="C669" s="257">
        <v>42.244174000000001</v>
      </c>
      <c r="D669" s="258">
        <v>49.218917743854135</v>
      </c>
      <c r="E669" s="257">
        <f t="shared" si="43"/>
        <v>42.244174000000001</v>
      </c>
      <c r="F669" s="263"/>
      <c r="G669" s="190" t="str">
        <f t="shared" si="44"/>
        <v/>
      </c>
      <c r="H669" s="259" t="str">
        <f t="shared" si="45"/>
        <v/>
      </c>
    </row>
    <row r="670" spans="1:8">
      <c r="A670" s="255">
        <f t="shared" si="42"/>
        <v>668</v>
      </c>
      <c r="B670" s="256">
        <v>45289</v>
      </c>
      <c r="C670" s="257">
        <v>26.728804</v>
      </c>
      <c r="D670" s="258">
        <v>49.218917743854135</v>
      </c>
      <c r="E670" s="257">
        <f t="shared" si="43"/>
        <v>26.728804</v>
      </c>
      <c r="F670" s="263"/>
      <c r="G670" s="190" t="str">
        <f t="shared" si="44"/>
        <v/>
      </c>
      <c r="H670" s="259" t="str">
        <f t="shared" si="45"/>
        <v/>
      </c>
    </row>
    <row r="671" spans="1:8">
      <c r="A671" s="255">
        <f t="shared" si="42"/>
        <v>669</v>
      </c>
      <c r="B671" s="256">
        <v>45290</v>
      </c>
      <c r="C671" s="257">
        <v>68.956035</v>
      </c>
      <c r="D671" s="258">
        <v>49.218917743854135</v>
      </c>
      <c r="E671" s="257">
        <f t="shared" si="43"/>
        <v>49.218917743854135</v>
      </c>
      <c r="F671" s="263"/>
      <c r="G671" s="190" t="str">
        <f t="shared" si="44"/>
        <v/>
      </c>
      <c r="H671" s="259" t="str">
        <f t="shared" si="45"/>
        <v/>
      </c>
    </row>
    <row r="672" spans="1:8">
      <c r="A672" s="255">
        <f t="shared" si="42"/>
        <v>670</v>
      </c>
      <c r="B672" s="256">
        <v>45291</v>
      </c>
      <c r="C672" s="257">
        <v>35.658654999999996</v>
      </c>
      <c r="D672" s="258">
        <v>49.218917743854135</v>
      </c>
      <c r="E672" s="257">
        <f t="shared" si="43"/>
        <v>35.658654999999996</v>
      </c>
      <c r="F672" s="263"/>
      <c r="G672" s="190" t="str">
        <f t="shared" si="44"/>
        <v/>
      </c>
      <c r="H672" s="259" t="str">
        <f t="shared" si="45"/>
        <v/>
      </c>
    </row>
    <row r="673" spans="1:8">
      <c r="A673" s="255">
        <f t="shared" si="42"/>
        <v>671</v>
      </c>
      <c r="B673" s="256">
        <v>45292</v>
      </c>
      <c r="C673" s="257">
        <v>65.163443999999998</v>
      </c>
      <c r="D673" s="258">
        <v>72.57884828325615</v>
      </c>
      <c r="E673" s="257">
        <f t="shared" si="43"/>
        <v>65.163443999999998</v>
      </c>
      <c r="F673" s="260">
        <f>YEAR(B673)</f>
        <v>2024</v>
      </c>
      <c r="G673" s="190" t="str">
        <f t="shared" si="44"/>
        <v/>
      </c>
      <c r="H673" s="259" t="str">
        <f t="shared" si="45"/>
        <v/>
      </c>
    </row>
    <row r="674" spans="1:8">
      <c r="A674" s="255">
        <f t="shared" si="42"/>
        <v>672</v>
      </c>
      <c r="B674" s="256">
        <v>45293</v>
      </c>
      <c r="C674" s="257">
        <v>47.729921000000004</v>
      </c>
      <c r="D674" s="258">
        <v>72.57884828325615</v>
      </c>
      <c r="E674" s="257">
        <f t="shared" si="43"/>
        <v>47.729921000000004</v>
      </c>
      <c r="F674" s="263"/>
      <c r="G674" s="190" t="str">
        <f t="shared" si="44"/>
        <v/>
      </c>
      <c r="H674" s="259" t="str">
        <f t="shared" si="45"/>
        <v/>
      </c>
    </row>
    <row r="675" spans="1:8">
      <c r="A675" s="255">
        <f t="shared" si="42"/>
        <v>673</v>
      </c>
      <c r="B675" s="256">
        <v>45294</v>
      </c>
      <c r="C675" s="257">
        <v>34.487565000000004</v>
      </c>
      <c r="D675" s="258">
        <v>72.57884828325615</v>
      </c>
      <c r="E675" s="257">
        <f t="shared" si="43"/>
        <v>34.487565000000004</v>
      </c>
      <c r="F675" s="263"/>
      <c r="G675" s="190" t="str">
        <f t="shared" si="44"/>
        <v/>
      </c>
      <c r="H675" s="259" t="str">
        <f t="shared" si="45"/>
        <v/>
      </c>
    </row>
    <row r="676" spans="1:8">
      <c r="A676" s="255">
        <f t="shared" si="42"/>
        <v>674</v>
      </c>
      <c r="B676" s="256">
        <v>45295</v>
      </c>
      <c r="C676" s="257">
        <v>24.777777999999998</v>
      </c>
      <c r="D676" s="258">
        <v>72.57884828325615</v>
      </c>
      <c r="E676" s="257">
        <f t="shared" si="43"/>
        <v>24.777777999999998</v>
      </c>
      <c r="F676" s="263"/>
      <c r="G676" s="190" t="str">
        <f t="shared" si="44"/>
        <v/>
      </c>
      <c r="H676" s="259" t="str">
        <f t="shared" si="45"/>
        <v/>
      </c>
    </row>
    <row r="677" spans="1:8">
      <c r="A677" s="255">
        <f t="shared" si="42"/>
        <v>675</v>
      </c>
      <c r="B677" s="256">
        <v>45296</v>
      </c>
      <c r="C677" s="257">
        <v>60.582135000000001</v>
      </c>
      <c r="D677" s="258">
        <v>72.57884828325615</v>
      </c>
      <c r="E677" s="257">
        <f t="shared" si="43"/>
        <v>60.582135000000001</v>
      </c>
      <c r="F677" s="263"/>
      <c r="G677" s="190" t="str">
        <f t="shared" si="44"/>
        <v/>
      </c>
      <c r="H677" s="259" t="str">
        <f t="shared" si="45"/>
        <v/>
      </c>
    </row>
    <row r="678" spans="1:8">
      <c r="A678" s="255">
        <f t="shared" si="42"/>
        <v>676</v>
      </c>
      <c r="B678" s="256">
        <v>45297</v>
      </c>
      <c r="C678" s="257">
        <v>76.656891999999999</v>
      </c>
      <c r="D678" s="258">
        <v>72.57884828325615</v>
      </c>
      <c r="E678" s="257">
        <f t="shared" si="43"/>
        <v>72.57884828325615</v>
      </c>
      <c r="F678" s="263"/>
      <c r="G678" s="190" t="str">
        <f t="shared" si="44"/>
        <v/>
      </c>
      <c r="H678" s="259" t="str">
        <f t="shared" si="45"/>
        <v/>
      </c>
    </row>
    <row r="679" spans="1:8">
      <c r="A679" s="255">
        <f t="shared" si="42"/>
        <v>677</v>
      </c>
      <c r="B679" s="256">
        <v>45298</v>
      </c>
      <c r="C679" s="257">
        <v>83.016259000000005</v>
      </c>
      <c r="D679" s="258">
        <v>72.57884828325615</v>
      </c>
      <c r="E679" s="257">
        <f t="shared" si="43"/>
        <v>72.57884828325615</v>
      </c>
      <c r="F679" s="263"/>
      <c r="G679" s="190" t="str">
        <f t="shared" si="44"/>
        <v/>
      </c>
      <c r="H679" s="259" t="str">
        <f t="shared" si="45"/>
        <v/>
      </c>
    </row>
    <row r="680" spans="1:8">
      <c r="A680" s="255">
        <f t="shared" si="42"/>
        <v>678</v>
      </c>
      <c r="B680" s="256">
        <v>45299</v>
      </c>
      <c r="C680" s="257">
        <v>63.462061999999996</v>
      </c>
      <c r="D680" s="258">
        <v>72.57884828325615</v>
      </c>
      <c r="E680" s="257">
        <f t="shared" si="43"/>
        <v>63.462061999999996</v>
      </c>
      <c r="F680" s="263"/>
      <c r="G680" s="190" t="str">
        <f t="shared" si="44"/>
        <v/>
      </c>
      <c r="H680" s="259" t="str">
        <f t="shared" si="45"/>
        <v/>
      </c>
    </row>
    <row r="681" spans="1:8">
      <c r="A681" s="255">
        <f t="shared" si="42"/>
        <v>679</v>
      </c>
      <c r="B681" s="256">
        <v>45300</v>
      </c>
      <c r="C681" s="257">
        <v>35.970074999999994</v>
      </c>
      <c r="D681" s="258">
        <v>72.57884828325615</v>
      </c>
      <c r="E681" s="257">
        <f t="shared" si="43"/>
        <v>35.970074999999994</v>
      </c>
      <c r="F681" s="263"/>
      <c r="G681" s="190" t="str">
        <f t="shared" si="44"/>
        <v/>
      </c>
      <c r="H681" s="259" t="str">
        <f t="shared" si="45"/>
        <v/>
      </c>
    </row>
    <row r="682" spans="1:8">
      <c r="A682" s="255">
        <f t="shared" si="42"/>
        <v>680</v>
      </c>
      <c r="B682" s="256">
        <v>45301</v>
      </c>
      <c r="C682" s="257">
        <v>31.920556000000001</v>
      </c>
      <c r="D682" s="258">
        <v>72.57884828325615</v>
      </c>
      <c r="E682" s="257">
        <f t="shared" si="43"/>
        <v>31.920556000000001</v>
      </c>
      <c r="F682" s="263"/>
      <c r="G682" s="190" t="str">
        <f t="shared" si="44"/>
        <v/>
      </c>
      <c r="H682" s="259" t="str">
        <f t="shared" si="45"/>
        <v/>
      </c>
    </row>
    <row r="683" spans="1:8">
      <c r="A683" s="255">
        <f t="shared" si="42"/>
        <v>681</v>
      </c>
      <c r="B683" s="256">
        <v>45302</v>
      </c>
      <c r="C683" s="257">
        <v>61.641739999999999</v>
      </c>
      <c r="D683" s="258">
        <v>72.57884828325615</v>
      </c>
      <c r="E683" s="257">
        <f t="shared" si="43"/>
        <v>61.641739999999999</v>
      </c>
      <c r="F683" s="263"/>
      <c r="G683" s="190" t="str">
        <f t="shared" si="44"/>
        <v/>
      </c>
      <c r="H683" s="259" t="str">
        <f t="shared" si="45"/>
        <v/>
      </c>
    </row>
    <row r="684" spans="1:8">
      <c r="A684" s="255">
        <f t="shared" si="42"/>
        <v>682</v>
      </c>
      <c r="B684" s="256">
        <v>45303</v>
      </c>
      <c r="C684" s="257">
        <v>70.035195000000002</v>
      </c>
      <c r="D684" s="258">
        <v>72.57884828325615</v>
      </c>
      <c r="E684" s="257">
        <f t="shared" si="43"/>
        <v>70.035195000000002</v>
      </c>
      <c r="F684" s="263"/>
      <c r="G684" s="190" t="str">
        <f t="shared" si="44"/>
        <v/>
      </c>
      <c r="H684" s="259" t="str">
        <f t="shared" si="45"/>
        <v/>
      </c>
    </row>
    <row r="685" spans="1:8">
      <c r="A685" s="255">
        <f t="shared" si="42"/>
        <v>683</v>
      </c>
      <c r="B685" s="256">
        <v>45304</v>
      </c>
      <c r="C685" s="257">
        <v>43.716620000000006</v>
      </c>
      <c r="D685" s="258">
        <v>72.57884828325615</v>
      </c>
      <c r="E685" s="257">
        <f t="shared" si="43"/>
        <v>43.716620000000006</v>
      </c>
      <c r="F685" s="263"/>
      <c r="G685" s="190" t="str">
        <f t="shared" si="44"/>
        <v/>
      </c>
      <c r="H685" s="259" t="str">
        <f t="shared" si="45"/>
        <v/>
      </c>
    </row>
    <row r="686" spans="1:8">
      <c r="A686" s="255">
        <f t="shared" si="42"/>
        <v>684</v>
      </c>
      <c r="B686" s="256">
        <v>45305</v>
      </c>
      <c r="C686" s="257">
        <v>43.898980000000002</v>
      </c>
      <c r="D686" s="258">
        <v>72.57884828325615</v>
      </c>
      <c r="E686" s="257">
        <f t="shared" si="43"/>
        <v>43.898980000000002</v>
      </c>
      <c r="F686" s="263"/>
      <c r="G686" s="190" t="str">
        <f t="shared" si="44"/>
        <v/>
      </c>
      <c r="H686" s="259" t="str">
        <f t="shared" si="45"/>
        <v/>
      </c>
    </row>
    <row r="687" spans="1:8">
      <c r="A687" s="255">
        <f t="shared" si="42"/>
        <v>685</v>
      </c>
      <c r="B687" s="256">
        <v>45306</v>
      </c>
      <c r="C687" s="257">
        <v>22.184312000000002</v>
      </c>
      <c r="D687" s="258">
        <v>72.57884828325615</v>
      </c>
      <c r="E687" s="257">
        <f t="shared" si="43"/>
        <v>22.184312000000002</v>
      </c>
      <c r="F687" s="263"/>
      <c r="G687" s="190" t="str">
        <f t="shared" si="44"/>
        <v>E</v>
      </c>
      <c r="H687" s="259" t="str">
        <f t="shared" si="45"/>
        <v>72,6</v>
      </c>
    </row>
    <row r="688" spans="1:8">
      <c r="A688" s="255">
        <f t="shared" si="42"/>
        <v>686</v>
      </c>
      <c r="B688" s="256">
        <v>45307</v>
      </c>
      <c r="C688" s="257">
        <v>32.061104999999998</v>
      </c>
      <c r="D688" s="258">
        <v>72.57884828325615</v>
      </c>
      <c r="E688" s="257">
        <f t="shared" si="43"/>
        <v>32.061104999999998</v>
      </c>
      <c r="F688" s="263"/>
      <c r="G688" s="190" t="str">
        <f t="shared" si="44"/>
        <v/>
      </c>
      <c r="H688" s="259" t="str">
        <f t="shared" si="45"/>
        <v/>
      </c>
    </row>
    <row r="689" spans="1:8">
      <c r="A689" s="255">
        <f t="shared" si="42"/>
        <v>687</v>
      </c>
      <c r="B689" s="256">
        <v>45308</v>
      </c>
      <c r="C689" s="257">
        <v>44.161414999999998</v>
      </c>
      <c r="D689" s="258">
        <v>72.57884828325615</v>
      </c>
      <c r="E689" s="257">
        <f t="shared" si="43"/>
        <v>44.161414999999998</v>
      </c>
      <c r="F689" s="263"/>
      <c r="G689" s="190" t="str">
        <f t="shared" si="44"/>
        <v/>
      </c>
      <c r="H689" s="259" t="str">
        <f t="shared" si="45"/>
        <v/>
      </c>
    </row>
    <row r="690" spans="1:8">
      <c r="A690" s="255">
        <f t="shared" si="42"/>
        <v>688</v>
      </c>
      <c r="B690" s="256">
        <v>45309</v>
      </c>
      <c r="C690" s="257">
        <v>43.286101000000002</v>
      </c>
      <c r="D690" s="258">
        <v>72.57884828325615</v>
      </c>
      <c r="E690" s="257">
        <f t="shared" si="43"/>
        <v>43.286101000000002</v>
      </c>
      <c r="F690" s="263"/>
      <c r="G690" s="190" t="str">
        <f t="shared" si="44"/>
        <v/>
      </c>
      <c r="H690" s="259" t="str">
        <f t="shared" si="45"/>
        <v/>
      </c>
    </row>
    <row r="691" spans="1:8">
      <c r="A691" s="255">
        <f t="shared" si="42"/>
        <v>689</v>
      </c>
      <c r="B691" s="256">
        <v>45310</v>
      </c>
      <c r="C691" s="257">
        <v>20.905069000000001</v>
      </c>
      <c r="D691" s="258">
        <v>72.57884828325615</v>
      </c>
      <c r="E691" s="257">
        <f t="shared" si="43"/>
        <v>20.905069000000001</v>
      </c>
      <c r="F691" s="263"/>
      <c r="G691" s="190" t="str">
        <f t="shared" si="44"/>
        <v/>
      </c>
      <c r="H691" s="259" t="str">
        <f t="shared" si="45"/>
        <v/>
      </c>
    </row>
    <row r="692" spans="1:8">
      <c r="A692" s="255">
        <f t="shared" si="42"/>
        <v>690</v>
      </c>
      <c r="B692" s="256">
        <v>45311</v>
      </c>
      <c r="C692" s="257">
        <v>70.018907999999996</v>
      </c>
      <c r="D692" s="258">
        <v>72.57884828325615</v>
      </c>
      <c r="E692" s="257">
        <f t="shared" si="43"/>
        <v>70.018907999999996</v>
      </c>
      <c r="F692" s="263"/>
      <c r="G692" s="190" t="str">
        <f t="shared" si="44"/>
        <v/>
      </c>
      <c r="H692" s="259" t="str">
        <f t="shared" si="45"/>
        <v/>
      </c>
    </row>
    <row r="693" spans="1:8">
      <c r="A693" s="255">
        <f t="shared" si="42"/>
        <v>691</v>
      </c>
      <c r="B693" s="256">
        <v>45312</v>
      </c>
      <c r="C693" s="257">
        <v>79.628083000000004</v>
      </c>
      <c r="D693" s="258">
        <v>72.57884828325615</v>
      </c>
      <c r="E693" s="257">
        <f t="shared" si="43"/>
        <v>72.57884828325615</v>
      </c>
      <c r="F693" s="263"/>
      <c r="G693" s="190" t="str">
        <f t="shared" si="44"/>
        <v/>
      </c>
      <c r="H693" s="259" t="str">
        <f t="shared" si="45"/>
        <v/>
      </c>
    </row>
    <row r="694" spans="1:8">
      <c r="A694" s="255">
        <f t="shared" si="42"/>
        <v>692</v>
      </c>
      <c r="B694" s="256">
        <v>45313</v>
      </c>
      <c r="C694" s="257">
        <v>79.113975999999994</v>
      </c>
      <c r="D694" s="258">
        <v>72.57884828325615</v>
      </c>
      <c r="E694" s="257">
        <f t="shared" si="43"/>
        <v>72.57884828325615</v>
      </c>
      <c r="F694" s="263"/>
      <c r="G694" s="190" t="str">
        <f t="shared" si="44"/>
        <v/>
      </c>
      <c r="H694" s="259" t="str">
        <f t="shared" si="45"/>
        <v/>
      </c>
    </row>
    <row r="695" spans="1:8">
      <c r="A695" s="255">
        <f t="shared" si="42"/>
        <v>693</v>
      </c>
      <c r="B695" s="256">
        <v>45314</v>
      </c>
      <c r="C695" s="257">
        <v>87.140363000000008</v>
      </c>
      <c r="D695" s="258">
        <v>72.57884828325615</v>
      </c>
      <c r="E695" s="257">
        <f t="shared" si="43"/>
        <v>72.57884828325615</v>
      </c>
      <c r="F695" s="263"/>
      <c r="G695" s="190" t="str">
        <f t="shared" si="44"/>
        <v/>
      </c>
      <c r="H695" s="259" t="str">
        <f t="shared" si="45"/>
        <v/>
      </c>
    </row>
    <row r="696" spans="1:8">
      <c r="A696" s="255">
        <f t="shared" si="42"/>
        <v>694</v>
      </c>
      <c r="B696" s="256">
        <v>45315</v>
      </c>
      <c r="C696" s="257">
        <v>90.015534000000002</v>
      </c>
      <c r="D696" s="258">
        <v>72.57884828325615</v>
      </c>
      <c r="E696" s="257">
        <f t="shared" si="43"/>
        <v>72.57884828325615</v>
      </c>
      <c r="F696" s="263"/>
      <c r="G696" s="190" t="str">
        <f t="shared" si="44"/>
        <v/>
      </c>
      <c r="H696" s="259" t="str">
        <f t="shared" si="45"/>
        <v/>
      </c>
    </row>
    <row r="697" spans="1:8">
      <c r="A697" s="255">
        <f t="shared" si="42"/>
        <v>695</v>
      </c>
      <c r="B697" s="256">
        <v>45316</v>
      </c>
      <c r="C697" s="257">
        <v>90.191419999999994</v>
      </c>
      <c r="D697" s="258">
        <v>72.57884828325615</v>
      </c>
      <c r="E697" s="257">
        <f t="shared" si="43"/>
        <v>72.57884828325615</v>
      </c>
      <c r="F697" s="263"/>
      <c r="G697" s="190" t="str">
        <f t="shared" si="44"/>
        <v/>
      </c>
      <c r="H697" s="259" t="str">
        <f t="shared" si="45"/>
        <v/>
      </c>
    </row>
    <row r="698" spans="1:8">
      <c r="A698" s="255">
        <f t="shared" si="42"/>
        <v>696</v>
      </c>
      <c r="B698" s="256">
        <v>45317</v>
      </c>
      <c r="C698" s="257">
        <v>85.34348</v>
      </c>
      <c r="D698" s="258">
        <v>72.57884828325615</v>
      </c>
      <c r="E698" s="257">
        <f t="shared" si="43"/>
        <v>72.57884828325615</v>
      </c>
      <c r="F698" s="263"/>
      <c r="G698" s="190" t="str">
        <f t="shared" si="44"/>
        <v/>
      </c>
      <c r="H698" s="259" t="str">
        <f t="shared" si="45"/>
        <v/>
      </c>
    </row>
    <row r="699" spans="1:8">
      <c r="A699" s="255">
        <f t="shared" si="42"/>
        <v>697</v>
      </c>
      <c r="B699" s="256">
        <v>45318</v>
      </c>
      <c r="C699" s="257">
        <v>84.530421000000004</v>
      </c>
      <c r="D699" s="258">
        <v>72.57884828325615</v>
      </c>
      <c r="E699" s="257">
        <f t="shared" si="43"/>
        <v>72.57884828325615</v>
      </c>
      <c r="F699" s="263"/>
      <c r="G699" s="190" t="str">
        <f t="shared" si="44"/>
        <v/>
      </c>
      <c r="H699" s="259" t="str">
        <f t="shared" si="45"/>
        <v/>
      </c>
    </row>
    <row r="700" spans="1:8">
      <c r="A700" s="255">
        <f t="shared" si="42"/>
        <v>698</v>
      </c>
      <c r="B700" s="256">
        <v>45319</v>
      </c>
      <c r="C700" s="257">
        <v>77.504929000000004</v>
      </c>
      <c r="D700" s="258">
        <v>72.57884828325615</v>
      </c>
      <c r="E700" s="257">
        <f t="shared" si="43"/>
        <v>72.57884828325615</v>
      </c>
      <c r="F700" s="263"/>
      <c r="G700" s="190" t="str">
        <f t="shared" si="44"/>
        <v/>
      </c>
      <c r="H700" s="259" t="str">
        <f t="shared" si="45"/>
        <v/>
      </c>
    </row>
    <row r="701" spans="1:8">
      <c r="A701" s="255">
        <f t="shared" si="42"/>
        <v>699</v>
      </c>
      <c r="B701" s="256">
        <v>45320</v>
      </c>
      <c r="C701" s="257">
        <v>57.338449999999995</v>
      </c>
      <c r="D701" s="258">
        <v>72.57884828325615</v>
      </c>
      <c r="E701" s="257">
        <f t="shared" si="43"/>
        <v>57.338449999999995</v>
      </c>
      <c r="F701" s="260"/>
      <c r="G701" s="190" t="str">
        <f t="shared" si="44"/>
        <v/>
      </c>
      <c r="H701" s="259" t="str">
        <f t="shared" si="45"/>
        <v/>
      </c>
    </row>
    <row r="702" spans="1:8">
      <c r="A702" s="255">
        <f t="shared" si="42"/>
        <v>700</v>
      </c>
      <c r="B702" s="256">
        <v>45321</v>
      </c>
      <c r="C702" s="257">
        <v>71.777050000000003</v>
      </c>
      <c r="D702" s="258">
        <v>72.57884828325615</v>
      </c>
      <c r="E702" s="257">
        <f t="shared" si="43"/>
        <v>71.777050000000003</v>
      </c>
      <c r="F702" s="263"/>
      <c r="G702" s="190" t="str">
        <f t="shared" si="44"/>
        <v/>
      </c>
      <c r="H702" s="259" t="str">
        <f t="shared" si="45"/>
        <v/>
      </c>
    </row>
    <row r="703" spans="1:8">
      <c r="A703" s="255">
        <f t="shared" si="42"/>
        <v>701</v>
      </c>
      <c r="B703" s="256">
        <v>45322</v>
      </c>
      <c r="C703" s="257">
        <v>82.371899999999997</v>
      </c>
      <c r="D703" s="258">
        <v>72.57884828325615</v>
      </c>
      <c r="E703" s="257">
        <f t="shared" si="43"/>
        <v>72.57884828325615</v>
      </c>
      <c r="F703" s="263"/>
      <c r="G703" s="190" t="str">
        <f t="shared" si="44"/>
        <v/>
      </c>
      <c r="H703" s="259" t="str">
        <f t="shared" si="45"/>
        <v/>
      </c>
    </row>
    <row r="704" spans="1:8">
      <c r="A704" s="255">
        <f t="shared" si="42"/>
        <v>702</v>
      </c>
      <c r="B704" s="256">
        <v>45323</v>
      </c>
      <c r="C704" s="257">
        <v>104.250462</v>
      </c>
      <c r="D704" s="258">
        <v>89.189500892925906</v>
      </c>
      <c r="E704" s="257">
        <f t="shared" si="43"/>
        <v>89.189500892925906</v>
      </c>
      <c r="F704" s="263"/>
      <c r="G704" s="190" t="str">
        <f t="shared" si="44"/>
        <v/>
      </c>
      <c r="H704" s="259" t="str">
        <f t="shared" si="45"/>
        <v/>
      </c>
    </row>
    <row r="705" spans="1:8">
      <c r="A705" s="255">
        <f t="shared" si="42"/>
        <v>703</v>
      </c>
      <c r="B705" s="256">
        <v>45324</v>
      </c>
      <c r="C705" s="257">
        <v>107.50809600000001</v>
      </c>
      <c r="D705" s="258">
        <v>89.189500892925906</v>
      </c>
      <c r="E705" s="257">
        <f t="shared" si="43"/>
        <v>89.189500892925906</v>
      </c>
      <c r="F705" s="263"/>
      <c r="G705" s="190" t="str">
        <f t="shared" si="44"/>
        <v/>
      </c>
      <c r="H705" s="259" t="str">
        <f t="shared" si="45"/>
        <v/>
      </c>
    </row>
    <row r="706" spans="1:8">
      <c r="A706" s="255">
        <f t="shared" si="42"/>
        <v>704</v>
      </c>
      <c r="B706" s="256">
        <v>45325</v>
      </c>
      <c r="C706" s="257">
        <v>105.6198</v>
      </c>
      <c r="D706" s="258">
        <v>89.189500892925906</v>
      </c>
      <c r="E706" s="257">
        <f t="shared" si="43"/>
        <v>89.189500892925906</v>
      </c>
      <c r="F706" s="263"/>
      <c r="G706" s="190" t="str">
        <f t="shared" si="44"/>
        <v/>
      </c>
      <c r="H706" s="259" t="str">
        <f t="shared" si="45"/>
        <v/>
      </c>
    </row>
    <row r="707" spans="1:8">
      <c r="A707" s="255">
        <f t="shared" si="42"/>
        <v>705</v>
      </c>
      <c r="B707" s="256">
        <v>45326</v>
      </c>
      <c r="C707" s="257">
        <v>106.96937200000001</v>
      </c>
      <c r="D707" s="258">
        <v>89.189500892925906</v>
      </c>
      <c r="E707" s="257">
        <f t="shared" si="43"/>
        <v>89.189500892925906</v>
      </c>
      <c r="F707" s="263"/>
      <c r="G707" s="190" t="str">
        <f t="shared" si="44"/>
        <v/>
      </c>
      <c r="H707" s="259" t="str">
        <f t="shared" si="45"/>
        <v/>
      </c>
    </row>
    <row r="708" spans="1:8">
      <c r="A708" s="255">
        <f t="shared" ref="A708:A763" si="46">+A707+1</f>
        <v>706</v>
      </c>
      <c r="B708" s="256">
        <v>45327</v>
      </c>
      <c r="C708" s="257">
        <v>85.561145999999994</v>
      </c>
      <c r="D708" s="258">
        <v>89.189500892925906</v>
      </c>
      <c r="E708" s="257">
        <f t="shared" ref="E708:E760" si="47">IF(C708&gt;D708,D708,C708)</f>
        <v>85.561145999999994</v>
      </c>
      <c r="F708" s="263"/>
      <c r="G708" s="190" t="str">
        <f t="shared" ref="G708:G745" si="48">IF(DAY(B708)=15,IF(MONTH(B708)=1,"E",IF(MONTH(B708)=2,"F",IF(MONTH(B708)=3,"M",IF(MONTH(B708)=4,"A",IF(MONTH(B708)=5,"M",IF(MONTH(B708)=6,"J",IF(MONTH(B708)=7,"J",IF(MONTH(B708)=8,"A",IF(MONTH(B708)=9,"S",IF(MONTH(B708)=10,"O",IF(MONTH(B708)=11,"N",IF(MONTH(B708)=12,"D","")))))))))))),"")</f>
        <v/>
      </c>
      <c r="H708" s="259" t="str">
        <f t="shared" ref="H708:H745" si="49">IF(DAY($B708)=15,TEXT(D708,"#,0"),"")</f>
        <v/>
      </c>
    </row>
    <row r="709" spans="1:8">
      <c r="A709" s="255">
        <f t="shared" si="46"/>
        <v>707</v>
      </c>
      <c r="B709" s="256">
        <v>45328</v>
      </c>
      <c r="C709" s="257">
        <v>83.265705999999994</v>
      </c>
      <c r="D709" s="258">
        <v>89.189500892925906</v>
      </c>
      <c r="E709" s="257">
        <f t="shared" si="47"/>
        <v>83.265705999999994</v>
      </c>
      <c r="F709" s="263"/>
      <c r="G709" s="190" t="str">
        <f t="shared" si="48"/>
        <v/>
      </c>
      <c r="H709" s="259" t="str">
        <f t="shared" si="49"/>
        <v/>
      </c>
    </row>
    <row r="710" spans="1:8">
      <c r="A710" s="255">
        <f t="shared" si="46"/>
        <v>708</v>
      </c>
      <c r="B710" s="256">
        <v>45329</v>
      </c>
      <c r="C710" s="257">
        <v>61.388811000000004</v>
      </c>
      <c r="D710" s="258">
        <v>89.189500892925906</v>
      </c>
      <c r="E710" s="257">
        <f t="shared" si="47"/>
        <v>61.388811000000004</v>
      </c>
      <c r="F710" s="263"/>
      <c r="G710" s="190" t="str">
        <f t="shared" si="48"/>
        <v/>
      </c>
      <c r="H710" s="259" t="str">
        <f t="shared" si="49"/>
        <v/>
      </c>
    </row>
    <row r="711" spans="1:8">
      <c r="A711" s="255">
        <f t="shared" si="46"/>
        <v>709</v>
      </c>
      <c r="B711" s="256">
        <v>45330</v>
      </c>
      <c r="C711" s="257">
        <v>37.278991000000005</v>
      </c>
      <c r="D711" s="258">
        <v>89.189500892925906</v>
      </c>
      <c r="E711" s="257">
        <f t="shared" si="47"/>
        <v>37.278991000000005</v>
      </c>
      <c r="F711" s="263"/>
      <c r="G711" s="190" t="str">
        <f t="shared" si="48"/>
        <v/>
      </c>
      <c r="H711" s="259" t="str">
        <f t="shared" si="49"/>
        <v/>
      </c>
    </row>
    <row r="712" spans="1:8">
      <c r="A712" s="255">
        <f t="shared" si="46"/>
        <v>710</v>
      </c>
      <c r="B712" s="256">
        <v>45331</v>
      </c>
      <c r="C712" s="257">
        <v>29.274099</v>
      </c>
      <c r="D712" s="258">
        <v>89.189500892925906</v>
      </c>
      <c r="E712" s="257">
        <f t="shared" si="47"/>
        <v>29.274099</v>
      </c>
      <c r="F712" s="263"/>
      <c r="G712" s="190" t="str">
        <f t="shared" si="48"/>
        <v/>
      </c>
      <c r="H712" s="259" t="str">
        <f t="shared" si="49"/>
        <v/>
      </c>
    </row>
    <row r="713" spans="1:8">
      <c r="A713" s="255">
        <f t="shared" si="46"/>
        <v>711</v>
      </c>
      <c r="B713" s="256">
        <v>45332</v>
      </c>
      <c r="C713" s="257">
        <v>76.750124</v>
      </c>
      <c r="D713" s="258">
        <v>89.189500892925906</v>
      </c>
      <c r="E713" s="257">
        <f t="shared" si="47"/>
        <v>76.750124</v>
      </c>
      <c r="F713" s="263"/>
      <c r="G713" s="190" t="str">
        <f t="shared" si="48"/>
        <v/>
      </c>
      <c r="H713" s="259" t="str">
        <f t="shared" si="49"/>
        <v/>
      </c>
    </row>
    <row r="714" spans="1:8">
      <c r="A714" s="255">
        <f t="shared" si="46"/>
        <v>712</v>
      </c>
      <c r="B714" s="256">
        <v>45333</v>
      </c>
      <c r="C714" s="257">
        <v>40.086457000000003</v>
      </c>
      <c r="D714" s="258">
        <v>89.189500892925906</v>
      </c>
      <c r="E714" s="257">
        <f t="shared" si="47"/>
        <v>40.086457000000003</v>
      </c>
      <c r="F714" s="263"/>
      <c r="G714" s="190" t="str">
        <f t="shared" si="48"/>
        <v/>
      </c>
      <c r="H714" s="259" t="str">
        <f t="shared" si="49"/>
        <v/>
      </c>
    </row>
    <row r="715" spans="1:8">
      <c r="A715" s="255">
        <f t="shared" si="46"/>
        <v>713</v>
      </c>
      <c r="B715" s="256">
        <v>45334</v>
      </c>
      <c r="C715" s="257">
        <v>84.733426000000009</v>
      </c>
      <c r="D715" s="258">
        <v>89.189500892925906</v>
      </c>
      <c r="E715" s="257">
        <f t="shared" si="47"/>
        <v>84.733426000000009</v>
      </c>
      <c r="F715" s="263"/>
      <c r="G715" s="190" t="str">
        <f t="shared" si="48"/>
        <v/>
      </c>
      <c r="H715" s="259" t="str">
        <f t="shared" si="49"/>
        <v/>
      </c>
    </row>
    <row r="716" spans="1:8">
      <c r="A716" s="255">
        <f t="shared" si="46"/>
        <v>714</v>
      </c>
      <c r="B716" s="256">
        <v>45335</v>
      </c>
      <c r="C716" s="257">
        <v>77.824528000000001</v>
      </c>
      <c r="D716" s="258">
        <v>89.189500892925906</v>
      </c>
      <c r="E716" s="257">
        <f t="shared" si="47"/>
        <v>77.824528000000001</v>
      </c>
      <c r="F716" s="263"/>
      <c r="G716" s="190" t="str">
        <f t="shared" si="48"/>
        <v/>
      </c>
      <c r="H716" s="259" t="str">
        <f t="shared" si="49"/>
        <v/>
      </c>
    </row>
    <row r="717" spans="1:8">
      <c r="A717" s="255">
        <f t="shared" si="46"/>
        <v>715</v>
      </c>
      <c r="B717" s="256">
        <v>45336</v>
      </c>
      <c r="C717" s="257">
        <v>75.28002699999999</v>
      </c>
      <c r="D717" s="258">
        <v>89.189500892925906</v>
      </c>
      <c r="E717" s="257">
        <f t="shared" si="47"/>
        <v>75.28002699999999</v>
      </c>
      <c r="F717" s="263"/>
      <c r="G717" s="190" t="str">
        <f t="shared" si="48"/>
        <v/>
      </c>
      <c r="H717" s="259" t="str">
        <f t="shared" si="49"/>
        <v/>
      </c>
    </row>
    <row r="718" spans="1:8">
      <c r="A718" s="255">
        <f t="shared" si="46"/>
        <v>716</v>
      </c>
      <c r="B718" s="256">
        <v>45337</v>
      </c>
      <c r="C718" s="257">
        <v>40.478398999999996</v>
      </c>
      <c r="D718" s="258">
        <v>89.189500892925906</v>
      </c>
      <c r="E718" s="257">
        <f t="shared" si="47"/>
        <v>40.478398999999996</v>
      </c>
      <c r="F718" s="263"/>
      <c r="G718" s="190" t="str">
        <f t="shared" si="48"/>
        <v>F</v>
      </c>
      <c r="H718" s="259" t="str">
        <f t="shared" si="49"/>
        <v>89,2</v>
      </c>
    </row>
    <row r="719" spans="1:8">
      <c r="A719" s="255">
        <f t="shared" si="46"/>
        <v>717</v>
      </c>
      <c r="B719" s="256">
        <v>45338</v>
      </c>
      <c r="C719" s="257">
        <v>91.219223999999997</v>
      </c>
      <c r="D719" s="258">
        <v>89.189500892925906</v>
      </c>
      <c r="E719" s="257">
        <f t="shared" si="47"/>
        <v>89.189500892925906</v>
      </c>
      <c r="F719" s="263"/>
      <c r="G719" s="190" t="str">
        <f t="shared" si="48"/>
        <v/>
      </c>
      <c r="H719" s="259" t="str">
        <f t="shared" si="49"/>
        <v/>
      </c>
    </row>
    <row r="720" spans="1:8">
      <c r="A720" s="255">
        <f t="shared" si="46"/>
        <v>718</v>
      </c>
      <c r="B720" s="256">
        <v>45339</v>
      </c>
      <c r="C720" s="257">
        <v>125.13515600000001</v>
      </c>
      <c r="D720" s="258">
        <v>89.189500892925906</v>
      </c>
      <c r="E720" s="257">
        <f t="shared" si="47"/>
        <v>89.189500892925906</v>
      </c>
      <c r="F720" s="263"/>
      <c r="G720" s="190" t="str">
        <f t="shared" si="48"/>
        <v/>
      </c>
      <c r="H720" s="259" t="str">
        <f t="shared" si="49"/>
        <v/>
      </c>
    </row>
    <row r="721" spans="1:8">
      <c r="A721" s="255">
        <f t="shared" si="46"/>
        <v>719</v>
      </c>
      <c r="B721" s="256">
        <v>45340</v>
      </c>
      <c r="C721" s="257">
        <v>115.84409599999999</v>
      </c>
      <c r="D721" s="258">
        <v>89.189500892925906</v>
      </c>
      <c r="E721" s="257">
        <f t="shared" si="47"/>
        <v>89.189500892925906</v>
      </c>
      <c r="F721" s="263"/>
      <c r="G721" s="190" t="str">
        <f t="shared" si="48"/>
        <v/>
      </c>
      <c r="H721" s="259" t="str">
        <f t="shared" si="49"/>
        <v/>
      </c>
    </row>
    <row r="722" spans="1:8">
      <c r="A722" s="255">
        <f t="shared" si="46"/>
        <v>720</v>
      </c>
      <c r="B722" s="256">
        <v>45341</v>
      </c>
      <c r="C722" s="257">
        <v>123.52284399999999</v>
      </c>
      <c r="D722" s="258">
        <v>89.189500892925906</v>
      </c>
      <c r="E722" s="257">
        <f t="shared" si="47"/>
        <v>89.189500892925906</v>
      </c>
      <c r="F722" s="263"/>
      <c r="G722" s="190" t="str">
        <f t="shared" si="48"/>
        <v/>
      </c>
      <c r="H722" s="259" t="str">
        <f t="shared" si="49"/>
        <v/>
      </c>
    </row>
    <row r="723" spans="1:8">
      <c r="A723" s="255">
        <f t="shared" si="46"/>
        <v>721</v>
      </c>
      <c r="B723" s="256">
        <v>45342</v>
      </c>
      <c r="C723" s="257">
        <v>123.80621099999999</v>
      </c>
      <c r="D723" s="258">
        <v>89.189500892925906</v>
      </c>
      <c r="E723" s="257">
        <f t="shared" si="47"/>
        <v>89.189500892925906</v>
      </c>
      <c r="F723" s="263"/>
      <c r="G723" s="190" t="str">
        <f t="shared" si="48"/>
        <v/>
      </c>
      <c r="H723" s="259" t="str">
        <f t="shared" si="49"/>
        <v/>
      </c>
    </row>
    <row r="724" spans="1:8">
      <c r="A724" s="255">
        <f t="shared" si="46"/>
        <v>722</v>
      </c>
      <c r="B724" s="256">
        <v>45343</v>
      </c>
      <c r="C724" s="257">
        <v>103.80363199999999</v>
      </c>
      <c r="D724" s="258">
        <v>89.189500892925906</v>
      </c>
      <c r="E724" s="257">
        <f t="shared" si="47"/>
        <v>89.189500892925906</v>
      </c>
      <c r="F724" s="263"/>
      <c r="G724" s="190" t="str">
        <f t="shared" si="48"/>
        <v/>
      </c>
      <c r="H724" s="259" t="str">
        <f t="shared" si="49"/>
        <v/>
      </c>
    </row>
    <row r="725" spans="1:8">
      <c r="A725" s="255">
        <f t="shared" si="46"/>
        <v>723</v>
      </c>
      <c r="B725" s="256">
        <v>45344</v>
      </c>
      <c r="C725" s="257">
        <v>70.574541000000011</v>
      </c>
      <c r="D725" s="258">
        <v>89.189500892925906</v>
      </c>
      <c r="E725" s="257">
        <f t="shared" si="47"/>
        <v>70.574541000000011</v>
      </c>
      <c r="F725" s="263"/>
      <c r="G725" s="190" t="str">
        <f t="shared" si="48"/>
        <v/>
      </c>
      <c r="H725" s="259" t="str">
        <f t="shared" si="49"/>
        <v/>
      </c>
    </row>
    <row r="726" spans="1:8">
      <c r="A726" s="255">
        <f t="shared" si="46"/>
        <v>724</v>
      </c>
      <c r="B726" s="256">
        <v>45345</v>
      </c>
      <c r="C726" s="257">
        <v>97.135263999999992</v>
      </c>
      <c r="D726" s="258">
        <v>89.189500892925906</v>
      </c>
      <c r="E726" s="257">
        <f t="shared" si="47"/>
        <v>89.189500892925906</v>
      </c>
      <c r="F726" s="263"/>
      <c r="G726" s="190" t="str">
        <f t="shared" si="48"/>
        <v/>
      </c>
      <c r="H726" s="259" t="str">
        <f t="shared" si="49"/>
        <v/>
      </c>
    </row>
    <row r="727" spans="1:8">
      <c r="A727" s="255">
        <f t="shared" si="46"/>
        <v>725</v>
      </c>
      <c r="B727" s="256">
        <v>45346</v>
      </c>
      <c r="C727" s="257">
        <v>96.760535000000004</v>
      </c>
      <c r="D727" s="258">
        <v>89.189500892925906</v>
      </c>
      <c r="E727" s="257">
        <f t="shared" si="47"/>
        <v>89.189500892925906</v>
      </c>
      <c r="F727" s="263"/>
      <c r="G727" s="190" t="str">
        <f t="shared" si="48"/>
        <v/>
      </c>
      <c r="H727" s="259" t="str">
        <f t="shared" si="49"/>
        <v/>
      </c>
    </row>
    <row r="728" spans="1:8">
      <c r="A728" s="255">
        <f t="shared" si="46"/>
        <v>726</v>
      </c>
      <c r="B728" s="256">
        <v>45347</v>
      </c>
      <c r="C728" s="257">
        <v>51.063001999999997</v>
      </c>
      <c r="D728" s="258">
        <v>89.189500892925906</v>
      </c>
      <c r="E728" s="257">
        <f t="shared" si="47"/>
        <v>51.063001999999997</v>
      </c>
      <c r="F728" s="263"/>
      <c r="G728" s="190" t="str">
        <f t="shared" si="48"/>
        <v/>
      </c>
      <c r="H728" s="259" t="str">
        <f t="shared" si="49"/>
        <v/>
      </c>
    </row>
    <row r="729" spans="1:8">
      <c r="A729" s="255">
        <f t="shared" si="46"/>
        <v>727</v>
      </c>
      <c r="B729" s="256">
        <v>45348</v>
      </c>
      <c r="C729" s="257">
        <v>84.723232999999993</v>
      </c>
      <c r="D729" s="258">
        <v>89.189500892925906</v>
      </c>
      <c r="E729" s="257">
        <f t="shared" si="47"/>
        <v>84.723232999999993</v>
      </c>
      <c r="F729" s="263"/>
      <c r="G729" s="190" t="str">
        <f t="shared" si="48"/>
        <v/>
      </c>
      <c r="H729" s="259" t="str">
        <f t="shared" si="49"/>
        <v/>
      </c>
    </row>
    <row r="730" spans="1:8">
      <c r="A730" s="255">
        <f t="shared" si="46"/>
        <v>728</v>
      </c>
      <c r="B730" s="256">
        <v>45349</v>
      </c>
      <c r="C730" s="257">
        <v>101.48239100000001</v>
      </c>
      <c r="D730" s="258">
        <v>89.189500892925906</v>
      </c>
      <c r="E730" s="257">
        <f t="shared" si="47"/>
        <v>89.189500892925906</v>
      </c>
      <c r="F730" s="263"/>
      <c r="G730" s="190" t="str">
        <f t="shared" si="48"/>
        <v/>
      </c>
      <c r="H730" s="259" t="str">
        <f t="shared" si="49"/>
        <v/>
      </c>
    </row>
    <row r="731" spans="1:8">
      <c r="A731" s="255">
        <f t="shared" si="46"/>
        <v>729</v>
      </c>
      <c r="B731" s="256">
        <v>45350</v>
      </c>
      <c r="C731" s="257">
        <v>126.08028599999999</v>
      </c>
      <c r="D731" s="258">
        <v>89.189500892925906</v>
      </c>
      <c r="E731" s="257">
        <f t="shared" si="47"/>
        <v>89.189500892925906</v>
      </c>
      <c r="F731" s="263"/>
      <c r="G731" s="190" t="str">
        <f t="shared" si="48"/>
        <v/>
      </c>
      <c r="H731" s="259" t="str">
        <f t="shared" si="49"/>
        <v/>
      </c>
    </row>
    <row r="732" spans="1:8">
      <c r="A732" s="255">
        <f t="shared" si="46"/>
        <v>730</v>
      </c>
      <c r="B732" s="256">
        <v>45351</v>
      </c>
      <c r="C732" s="257">
        <v>118.61503500000001</v>
      </c>
      <c r="D732" s="258">
        <v>89.189500892925906</v>
      </c>
      <c r="E732" s="257">
        <f t="shared" si="47"/>
        <v>89.189500892925906</v>
      </c>
      <c r="F732" s="260"/>
      <c r="G732" s="190" t="str">
        <f t="shared" si="48"/>
        <v/>
      </c>
      <c r="H732" s="259" t="str">
        <f t="shared" si="49"/>
        <v/>
      </c>
    </row>
    <row r="733" spans="1:8">
      <c r="A733" s="255">
        <f t="shared" si="46"/>
        <v>731</v>
      </c>
      <c r="B733" s="256">
        <v>45352</v>
      </c>
      <c r="C733" s="257">
        <v>121.60061599999999</v>
      </c>
      <c r="D733" s="258">
        <v>112.44239310485463</v>
      </c>
      <c r="E733" s="257">
        <f t="shared" si="47"/>
        <v>112.44239310485463</v>
      </c>
      <c r="F733" s="263"/>
      <c r="G733" s="190" t="str">
        <f t="shared" si="48"/>
        <v/>
      </c>
      <c r="H733" s="259" t="str">
        <f t="shared" si="49"/>
        <v/>
      </c>
    </row>
    <row r="734" spans="1:8">
      <c r="A734" s="255">
        <f t="shared" si="46"/>
        <v>732</v>
      </c>
      <c r="B734" s="256">
        <v>45353</v>
      </c>
      <c r="C734" s="257">
        <v>55.331459000000002</v>
      </c>
      <c r="D734" s="258">
        <v>112.44239310485463</v>
      </c>
      <c r="E734" s="257">
        <f t="shared" si="47"/>
        <v>55.331459000000002</v>
      </c>
      <c r="F734" s="263"/>
      <c r="G734" s="190" t="str">
        <f t="shared" si="48"/>
        <v/>
      </c>
      <c r="H734" s="259" t="str">
        <f t="shared" si="49"/>
        <v/>
      </c>
    </row>
    <row r="735" spans="1:8">
      <c r="A735" s="255">
        <f t="shared" si="46"/>
        <v>733</v>
      </c>
      <c r="B735" s="256">
        <v>45354</v>
      </c>
      <c r="C735" s="257">
        <v>96.291117999999997</v>
      </c>
      <c r="D735" s="258">
        <v>112.44239310485463</v>
      </c>
      <c r="E735" s="257">
        <f t="shared" si="47"/>
        <v>96.291117999999997</v>
      </c>
      <c r="F735" s="263"/>
      <c r="G735" s="190" t="str">
        <f t="shared" si="48"/>
        <v/>
      </c>
      <c r="H735" s="259" t="str">
        <f t="shared" si="49"/>
        <v/>
      </c>
    </row>
    <row r="736" spans="1:8">
      <c r="A736" s="255">
        <f t="shared" si="46"/>
        <v>734</v>
      </c>
      <c r="B736" s="256">
        <v>45355</v>
      </c>
      <c r="C736" s="257">
        <v>72.200810000000004</v>
      </c>
      <c r="D736" s="258">
        <v>112.44239310485463</v>
      </c>
      <c r="E736" s="257">
        <f t="shared" si="47"/>
        <v>72.200810000000004</v>
      </c>
      <c r="F736" s="263"/>
      <c r="G736" s="190" t="str">
        <f t="shared" si="48"/>
        <v/>
      </c>
      <c r="H736" s="259" t="str">
        <f t="shared" si="49"/>
        <v/>
      </c>
    </row>
    <row r="737" spans="1:8">
      <c r="A737" s="255">
        <f t="shared" si="46"/>
        <v>735</v>
      </c>
      <c r="B737" s="256">
        <v>45356</v>
      </c>
      <c r="C737" s="257">
        <v>141.17894699999999</v>
      </c>
      <c r="D737" s="258">
        <v>112.44239310485463</v>
      </c>
      <c r="E737" s="257">
        <f t="shared" si="47"/>
        <v>112.44239310485463</v>
      </c>
      <c r="F737" s="263"/>
      <c r="G737" s="190" t="str">
        <f t="shared" si="48"/>
        <v/>
      </c>
      <c r="H737" s="259" t="str">
        <f t="shared" si="49"/>
        <v/>
      </c>
    </row>
    <row r="738" spans="1:8">
      <c r="A738" s="255">
        <f t="shared" si="46"/>
        <v>736</v>
      </c>
      <c r="B738" s="256">
        <v>45357</v>
      </c>
      <c r="C738" s="257">
        <v>139.45210699999998</v>
      </c>
      <c r="D738" s="258">
        <v>112.44239310485463</v>
      </c>
      <c r="E738" s="257">
        <f t="shared" si="47"/>
        <v>112.44239310485463</v>
      </c>
      <c r="F738" s="263"/>
      <c r="G738" s="190" t="str">
        <f t="shared" si="48"/>
        <v/>
      </c>
      <c r="H738" s="259" t="str">
        <f t="shared" si="49"/>
        <v/>
      </c>
    </row>
    <row r="739" spans="1:8">
      <c r="A739" s="255">
        <f t="shared" si="46"/>
        <v>737</v>
      </c>
      <c r="B739" s="256">
        <v>45358</v>
      </c>
      <c r="C739" s="257">
        <v>71.912965</v>
      </c>
      <c r="D739" s="258">
        <v>112.44239310485463</v>
      </c>
      <c r="E739" s="257">
        <f t="shared" si="47"/>
        <v>71.912965</v>
      </c>
      <c r="F739" s="263"/>
      <c r="G739" s="190" t="str">
        <f t="shared" si="48"/>
        <v/>
      </c>
      <c r="H739" s="259" t="str">
        <f t="shared" si="49"/>
        <v/>
      </c>
    </row>
    <row r="740" spans="1:8">
      <c r="A740" s="255">
        <f t="shared" si="46"/>
        <v>738</v>
      </c>
      <c r="B740" s="256">
        <v>45359</v>
      </c>
      <c r="C740" s="257">
        <v>82.087441999999996</v>
      </c>
      <c r="D740" s="258">
        <v>112.44239310485463</v>
      </c>
      <c r="E740" s="257">
        <f t="shared" si="47"/>
        <v>82.087441999999996</v>
      </c>
      <c r="F740" s="263"/>
      <c r="G740" s="190" t="str">
        <f t="shared" si="48"/>
        <v/>
      </c>
      <c r="H740" s="259" t="str">
        <f t="shared" si="49"/>
        <v/>
      </c>
    </row>
    <row r="741" spans="1:8">
      <c r="A741" s="255">
        <f t="shared" si="46"/>
        <v>739</v>
      </c>
      <c r="B741" s="256">
        <v>45360</v>
      </c>
      <c r="C741" s="257">
        <v>47.678432000000001</v>
      </c>
      <c r="D741" s="258">
        <v>112.44239310485463</v>
      </c>
      <c r="E741" s="257">
        <f t="shared" si="47"/>
        <v>47.678432000000001</v>
      </c>
      <c r="F741" s="263"/>
      <c r="G741" s="190" t="str">
        <f t="shared" si="48"/>
        <v/>
      </c>
      <c r="H741" s="259" t="str">
        <f t="shared" si="49"/>
        <v/>
      </c>
    </row>
    <row r="742" spans="1:8">
      <c r="A742" s="255">
        <f t="shared" si="46"/>
        <v>740</v>
      </c>
      <c r="B742" s="256">
        <v>45361</v>
      </c>
      <c r="C742" s="257">
        <v>72.397199999999998</v>
      </c>
      <c r="D742" s="258">
        <v>112.44239310485463</v>
      </c>
      <c r="E742" s="257">
        <f t="shared" si="47"/>
        <v>72.397199999999998</v>
      </c>
      <c r="F742" s="263"/>
      <c r="G742" s="190" t="str">
        <f t="shared" si="48"/>
        <v/>
      </c>
      <c r="H742" s="259" t="str">
        <f t="shared" si="49"/>
        <v/>
      </c>
    </row>
    <row r="743" spans="1:8">
      <c r="A743" s="255">
        <f t="shared" si="46"/>
        <v>741</v>
      </c>
      <c r="B743" s="256">
        <v>45362</v>
      </c>
      <c r="C743" s="257">
        <v>119.78096499999999</v>
      </c>
      <c r="D743" s="258">
        <v>112.44239310485463</v>
      </c>
      <c r="E743" s="257">
        <f t="shared" si="47"/>
        <v>112.44239310485463</v>
      </c>
      <c r="F743" s="263"/>
      <c r="G743" s="190" t="str">
        <f t="shared" si="48"/>
        <v/>
      </c>
      <c r="H743" s="259" t="str">
        <f t="shared" si="49"/>
        <v/>
      </c>
    </row>
    <row r="744" spans="1:8">
      <c r="A744" s="255">
        <f t="shared" si="46"/>
        <v>742</v>
      </c>
      <c r="B744" s="256">
        <v>45363</v>
      </c>
      <c r="C744" s="257">
        <v>147.561531</v>
      </c>
      <c r="D744" s="258">
        <v>112.44239310485463</v>
      </c>
      <c r="E744" s="257">
        <f t="shared" si="47"/>
        <v>112.44239310485463</v>
      </c>
      <c r="F744" s="263"/>
      <c r="G744" s="190" t="str">
        <f t="shared" si="48"/>
        <v/>
      </c>
      <c r="H744" s="259" t="str">
        <f t="shared" si="49"/>
        <v/>
      </c>
    </row>
    <row r="745" spans="1:8">
      <c r="A745" s="255">
        <f t="shared" si="46"/>
        <v>743</v>
      </c>
      <c r="B745" s="256">
        <v>45364</v>
      </c>
      <c r="C745" s="257">
        <v>141.632531</v>
      </c>
      <c r="D745" s="258">
        <v>112.44239310485463</v>
      </c>
      <c r="E745" s="257">
        <f t="shared" si="47"/>
        <v>112.44239310485463</v>
      </c>
      <c r="F745" s="263"/>
      <c r="G745" s="190" t="str">
        <f t="shared" si="48"/>
        <v/>
      </c>
      <c r="H745" s="259" t="str">
        <f t="shared" si="49"/>
        <v/>
      </c>
    </row>
    <row r="746" spans="1:8">
      <c r="A746" s="255">
        <f t="shared" si="46"/>
        <v>744</v>
      </c>
      <c r="B746" s="256">
        <v>45365</v>
      </c>
      <c r="C746" s="257">
        <v>115.56585199999999</v>
      </c>
      <c r="D746" s="258">
        <v>112.44239310485463</v>
      </c>
      <c r="E746" s="257">
        <f t="shared" si="47"/>
        <v>112.44239310485463</v>
      </c>
      <c r="F746" s="263"/>
      <c r="G746" s="190" t="str">
        <f t="shared" ref="G746:G760" si="50">IF(DAY(B746)=15,IF(MONTH(B746)=1,"E",IF(MONTH(B746)=2,"F",IF(MONTH(B746)=3,"M",IF(MONTH(B746)=4,"A",IF(MONTH(B746)=5,"M",IF(MONTH(B746)=6,"J",IF(MONTH(B746)=7,"J",IF(MONTH(B746)=8,"A",IF(MONTH(B746)=9,"S",IF(MONTH(B746)=10,"O",IF(MONTH(B746)=11,"N",IF(MONTH(B746)=12,"D","")))))))))))),"")</f>
        <v/>
      </c>
      <c r="H746" s="259" t="str">
        <f t="shared" ref="H746:H760" si="51">IF(DAY($B746)=15,TEXT(D746,"#,0"),"")</f>
        <v/>
      </c>
    </row>
    <row r="747" spans="1:8">
      <c r="A747" s="255">
        <f t="shared" si="46"/>
        <v>745</v>
      </c>
      <c r="B747" s="256">
        <v>45366</v>
      </c>
      <c r="C747" s="257">
        <v>121.07140099999999</v>
      </c>
      <c r="D747" s="258">
        <v>112.44239310485463</v>
      </c>
      <c r="E747" s="257">
        <f t="shared" si="47"/>
        <v>112.44239310485463</v>
      </c>
      <c r="F747" s="263"/>
      <c r="G747" s="190" t="str">
        <f t="shared" si="50"/>
        <v>M</v>
      </c>
      <c r="H747" s="259" t="str">
        <f t="shared" si="51"/>
        <v>112,4</v>
      </c>
    </row>
    <row r="748" spans="1:8">
      <c r="A748" s="255">
        <f t="shared" si="46"/>
        <v>746</v>
      </c>
      <c r="B748" s="256">
        <v>45367</v>
      </c>
      <c r="C748" s="257">
        <v>130.38302899999999</v>
      </c>
      <c r="D748" s="258">
        <v>112.44239310485463</v>
      </c>
      <c r="E748" s="257">
        <f t="shared" si="47"/>
        <v>112.44239310485463</v>
      </c>
      <c r="F748" s="263"/>
      <c r="G748" s="190" t="str">
        <f t="shared" si="50"/>
        <v/>
      </c>
      <c r="H748" s="259" t="str">
        <f t="shared" si="51"/>
        <v/>
      </c>
    </row>
    <row r="749" spans="1:8">
      <c r="A749" s="255">
        <f t="shared" si="46"/>
        <v>747</v>
      </c>
      <c r="B749" s="256">
        <v>45368</v>
      </c>
      <c r="C749" s="257">
        <v>123.592359</v>
      </c>
      <c r="D749" s="258">
        <v>112.44239310485463</v>
      </c>
      <c r="E749" s="257">
        <f t="shared" si="47"/>
        <v>112.44239310485463</v>
      </c>
      <c r="F749" s="263"/>
      <c r="G749" s="190" t="str">
        <f t="shared" si="50"/>
        <v/>
      </c>
      <c r="H749" s="259" t="str">
        <f t="shared" si="51"/>
        <v/>
      </c>
    </row>
    <row r="750" spans="1:8">
      <c r="A750" s="255">
        <f t="shared" si="46"/>
        <v>748</v>
      </c>
      <c r="B750" s="256">
        <v>45369</v>
      </c>
      <c r="C750" s="257">
        <v>104.670186</v>
      </c>
      <c r="D750" s="258">
        <v>112.44239310485463</v>
      </c>
      <c r="E750" s="257">
        <f t="shared" si="47"/>
        <v>104.670186</v>
      </c>
      <c r="F750" s="263"/>
      <c r="G750" s="190" t="str">
        <f t="shared" si="50"/>
        <v/>
      </c>
      <c r="H750" s="259" t="str">
        <f t="shared" si="51"/>
        <v/>
      </c>
    </row>
    <row r="751" spans="1:8">
      <c r="A751" s="255">
        <f t="shared" si="46"/>
        <v>749</v>
      </c>
      <c r="B751" s="256">
        <v>45370</v>
      </c>
      <c r="C751" s="257">
        <v>122.66727899999999</v>
      </c>
      <c r="D751" s="258">
        <v>112.44239310485463</v>
      </c>
      <c r="E751" s="257">
        <f t="shared" si="47"/>
        <v>112.44239310485463</v>
      </c>
      <c r="F751" s="263"/>
      <c r="G751" s="190" t="str">
        <f t="shared" si="50"/>
        <v/>
      </c>
      <c r="H751" s="259" t="str">
        <f t="shared" si="51"/>
        <v/>
      </c>
    </row>
    <row r="752" spans="1:8">
      <c r="A752" s="255">
        <f t="shared" si="46"/>
        <v>750</v>
      </c>
      <c r="B752" s="256">
        <v>45371</v>
      </c>
      <c r="C752" s="257">
        <v>106.079413</v>
      </c>
      <c r="D752" s="258">
        <v>112.44239310485463</v>
      </c>
      <c r="E752" s="257">
        <f t="shared" si="47"/>
        <v>106.079413</v>
      </c>
      <c r="F752" s="263"/>
      <c r="G752" s="190" t="str">
        <f t="shared" si="50"/>
        <v/>
      </c>
      <c r="H752" s="259" t="str">
        <f t="shared" si="51"/>
        <v/>
      </c>
    </row>
    <row r="753" spans="1:8">
      <c r="A753" s="255">
        <f t="shared" si="46"/>
        <v>751</v>
      </c>
      <c r="B753" s="256">
        <v>45372</v>
      </c>
      <c r="C753" s="257">
        <v>97.996581999999989</v>
      </c>
      <c r="D753" s="258">
        <v>112.44239310485463</v>
      </c>
      <c r="E753" s="257">
        <f t="shared" si="47"/>
        <v>97.996581999999989</v>
      </c>
      <c r="F753" s="263"/>
      <c r="G753" s="190" t="str">
        <f t="shared" si="50"/>
        <v/>
      </c>
      <c r="H753" s="259" t="str">
        <f t="shared" si="51"/>
        <v/>
      </c>
    </row>
    <row r="754" spans="1:8">
      <c r="A754" s="255">
        <f t="shared" si="46"/>
        <v>752</v>
      </c>
      <c r="B754" s="256">
        <v>45373</v>
      </c>
      <c r="C754" s="257">
        <v>109.81231600000001</v>
      </c>
      <c r="D754" s="258">
        <v>112.44239310485463</v>
      </c>
      <c r="E754" s="257">
        <f t="shared" si="47"/>
        <v>109.81231600000001</v>
      </c>
      <c r="F754" s="263"/>
      <c r="G754" s="190" t="str">
        <f t="shared" si="50"/>
        <v/>
      </c>
      <c r="H754" s="259" t="str">
        <f t="shared" si="51"/>
        <v/>
      </c>
    </row>
    <row r="755" spans="1:8">
      <c r="A755" s="255">
        <f t="shared" si="46"/>
        <v>753</v>
      </c>
      <c r="B755" s="256">
        <v>45374</v>
      </c>
      <c r="C755" s="257">
        <v>85.931160999999989</v>
      </c>
      <c r="D755" s="258">
        <v>112.44239310485463</v>
      </c>
      <c r="E755" s="257">
        <f t="shared" si="47"/>
        <v>85.931160999999989</v>
      </c>
      <c r="F755" s="263"/>
      <c r="G755" s="190" t="str">
        <f t="shared" si="50"/>
        <v/>
      </c>
      <c r="H755" s="259" t="str">
        <f t="shared" si="51"/>
        <v/>
      </c>
    </row>
    <row r="756" spans="1:8">
      <c r="A756" s="255">
        <f t="shared" si="46"/>
        <v>754</v>
      </c>
      <c r="B756" s="256">
        <v>45375</v>
      </c>
      <c r="C756" s="257">
        <v>69.925910000000002</v>
      </c>
      <c r="D756" s="258">
        <v>112.44239310485463</v>
      </c>
      <c r="E756" s="257">
        <f t="shared" si="47"/>
        <v>69.925910000000002</v>
      </c>
      <c r="F756" s="263"/>
      <c r="G756" s="190" t="str">
        <f t="shared" si="50"/>
        <v/>
      </c>
      <c r="H756" s="259" t="str">
        <f t="shared" si="51"/>
        <v/>
      </c>
    </row>
    <row r="757" spans="1:8">
      <c r="A757" s="255">
        <f t="shared" si="46"/>
        <v>755</v>
      </c>
      <c r="B757" s="256">
        <v>45376</v>
      </c>
      <c r="C757" s="257">
        <v>51.232773999999999</v>
      </c>
      <c r="D757" s="258">
        <v>112.44239310485463</v>
      </c>
      <c r="E757" s="257">
        <f t="shared" si="47"/>
        <v>51.232773999999999</v>
      </c>
      <c r="F757" s="263"/>
      <c r="G757" s="190" t="str">
        <f t="shared" si="50"/>
        <v/>
      </c>
      <c r="H757" s="259" t="str">
        <f t="shared" si="51"/>
        <v/>
      </c>
    </row>
    <row r="758" spans="1:8">
      <c r="A758" s="255">
        <f t="shared" si="46"/>
        <v>756</v>
      </c>
      <c r="B758" s="256">
        <v>45377</v>
      </c>
      <c r="C758" s="257">
        <v>94.592787000000001</v>
      </c>
      <c r="D758" s="258">
        <v>112.44239310485463</v>
      </c>
      <c r="E758" s="257">
        <f t="shared" si="47"/>
        <v>94.592787000000001</v>
      </c>
      <c r="F758" s="263"/>
      <c r="G758" s="190" t="str">
        <f t="shared" si="50"/>
        <v/>
      </c>
      <c r="H758" s="259" t="str">
        <f t="shared" si="51"/>
        <v/>
      </c>
    </row>
    <row r="759" spans="1:8">
      <c r="A759" s="255">
        <f t="shared" si="46"/>
        <v>757</v>
      </c>
      <c r="B759" s="256">
        <v>45378</v>
      </c>
      <c r="C759" s="257">
        <v>70.600798999999995</v>
      </c>
      <c r="D759" s="258">
        <v>112.44239310485463</v>
      </c>
      <c r="E759" s="257">
        <f t="shared" si="47"/>
        <v>70.600798999999995</v>
      </c>
      <c r="F759" s="263"/>
      <c r="G759" s="190" t="str">
        <f t="shared" si="50"/>
        <v/>
      </c>
      <c r="H759" s="259" t="str">
        <f t="shared" si="51"/>
        <v/>
      </c>
    </row>
    <row r="760" spans="1:8">
      <c r="A760" s="255">
        <f t="shared" si="46"/>
        <v>758</v>
      </c>
      <c r="B760" s="256">
        <v>45379</v>
      </c>
      <c r="C760" s="257">
        <v>72.165244999999999</v>
      </c>
      <c r="D760" s="258">
        <v>112.44239310485463</v>
      </c>
      <c r="E760" s="257">
        <f t="shared" si="47"/>
        <v>72.165244999999999</v>
      </c>
      <c r="F760" s="263"/>
      <c r="G760" s="190" t="str">
        <f t="shared" si="50"/>
        <v/>
      </c>
      <c r="H760" s="259" t="str">
        <f t="shared" si="51"/>
        <v/>
      </c>
    </row>
    <row r="761" spans="1:8">
      <c r="A761" s="255">
        <f t="shared" si="46"/>
        <v>759</v>
      </c>
      <c r="B761" s="256">
        <v>45380</v>
      </c>
      <c r="C761" s="257">
        <v>69.475298999999993</v>
      </c>
      <c r="D761" s="258">
        <v>112.44239310485463</v>
      </c>
      <c r="E761" s="257">
        <f t="shared" ref="E761:E763" si="52">IF(C761&gt;D761,D761,C761)</f>
        <v>69.475298999999993</v>
      </c>
      <c r="F761" s="263"/>
      <c r="G761" s="190"/>
      <c r="H761" s="259"/>
    </row>
    <row r="762" spans="1:8">
      <c r="A762" s="255">
        <f t="shared" si="46"/>
        <v>760</v>
      </c>
      <c r="B762" s="256">
        <v>45381</v>
      </c>
      <c r="C762" s="257">
        <v>72.760616999999996</v>
      </c>
      <c r="D762" s="258">
        <v>112.44239310485463</v>
      </c>
      <c r="E762" s="257">
        <f t="shared" si="52"/>
        <v>72.760616999999996</v>
      </c>
      <c r="F762" s="263"/>
      <c r="G762" s="190"/>
      <c r="H762" s="259"/>
    </row>
    <row r="763" spans="1:8">
      <c r="A763" s="255">
        <f t="shared" si="46"/>
        <v>761</v>
      </c>
      <c r="B763" s="256">
        <v>45382</v>
      </c>
      <c r="C763" s="257">
        <v>56.133758999999998</v>
      </c>
      <c r="D763" s="258">
        <v>112.44239310485463</v>
      </c>
      <c r="E763" s="257">
        <f t="shared" si="52"/>
        <v>56.133758999999998</v>
      </c>
    </row>
    <row r="764" spans="1:8">
      <c r="B764" s="256"/>
    </row>
    <row r="765" spans="1:8">
      <c r="B765" s="256"/>
    </row>
    <row r="766" spans="1:8">
      <c r="B766" s="256"/>
    </row>
    <row r="767" spans="1:8">
      <c r="B767" s="256"/>
    </row>
    <row r="768" spans="1:8">
      <c r="B768" s="256"/>
    </row>
    <row r="769" spans="2:2">
      <c r="B769" s="256"/>
    </row>
    <row r="770" spans="2:2">
      <c r="B770" s="256"/>
    </row>
    <row r="771" spans="2:2">
      <c r="B771" s="256"/>
    </row>
    <row r="772" spans="2:2">
      <c r="B772" s="256"/>
    </row>
    <row r="773" spans="2:2">
      <c r="B773" s="256"/>
    </row>
    <row r="774" spans="2:2">
      <c r="B774" s="256"/>
    </row>
    <row r="775" spans="2:2">
      <c r="B775" s="256"/>
    </row>
    <row r="776" spans="2:2">
      <c r="B776" s="256"/>
    </row>
    <row r="777" spans="2:2">
      <c r="B777" s="256"/>
    </row>
    <row r="778" spans="2:2">
      <c r="B778" s="256"/>
    </row>
    <row r="779" spans="2:2">
      <c r="B779" s="256"/>
    </row>
    <row r="780" spans="2:2">
      <c r="B780" s="256"/>
    </row>
    <row r="781" spans="2:2">
      <c r="B781" s="256"/>
    </row>
    <row r="782" spans="2:2">
      <c r="B782" s="256"/>
    </row>
    <row r="783" spans="2:2">
      <c r="B783" s="256"/>
    </row>
    <row r="784" spans="2:2">
      <c r="B784" s="256"/>
    </row>
    <row r="785" spans="2:2">
      <c r="B785" s="256"/>
    </row>
    <row r="786" spans="2:2">
      <c r="B786" s="256"/>
    </row>
    <row r="787" spans="2:2">
      <c r="B787" s="256"/>
    </row>
    <row r="788" spans="2:2">
      <c r="B788" s="256"/>
    </row>
    <row r="789" spans="2:2">
      <c r="B789" s="256"/>
    </row>
    <row r="790" spans="2:2">
      <c r="B790" s="256"/>
    </row>
    <row r="791" spans="2:2">
      <c r="B791" s="256"/>
    </row>
    <row r="792" spans="2:2">
      <c r="B792" s="256"/>
    </row>
    <row r="793" spans="2:2">
      <c r="B793" s="256"/>
    </row>
    <row r="794" spans="2:2">
      <c r="B794" s="256"/>
    </row>
    <row r="795" spans="2:2">
      <c r="B795" s="256"/>
    </row>
    <row r="796" spans="2:2">
      <c r="B796" s="256"/>
    </row>
    <row r="797" spans="2:2">
      <c r="B797" s="256"/>
    </row>
    <row r="798" spans="2:2">
      <c r="B798" s="256"/>
    </row>
    <row r="799" spans="2:2">
      <c r="B799" s="256"/>
    </row>
    <row r="800" spans="2:2">
      <c r="B800" s="256"/>
    </row>
    <row r="801" spans="2:2">
      <c r="B801" s="256"/>
    </row>
    <row r="802" spans="2:2">
      <c r="B802" s="256"/>
    </row>
    <row r="803" spans="2:2">
      <c r="B803" s="256"/>
    </row>
    <row r="804" spans="2:2">
      <c r="B804" s="256"/>
    </row>
    <row r="805" spans="2:2">
      <c r="B805" s="256"/>
    </row>
    <row r="806" spans="2:2">
      <c r="B806" s="25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>
    <pageSetUpPr autoPageBreaks="0"/>
  </sheetPr>
  <dimension ref="A1:S50"/>
  <sheetViews>
    <sheetView showGridLines="0" showRowColHeaders="0" workbookViewId="0">
      <selection activeCell="B2" sqref="B2"/>
    </sheetView>
  </sheetViews>
  <sheetFormatPr baseColWidth="10" defaultRowHeight="12.75"/>
  <cols>
    <col min="1" max="1" width="0.42578125" style="5" customWidth="1"/>
    <col min="2" max="2" width="2.5703125" style="5" customWidth="1"/>
    <col min="3" max="3" width="23.5703125" style="5" customWidth="1"/>
    <col min="4" max="4" width="1.42578125" style="5" customWidth="1"/>
    <col min="5" max="5" width="27.5703125" style="17" customWidth="1"/>
    <col min="6" max="6" width="10.5703125" style="22" customWidth="1"/>
    <col min="7" max="7" width="10.5703125" style="17" customWidth="1"/>
    <col min="8" max="8" width="10.5703125" style="22" customWidth="1"/>
    <col min="9" max="9" width="10.5703125" style="17" customWidth="1"/>
    <col min="10" max="10" width="10.5703125" style="22" customWidth="1"/>
    <col min="11" max="11" width="10.5703125" style="17" customWidth="1"/>
    <col min="12" max="13" width="11.42578125" style="17"/>
    <col min="14" max="17" width="11.5703125" style="17" bestFit="1" customWidth="1"/>
    <col min="18" max="18" width="12.42578125" style="17" bestFit="1" customWidth="1"/>
    <col min="19" max="19" width="11.5703125" style="17" bestFit="1" customWidth="1"/>
    <col min="20" max="246" width="11.42578125" style="17"/>
    <col min="247" max="247" width="0.42578125" style="17" customWidth="1"/>
    <col min="248" max="248" width="2.5703125" style="17" customWidth="1"/>
    <col min="249" max="249" width="15.42578125" style="17" customWidth="1"/>
    <col min="250" max="250" width="1.42578125" style="17" customWidth="1"/>
    <col min="251" max="251" width="27.5703125" style="17" customWidth="1"/>
    <col min="252" max="252" width="6.5703125" style="17" customWidth="1"/>
    <col min="253" max="253" width="1.5703125" style="17" customWidth="1"/>
    <col min="254" max="254" width="10.5703125" style="17" customWidth="1"/>
    <col min="255" max="255" width="5.5703125" style="17" customWidth="1"/>
    <col min="256" max="256" width="1.5703125" style="17" customWidth="1"/>
    <col min="257" max="257" width="10.5703125" style="17" customWidth="1"/>
    <col min="258" max="258" width="6.5703125" style="17" customWidth="1"/>
    <col min="259" max="259" width="1.5703125" style="17" customWidth="1"/>
    <col min="260" max="260" width="10.5703125" style="17" customWidth="1"/>
    <col min="261" max="261" width="9.5703125" style="17" customWidth="1"/>
    <col min="262" max="262" width="13.42578125" style="17" bestFit="1" customWidth="1"/>
    <col min="263" max="263" width="7.5703125" style="17" customWidth="1"/>
    <col min="264" max="264" width="11.42578125" style="17"/>
    <col min="265" max="265" width="13.42578125" style="17" bestFit="1" customWidth="1"/>
    <col min="266" max="502" width="11.42578125" style="17"/>
    <col min="503" max="503" width="0.42578125" style="17" customWidth="1"/>
    <col min="504" max="504" width="2.5703125" style="17" customWidth="1"/>
    <col min="505" max="505" width="15.42578125" style="17" customWidth="1"/>
    <col min="506" max="506" width="1.42578125" style="17" customWidth="1"/>
    <col min="507" max="507" width="27.5703125" style="17" customWidth="1"/>
    <col min="508" max="508" width="6.5703125" style="17" customWidth="1"/>
    <col min="509" max="509" width="1.5703125" style="17" customWidth="1"/>
    <col min="510" max="510" width="10.5703125" style="17" customWidth="1"/>
    <col min="511" max="511" width="5.5703125" style="17" customWidth="1"/>
    <col min="512" max="512" width="1.5703125" style="17" customWidth="1"/>
    <col min="513" max="513" width="10.5703125" style="17" customWidth="1"/>
    <col min="514" max="514" width="6.5703125" style="17" customWidth="1"/>
    <col min="515" max="515" width="1.5703125" style="17" customWidth="1"/>
    <col min="516" max="516" width="10.5703125" style="17" customWidth="1"/>
    <col min="517" max="517" width="9.5703125" style="17" customWidth="1"/>
    <col min="518" max="518" width="13.42578125" style="17" bestFit="1" customWidth="1"/>
    <col min="519" max="519" width="7.5703125" style="17" customWidth="1"/>
    <col min="520" max="520" width="11.42578125" style="17"/>
    <col min="521" max="521" width="13.42578125" style="17" bestFit="1" customWidth="1"/>
    <col min="522" max="758" width="11.42578125" style="17"/>
    <col min="759" max="759" width="0.42578125" style="17" customWidth="1"/>
    <col min="760" max="760" width="2.5703125" style="17" customWidth="1"/>
    <col min="761" max="761" width="15.42578125" style="17" customWidth="1"/>
    <col min="762" max="762" width="1.42578125" style="17" customWidth="1"/>
    <col min="763" max="763" width="27.5703125" style="17" customWidth="1"/>
    <col min="764" max="764" width="6.5703125" style="17" customWidth="1"/>
    <col min="765" max="765" width="1.5703125" style="17" customWidth="1"/>
    <col min="766" max="766" width="10.5703125" style="17" customWidth="1"/>
    <col min="767" max="767" width="5.5703125" style="17" customWidth="1"/>
    <col min="768" max="768" width="1.5703125" style="17" customWidth="1"/>
    <col min="769" max="769" width="10.5703125" style="17" customWidth="1"/>
    <col min="770" max="770" width="6.5703125" style="17" customWidth="1"/>
    <col min="771" max="771" width="1.5703125" style="17" customWidth="1"/>
    <col min="772" max="772" width="10.5703125" style="17" customWidth="1"/>
    <col min="773" max="773" width="9.5703125" style="17" customWidth="1"/>
    <col min="774" max="774" width="13.42578125" style="17" bestFit="1" customWidth="1"/>
    <col min="775" max="775" width="7.5703125" style="17" customWidth="1"/>
    <col min="776" max="776" width="11.42578125" style="17"/>
    <col min="777" max="777" width="13.42578125" style="17" bestFit="1" customWidth="1"/>
    <col min="778" max="1014" width="11.42578125" style="17"/>
    <col min="1015" max="1015" width="0.42578125" style="17" customWidth="1"/>
    <col min="1016" max="1016" width="2.5703125" style="17" customWidth="1"/>
    <col min="1017" max="1017" width="15.42578125" style="17" customWidth="1"/>
    <col min="1018" max="1018" width="1.42578125" style="17" customWidth="1"/>
    <col min="1019" max="1019" width="27.5703125" style="17" customWidth="1"/>
    <col min="1020" max="1020" width="6.5703125" style="17" customWidth="1"/>
    <col min="1021" max="1021" width="1.5703125" style="17" customWidth="1"/>
    <col min="1022" max="1022" width="10.5703125" style="17" customWidth="1"/>
    <col min="1023" max="1023" width="5.5703125" style="17" customWidth="1"/>
    <col min="1024" max="1024" width="1.5703125" style="17" customWidth="1"/>
    <col min="1025" max="1025" width="10.5703125" style="17" customWidth="1"/>
    <col min="1026" max="1026" width="6.5703125" style="17" customWidth="1"/>
    <col min="1027" max="1027" width="1.5703125" style="17" customWidth="1"/>
    <col min="1028" max="1028" width="10.5703125" style="17" customWidth="1"/>
    <col min="1029" max="1029" width="9.5703125" style="17" customWidth="1"/>
    <col min="1030" max="1030" width="13.42578125" style="17" bestFit="1" customWidth="1"/>
    <col min="1031" max="1031" width="7.5703125" style="17" customWidth="1"/>
    <col min="1032" max="1032" width="11.42578125" style="17"/>
    <col min="1033" max="1033" width="13.42578125" style="17" bestFit="1" customWidth="1"/>
    <col min="1034" max="1270" width="11.42578125" style="17"/>
    <col min="1271" max="1271" width="0.42578125" style="17" customWidth="1"/>
    <col min="1272" max="1272" width="2.5703125" style="17" customWidth="1"/>
    <col min="1273" max="1273" width="15.42578125" style="17" customWidth="1"/>
    <col min="1274" max="1274" width="1.42578125" style="17" customWidth="1"/>
    <col min="1275" max="1275" width="27.5703125" style="17" customWidth="1"/>
    <col min="1276" max="1276" width="6.5703125" style="17" customWidth="1"/>
    <col min="1277" max="1277" width="1.5703125" style="17" customWidth="1"/>
    <col min="1278" max="1278" width="10.5703125" style="17" customWidth="1"/>
    <col min="1279" max="1279" width="5.5703125" style="17" customWidth="1"/>
    <col min="1280" max="1280" width="1.5703125" style="17" customWidth="1"/>
    <col min="1281" max="1281" width="10.5703125" style="17" customWidth="1"/>
    <col min="1282" max="1282" width="6.5703125" style="17" customWidth="1"/>
    <col min="1283" max="1283" width="1.5703125" style="17" customWidth="1"/>
    <col min="1284" max="1284" width="10.5703125" style="17" customWidth="1"/>
    <col min="1285" max="1285" width="9.5703125" style="17" customWidth="1"/>
    <col min="1286" max="1286" width="13.42578125" style="17" bestFit="1" customWidth="1"/>
    <col min="1287" max="1287" width="7.5703125" style="17" customWidth="1"/>
    <col min="1288" max="1288" width="11.42578125" style="17"/>
    <col min="1289" max="1289" width="13.42578125" style="17" bestFit="1" customWidth="1"/>
    <col min="1290" max="1526" width="11.42578125" style="17"/>
    <col min="1527" max="1527" width="0.42578125" style="17" customWidth="1"/>
    <col min="1528" max="1528" width="2.5703125" style="17" customWidth="1"/>
    <col min="1529" max="1529" width="15.42578125" style="17" customWidth="1"/>
    <col min="1530" max="1530" width="1.42578125" style="17" customWidth="1"/>
    <col min="1531" max="1531" width="27.5703125" style="17" customWidth="1"/>
    <col min="1532" max="1532" width="6.5703125" style="17" customWidth="1"/>
    <col min="1533" max="1533" width="1.5703125" style="17" customWidth="1"/>
    <col min="1534" max="1534" width="10.5703125" style="17" customWidth="1"/>
    <col min="1535" max="1535" width="5.5703125" style="17" customWidth="1"/>
    <col min="1536" max="1536" width="1.5703125" style="17" customWidth="1"/>
    <col min="1537" max="1537" width="10.5703125" style="17" customWidth="1"/>
    <col min="1538" max="1538" width="6.5703125" style="17" customWidth="1"/>
    <col min="1539" max="1539" width="1.5703125" style="17" customWidth="1"/>
    <col min="1540" max="1540" width="10.5703125" style="17" customWidth="1"/>
    <col min="1541" max="1541" width="9.5703125" style="17" customWidth="1"/>
    <col min="1542" max="1542" width="13.42578125" style="17" bestFit="1" customWidth="1"/>
    <col min="1543" max="1543" width="7.5703125" style="17" customWidth="1"/>
    <col min="1544" max="1544" width="11.42578125" style="17"/>
    <col min="1545" max="1545" width="13.42578125" style="17" bestFit="1" customWidth="1"/>
    <col min="1546" max="1782" width="11.42578125" style="17"/>
    <col min="1783" max="1783" width="0.42578125" style="17" customWidth="1"/>
    <col min="1784" max="1784" width="2.5703125" style="17" customWidth="1"/>
    <col min="1785" max="1785" width="15.42578125" style="17" customWidth="1"/>
    <col min="1786" max="1786" width="1.42578125" style="17" customWidth="1"/>
    <col min="1787" max="1787" width="27.5703125" style="17" customWidth="1"/>
    <col min="1788" max="1788" width="6.5703125" style="17" customWidth="1"/>
    <col min="1789" max="1789" width="1.5703125" style="17" customWidth="1"/>
    <col min="1790" max="1790" width="10.5703125" style="17" customWidth="1"/>
    <col min="1791" max="1791" width="5.5703125" style="17" customWidth="1"/>
    <col min="1792" max="1792" width="1.5703125" style="17" customWidth="1"/>
    <col min="1793" max="1793" width="10.5703125" style="17" customWidth="1"/>
    <col min="1794" max="1794" width="6.5703125" style="17" customWidth="1"/>
    <col min="1795" max="1795" width="1.5703125" style="17" customWidth="1"/>
    <col min="1796" max="1796" width="10.5703125" style="17" customWidth="1"/>
    <col min="1797" max="1797" width="9.5703125" style="17" customWidth="1"/>
    <col min="1798" max="1798" width="13.42578125" style="17" bestFit="1" customWidth="1"/>
    <col min="1799" max="1799" width="7.5703125" style="17" customWidth="1"/>
    <col min="1800" max="1800" width="11.42578125" style="17"/>
    <col min="1801" max="1801" width="13.42578125" style="17" bestFit="1" customWidth="1"/>
    <col min="1802" max="2038" width="11.42578125" style="17"/>
    <col min="2039" max="2039" width="0.42578125" style="17" customWidth="1"/>
    <col min="2040" max="2040" width="2.5703125" style="17" customWidth="1"/>
    <col min="2041" max="2041" width="15.42578125" style="17" customWidth="1"/>
    <col min="2042" max="2042" width="1.42578125" style="17" customWidth="1"/>
    <col min="2043" max="2043" width="27.5703125" style="17" customWidth="1"/>
    <col min="2044" max="2044" width="6.5703125" style="17" customWidth="1"/>
    <col min="2045" max="2045" width="1.5703125" style="17" customWidth="1"/>
    <col min="2046" max="2046" width="10.5703125" style="17" customWidth="1"/>
    <col min="2047" max="2047" width="5.5703125" style="17" customWidth="1"/>
    <col min="2048" max="2048" width="1.5703125" style="17" customWidth="1"/>
    <col min="2049" max="2049" width="10.5703125" style="17" customWidth="1"/>
    <col min="2050" max="2050" width="6.5703125" style="17" customWidth="1"/>
    <col min="2051" max="2051" width="1.5703125" style="17" customWidth="1"/>
    <col min="2052" max="2052" width="10.5703125" style="17" customWidth="1"/>
    <col min="2053" max="2053" width="9.5703125" style="17" customWidth="1"/>
    <col min="2054" max="2054" width="13.42578125" style="17" bestFit="1" customWidth="1"/>
    <col min="2055" max="2055" width="7.5703125" style="17" customWidth="1"/>
    <col min="2056" max="2056" width="11.42578125" style="17"/>
    <col min="2057" max="2057" width="13.42578125" style="17" bestFit="1" customWidth="1"/>
    <col min="2058" max="2294" width="11.42578125" style="17"/>
    <col min="2295" max="2295" width="0.42578125" style="17" customWidth="1"/>
    <col min="2296" max="2296" width="2.5703125" style="17" customWidth="1"/>
    <col min="2297" max="2297" width="15.42578125" style="17" customWidth="1"/>
    <col min="2298" max="2298" width="1.42578125" style="17" customWidth="1"/>
    <col min="2299" max="2299" width="27.5703125" style="17" customWidth="1"/>
    <col min="2300" max="2300" width="6.5703125" style="17" customWidth="1"/>
    <col min="2301" max="2301" width="1.5703125" style="17" customWidth="1"/>
    <col min="2302" max="2302" width="10.5703125" style="17" customWidth="1"/>
    <col min="2303" max="2303" width="5.5703125" style="17" customWidth="1"/>
    <col min="2304" max="2304" width="1.5703125" style="17" customWidth="1"/>
    <col min="2305" max="2305" width="10.5703125" style="17" customWidth="1"/>
    <col min="2306" max="2306" width="6.5703125" style="17" customWidth="1"/>
    <col min="2307" max="2307" width="1.5703125" style="17" customWidth="1"/>
    <col min="2308" max="2308" width="10.5703125" style="17" customWidth="1"/>
    <col min="2309" max="2309" width="9.5703125" style="17" customWidth="1"/>
    <col min="2310" max="2310" width="13.42578125" style="17" bestFit="1" customWidth="1"/>
    <col min="2311" max="2311" width="7.5703125" style="17" customWidth="1"/>
    <col min="2312" max="2312" width="11.42578125" style="17"/>
    <col min="2313" max="2313" width="13.42578125" style="17" bestFit="1" customWidth="1"/>
    <col min="2314" max="2550" width="11.42578125" style="17"/>
    <col min="2551" max="2551" width="0.42578125" style="17" customWidth="1"/>
    <col min="2552" max="2552" width="2.5703125" style="17" customWidth="1"/>
    <col min="2553" max="2553" width="15.42578125" style="17" customWidth="1"/>
    <col min="2554" max="2554" width="1.42578125" style="17" customWidth="1"/>
    <col min="2555" max="2555" width="27.5703125" style="17" customWidth="1"/>
    <col min="2556" max="2556" width="6.5703125" style="17" customWidth="1"/>
    <col min="2557" max="2557" width="1.5703125" style="17" customWidth="1"/>
    <col min="2558" max="2558" width="10.5703125" style="17" customWidth="1"/>
    <col min="2559" max="2559" width="5.5703125" style="17" customWidth="1"/>
    <col min="2560" max="2560" width="1.5703125" style="17" customWidth="1"/>
    <col min="2561" max="2561" width="10.5703125" style="17" customWidth="1"/>
    <col min="2562" max="2562" width="6.5703125" style="17" customWidth="1"/>
    <col min="2563" max="2563" width="1.5703125" style="17" customWidth="1"/>
    <col min="2564" max="2564" width="10.5703125" style="17" customWidth="1"/>
    <col min="2565" max="2565" width="9.5703125" style="17" customWidth="1"/>
    <col min="2566" max="2566" width="13.42578125" style="17" bestFit="1" customWidth="1"/>
    <col min="2567" max="2567" width="7.5703125" style="17" customWidth="1"/>
    <col min="2568" max="2568" width="11.42578125" style="17"/>
    <col min="2569" max="2569" width="13.42578125" style="17" bestFit="1" customWidth="1"/>
    <col min="2570" max="2806" width="11.42578125" style="17"/>
    <col min="2807" max="2807" width="0.42578125" style="17" customWidth="1"/>
    <col min="2808" max="2808" width="2.5703125" style="17" customWidth="1"/>
    <col min="2809" max="2809" width="15.42578125" style="17" customWidth="1"/>
    <col min="2810" max="2810" width="1.42578125" style="17" customWidth="1"/>
    <col min="2811" max="2811" width="27.5703125" style="17" customWidth="1"/>
    <col min="2812" max="2812" width="6.5703125" style="17" customWidth="1"/>
    <col min="2813" max="2813" width="1.5703125" style="17" customWidth="1"/>
    <col min="2814" max="2814" width="10.5703125" style="17" customWidth="1"/>
    <col min="2815" max="2815" width="5.5703125" style="17" customWidth="1"/>
    <col min="2816" max="2816" width="1.5703125" style="17" customWidth="1"/>
    <col min="2817" max="2817" width="10.5703125" style="17" customWidth="1"/>
    <col min="2818" max="2818" width="6.5703125" style="17" customWidth="1"/>
    <col min="2819" max="2819" width="1.5703125" style="17" customWidth="1"/>
    <col min="2820" max="2820" width="10.5703125" style="17" customWidth="1"/>
    <col min="2821" max="2821" width="9.5703125" style="17" customWidth="1"/>
    <col min="2822" max="2822" width="13.42578125" style="17" bestFit="1" customWidth="1"/>
    <col min="2823" max="2823" width="7.5703125" style="17" customWidth="1"/>
    <col min="2824" max="2824" width="11.42578125" style="17"/>
    <col min="2825" max="2825" width="13.42578125" style="17" bestFit="1" customWidth="1"/>
    <col min="2826" max="3062" width="11.42578125" style="17"/>
    <col min="3063" max="3063" width="0.42578125" style="17" customWidth="1"/>
    <col min="3064" max="3064" width="2.5703125" style="17" customWidth="1"/>
    <col min="3065" max="3065" width="15.42578125" style="17" customWidth="1"/>
    <col min="3066" max="3066" width="1.42578125" style="17" customWidth="1"/>
    <col min="3067" max="3067" width="27.5703125" style="17" customWidth="1"/>
    <col min="3068" max="3068" width="6.5703125" style="17" customWidth="1"/>
    <col min="3069" max="3069" width="1.5703125" style="17" customWidth="1"/>
    <col min="3070" max="3070" width="10.5703125" style="17" customWidth="1"/>
    <col min="3071" max="3071" width="5.5703125" style="17" customWidth="1"/>
    <col min="3072" max="3072" width="1.5703125" style="17" customWidth="1"/>
    <col min="3073" max="3073" width="10.5703125" style="17" customWidth="1"/>
    <col min="3074" max="3074" width="6.5703125" style="17" customWidth="1"/>
    <col min="3075" max="3075" width="1.5703125" style="17" customWidth="1"/>
    <col min="3076" max="3076" width="10.5703125" style="17" customWidth="1"/>
    <col min="3077" max="3077" width="9.5703125" style="17" customWidth="1"/>
    <col min="3078" max="3078" width="13.42578125" style="17" bestFit="1" customWidth="1"/>
    <col min="3079" max="3079" width="7.5703125" style="17" customWidth="1"/>
    <col min="3080" max="3080" width="11.42578125" style="17"/>
    <col min="3081" max="3081" width="13.42578125" style="17" bestFit="1" customWidth="1"/>
    <col min="3082" max="3318" width="11.42578125" style="17"/>
    <col min="3319" max="3319" width="0.42578125" style="17" customWidth="1"/>
    <col min="3320" max="3320" width="2.5703125" style="17" customWidth="1"/>
    <col min="3321" max="3321" width="15.42578125" style="17" customWidth="1"/>
    <col min="3322" max="3322" width="1.42578125" style="17" customWidth="1"/>
    <col min="3323" max="3323" width="27.5703125" style="17" customWidth="1"/>
    <col min="3324" max="3324" width="6.5703125" style="17" customWidth="1"/>
    <col min="3325" max="3325" width="1.5703125" style="17" customWidth="1"/>
    <col min="3326" max="3326" width="10.5703125" style="17" customWidth="1"/>
    <col min="3327" max="3327" width="5.5703125" style="17" customWidth="1"/>
    <col min="3328" max="3328" width="1.5703125" style="17" customWidth="1"/>
    <col min="3329" max="3329" width="10.5703125" style="17" customWidth="1"/>
    <col min="3330" max="3330" width="6.5703125" style="17" customWidth="1"/>
    <col min="3331" max="3331" width="1.5703125" style="17" customWidth="1"/>
    <col min="3332" max="3332" width="10.5703125" style="17" customWidth="1"/>
    <col min="3333" max="3333" width="9.5703125" style="17" customWidth="1"/>
    <col min="3334" max="3334" width="13.42578125" style="17" bestFit="1" customWidth="1"/>
    <col min="3335" max="3335" width="7.5703125" style="17" customWidth="1"/>
    <col min="3336" max="3336" width="11.42578125" style="17"/>
    <col min="3337" max="3337" width="13.42578125" style="17" bestFit="1" customWidth="1"/>
    <col min="3338" max="3574" width="11.42578125" style="17"/>
    <col min="3575" max="3575" width="0.42578125" style="17" customWidth="1"/>
    <col min="3576" max="3576" width="2.5703125" style="17" customWidth="1"/>
    <col min="3577" max="3577" width="15.42578125" style="17" customWidth="1"/>
    <col min="3578" max="3578" width="1.42578125" style="17" customWidth="1"/>
    <col min="3579" max="3579" width="27.5703125" style="17" customWidth="1"/>
    <col min="3580" max="3580" width="6.5703125" style="17" customWidth="1"/>
    <col min="3581" max="3581" width="1.5703125" style="17" customWidth="1"/>
    <col min="3582" max="3582" width="10.5703125" style="17" customWidth="1"/>
    <col min="3583" max="3583" width="5.5703125" style="17" customWidth="1"/>
    <col min="3584" max="3584" width="1.5703125" style="17" customWidth="1"/>
    <col min="3585" max="3585" width="10.5703125" style="17" customWidth="1"/>
    <col min="3586" max="3586" width="6.5703125" style="17" customWidth="1"/>
    <col min="3587" max="3587" width="1.5703125" style="17" customWidth="1"/>
    <col min="3588" max="3588" width="10.5703125" style="17" customWidth="1"/>
    <col min="3589" max="3589" width="9.5703125" style="17" customWidth="1"/>
    <col min="3590" max="3590" width="13.42578125" style="17" bestFit="1" customWidth="1"/>
    <col min="3591" max="3591" width="7.5703125" style="17" customWidth="1"/>
    <col min="3592" max="3592" width="11.42578125" style="17"/>
    <col min="3593" max="3593" width="13.42578125" style="17" bestFit="1" customWidth="1"/>
    <col min="3594" max="3830" width="11.42578125" style="17"/>
    <col min="3831" max="3831" width="0.42578125" style="17" customWidth="1"/>
    <col min="3832" max="3832" width="2.5703125" style="17" customWidth="1"/>
    <col min="3833" max="3833" width="15.42578125" style="17" customWidth="1"/>
    <col min="3834" max="3834" width="1.42578125" style="17" customWidth="1"/>
    <col min="3835" max="3835" width="27.5703125" style="17" customWidth="1"/>
    <col min="3836" max="3836" width="6.5703125" style="17" customWidth="1"/>
    <col min="3837" max="3837" width="1.5703125" style="17" customWidth="1"/>
    <col min="3838" max="3838" width="10.5703125" style="17" customWidth="1"/>
    <col min="3839" max="3839" width="5.5703125" style="17" customWidth="1"/>
    <col min="3840" max="3840" width="1.5703125" style="17" customWidth="1"/>
    <col min="3841" max="3841" width="10.5703125" style="17" customWidth="1"/>
    <col min="3842" max="3842" width="6.5703125" style="17" customWidth="1"/>
    <col min="3843" max="3843" width="1.5703125" style="17" customWidth="1"/>
    <col min="3844" max="3844" width="10.5703125" style="17" customWidth="1"/>
    <col min="3845" max="3845" width="9.5703125" style="17" customWidth="1"/>
    <col min="3846" max="3846" width="13.42578125" style="17" bestFit="1" customWidth="1"/>
    <col min="3847" max="3847" width="7.5703125" style="17" customWidth="1"/>
    <col min="3848" max="3848" width="11.42578125" style="17"/>
    <col min="3849" max="3849" width="13.42578125" style="17" bestFit="1" customWidth="1"/>
    <col min="3850" max="4086" width="11.42578125" style="17"/>
    <col min="4087" max="4087" width="0.42578125" style="17" customWidth="1"/>
    <col min="4088" max="4088" width="2.5703125" style="17" customWidth="1"/>
    <col min="4089" max="4089" width="15.42578125" style="17" customWidth="1"/>
    <col min="4090" max="4090" width="1.42578125" style="17" customWidth="1"/>
    <col min="4091" max="4091" width="27.5703125" style="17" customWidth="1"/>
    <col min="4092" max="4092" width="6.5703125" style="17" customWidth="1"/>
    <col min="4093" max="4093" width="1.5703125" style="17" customWidth="1"/>
    <col min="4094" max="4094" width="10.5703125" style="17" customWidth="1"/>
    <col min="4095" max="4095" width="5.5703125" style="17" customWidth="1"/>
    <col min="4096" max="4096" width="1.5703125" style="17" customWidth="1"/>
    <col min="4097" max="4097" width="10.5703125" style="17" customWidth="1"/>
    <col min="4098" max="4098" width="6.5703125" style="17" customWidth="1"/>
    <col min="4099" max="4099" width="1.5703125" style="17" customWidth="1"/>
    <col min="4100" max="4100" width="10.5703125" style="17" customWidth="1"/>
    <col min="4101" max="4101" width="9.5703125" style="17" customWidth="1"/>
    <col min="4102" max="4102" width="13.42578125" style="17" bestFit="1" customWidth="1"/>
    <col min="4103" max="4103" width="7.5703125" style="17" customWidth="1"/>
    <col min="4104" max="4104" width="11.42578125" style="17"/>
    <col min="4105" max="4105" width="13.42578125" style="17" bestFit="1" customWidth="1"/>
    <col min="4106" max="4342" width="11.42578125" style="17"/>
    <col min="4343" max="4343" width="0.42578125" style="17" customWidth="1"/>
    <col min="4344" max="4344" width="2.5703125" style="17" customWidth="1"/>
    <col min="4345" max="4345" width="15.42578125" style="17" customWidth="1"/>
    <col min="4346" max="4346" width="1.42578125" style="17" customWidth="1"/>
    <col min="4347" max="4347" width="27.5703125" style="17" customWidth="1"/>
    <col min="4348" max="4348" width="6.5703125" style="17" customWidth="1"/>
    <col min="4349" max="4349" width="1.5703125" style="17" customWidth="1"/>
    <col min="4350" max="4350" width="10.5703125" style="17" customWidth="1"/>
    <col min="4351" max="4351" width="5.5703125" style="17" customWidth="1"/>
    <col min="4352" max="4352" width="1.5703125" style="17" customWidth="1"/>
    <col min="4353" max="4353" width="10.5703125" style="17" customWidth="1"/>
    <col min="4354" max="4354" width="6.5703125" style="17" customWidth="1"/>
    <col min="4355" max="4355" width="1.5703125" style="17" customWidth="1"/>
    <col min="4356" max="4356" width="10.5703125" style="17" customWidth="1"/>
    <col min="4357" max="4357" width="9.5703125" style="17" customWidth="1"/>
    <col min="4358" max="4358" width="13.42578125" style="17" bestFit="1" customWidth="1"/>
    <col min="4359" max="4359" width="7.5703125" style="17" customWidth="1"/>
    <col min="4360" max="4360" width="11.42578125" style="17"/>
    <col min="4361" max="4361" width="13.42578125" style="17" bestFit="1" customWidth="1"/>
    <col min="4362" max="4598" width="11.42578125" style="17"/>
    <col min="4599" max="4599" width="0.42578125" style="17" customWidth="1"/>
    <col min="4600" max="4600" width="2.5703125" style="17" customWidth="1"/>
    <col min="4601" max="4601" width="15.42578125" style="17" customWidth="1"/>
    <col min="4602" max="4602" width="1.42578125" style="17" customWidth="1"/>
    <col min="4603" max="4603" width="27.5703125" style="17" customWidth="1"/>
    <col min="4604" max="4604" width="6.5703125" style="17" customWidth="1"/>
    <col min="4605" max="4605" width="1.5703125" style="17" customWidth="1"/>
    <col min="4606" max="4606" width="10.5703125" style="17" customWidth="1"/>
    <col min="4607" max="4607" width="5.5703125" style="17" customWidth="1"/>
    <col min="4608" max="4608" width="1.5703125" style="17" customWidth="1"/>
    <col min="4609" max="4609" width="10.5703125" style="17" customWidth="1"/>
    <col min="4610" max="4610" width="6.5703125" style="17" customWidth="1"/>
    <col min="4611" max="4611" width="1.5703125" style="17" customWidth="1"/>
    <col min="4612" max="4612" width="10.5703125" style="17" customWidth="1"/>
    <col min="4613" max="4613" width="9.5703125" style="17" customWidth="1"/>
    <col min="4614" max="4614" width="13.42578125" style="17" bestFit="1" customWidth="1"/>
    <col min="4615" max="4615" width="7.5703125" style="17" customWidth="1"/>
    <col min="4616" max="4616" width="11.42578125" style="17"/>
    <col min="4617" max="4617" width="13.42578125" style="17" bestFit="1" customWidth="1"/>
    <col min="4618" max="4854" width="11.42578125" style="17"/>
    <col min="4855" max="4855" width="0.42578125" style="17" customWidth="1"/>
    <col min="4856" max="4856" width="2.5703125" style="17" customWidth="1"/>
    <col min="4857" max="4857" width="15.42578125" style="17" customWidth="1"/>
    <col min="4858" max="4858" width="1.42578125" style="17" customWidth="1"/>
    <col min="4859" max="4859" width="27.5703125" style="17" customWidth="1"/>
    <col min="4860" max="4860" width="6.5703125" style="17" customWidth="1"/>
    <col min="4861" max="4861" width="1.5703125" style="17" customWidth="1"/>
    <col min="4862" max="4862" width="10.5703125" style="17" customWidth="1"/>
    <col min="4863" max="4863" width="5.5703125" style="17" customWidth="1"/>
    <col min="4864" max="4864" width="1.5703125" style="17" customWidth="1"/>
    <col min="4865" max="4865" width="10.5703125" style="17" customWidth="1"/>
    <col min="4866" max="4866" width="6.5703125" style="17" customWidth="1"/>
    <col min="4867" max="4867" width="1.5703125" style="17" customWidth="1"/>
    <col min="4868" max="4868" width="10.5703125" style="17" customWidth="1"/>
    <col min="4869" max="4869" width="9.5703125" style="17" customWidth="1"/>
    <col min="4870" max="4870" width="13.42578125" style="17" bestFit="1" customWidth="1"/>
    <col min="4871" max="4871" width="7.5703125" style="17" customWidth="1"/>
    <col min="4872" max="4872" width="11.42578125" style="17"/>
    <col min="4873" max="4873" width="13.42578125" style="17" bestFit="1" customWidth="1"/>
    <col min="4874" max="5110" width="11.42578125" style="17"/>
    <col min="5111" max="5111" width="0.42578125" style="17" customWidth="1"/>
    <col min="5112" max="5112" width="2.5703125" style="17" customWidth="1"/>
    <col min="5113" max="5113" width="15.42578125" style="17" customWidth="1"/>
    <col min="5114" max="5114" width="1.42578125" style="17" customWidth="1"/>
    <col min="5115" max="5115" width="27.5703125" style="17" customWidth="1"/>
    <col min="5116" max="5116" width="6.5703125" style="17" customWidth="1"/>
    <col min="5117" max="5117" width="1.5703125" style="17" customWidth="1"/>
    <col min="5118" max="5118" width="10.5703125" style="17" customWidth="1"/>
    <col min="5119" max="5119" width="5.5703125" style="17" customWidth="1"/>
    <col min="5120" max="5120" width="1.5703125" style="17" customWidth="1"/>
    <col min="5121" max="5121" width="10.5703125" style="17" customWidth="1"/>
    <col min="5122" max="5122" width="6.5703125" style="17" customWidth="1"/>
    <col min="5123" max="5123" width="1.5703125" style="17" customWidth="1"/>
    <col min="5124" max="5124" width="10.5703125" style="17" customWidth="1"/>
    <col min="5125" max="5125" width="9.5703125" style="17" customWidth="1"/>
    <col min="5126" max="5126" width="13.42578125" style="17" bestFit="1" customWidth="1"/>
    <col min="5127" max="5127" width="7.5703125" style="17" customWidth="1"/>
    <col min="5128" max="5128" width="11.42578125" style="17"/>
    <col min="5129" max="5129" width="13.42578125" style="17" bestFit="1" customWidth="1"/>
    <col min="5130" max="5366" width="11.42578125" style="17"/>
    <col min="5367" max="5367" width="0.42578125" style="17" customWidth="1"/>
    <col min="5368" max="5368" width="2.5703125" style="17" customWidth="1"/>
    <col min="5369" max="5369" width="15.42578125" style="17" customWidth="1"/>
    <col min="5370" max="5370" width="1.42578125" style="17" customWidth="1"/>
    <col min="5371" max="5371" width="27.5703125" style="17" customWidth="1"/>
    <col min="5372" max="5372" width="6.5703125" style="17" customWidth="1"/>
    <col min="5373" max="5373" width="1.5703125" style="17" customWidth="1"/>
    <col min="5374" max="5374" width="10.5703125" style="17" customWidth="1"/>
    <col min="5375" max="5375" width="5.5703125" style="17" customWidth="1"/>
    <col min="5376" max="5376" width="1.5703125" style="17" customWidth="1"/>
    <col min="5377" max="5377" width="10.5703125" style="17" customWidth="1"/>
    <col min="5378" max="5378" width="6.5703125" style="17" customWidth="1"/>
    <col min="5379" max="5379" width="1.5703125" style="17" customWidth="1"/>
    <col min="5380" max="5380" width="10.5703125" style="17" customWidth="1"/>
    <col min="5381" max="5381" width="9.5703125" style="17" customWidth="1"/>
    <col min="5382" max="5382" width="13.42578125" style="17" bestFit="1" customWidth="1"/>
    <col min="5383" max="5383" width="7.5703125" style="17" customWidth="1"/>
    <col min="5384" max="5384" width="11.42578125" style="17"/>
    <col min="5385" max="5385" width="13.42578125" style="17" bestFit="1" customWidth="1"/>
    <col min="5386" max="5622" width="11.42578125" style="17"/>
    <col min="5623" max="5623" width="0.42578125" style="17" customWidth="1"/>
    <col min="5624" max="5624" width="2.5703125" style="17" customWidth="1"/>
    <col min="5625" max="5625" width="15.42578125" style="17" customWidth="1"/>
    <col min="5626" max="5626" width="1.42578125" style="17" customWidth="1"/>
    <col min="5627" max="5627" width="27.5703125" style="17" customWidth="1"/>
    <col min="5628" max="5628" width="6.5703125" style="17" customWidth="1"/>
    <col min="5629" max="5629" width="1.5703125" style="17" customWidth="1"/>
    <col min="5630" max="5630" width="10.5703125" style="17" customWidth="1"/>
    <col min="5631" max="5631" width="5.5703125" style="17" customWidth="1"/>
    <col min="5632" max="5632" width="1.5703125" style="17" customWidth="1"/>
    <col min="5633" max="5633" width="10.5703125" style="17" customWidth="1"/>
    <col min="5634" max="5634" width="6.5703125" style="17" customWidth="1"/>
    <col min="5635" max="5635" width="1.5703125" style="17" customWidth="1"/>
    <col min="5636" max="5636" width="10.5703125" style="17" customWidth="1"/>
    <col min="5637" max="5637" width="9.5703125" style="17" customWidth="1"/>
    <col min="5638" max="5638" width="13.42578125" style="17" bestFit="1" customWidth="1"/>
    <col min="5639" max="5639" width="7.5703125" style="17" customWidth="1"/>
    <col min="5640" max="5640" width="11.42578125" style="17"/>
    <col min="5641" max="5641" width="13.42578125" style="17" bestFit="1" customWidth="1"/>
    <col min="5642" max="5878" width="11.42578125" style="17"/>
    <col min="5879" max="5879" width="0.42578125" style="17" customWidth="1"/>
    <col min="5880" max="5880" width="2.5703125" style="17" customWidth="1"/>
    <col min="5881" max="5881" width="15.42578125" style="17" customWidth="1"/>
    <col min="5882" max="5882" width="1.42578125" style="17" customWidth="1"/>
    <col min="5883" max="5883" width="27.5703125" style="17" customWidth="1"/>
    <col min="5884" max="5884" width="6.5703125" style="17" customWidth="1"/>
    <col min="5885" max="5885" width="1.5703125" style="17" customWidth="1"/>
    <col min="5886" max="5886" width="10.5703125" style="17" customWidth="1"/>
    <col min="5887" max="5887" width="5.5703125" style="17" customWidth="1"/>
    <col min="5888" max="5888" width="1.5703125" style="17" customWidth="1"/>
    <col min="5889" max="5889" width="10.5703125" style="17" customWidth="1"/>
    <col min="5890" max="5890" width="6.5703125" style="17" customWidth="1"/>
    <col min="5891" max="5891" width="1.5703125" style="17" customWidth="1"/>
    <col min="5892" max="5892" width="10.5703125" style="17" customWidth="1"/>
    <col min="5893" max="5893" width="9.5703125" style="17" customWidth="1"/>
    <col min="5894" max="5894" width="13.42578125" style="17" bestFit="1" customWidth="1"/>
    <col min="5895" max="5895" width="7.5703125" style="17" customWidth="1"/>
    <col min="5896" max="5896" width="11.42578125" style="17"/>
    <col min="5897" max="5897" width="13.42578125" style="17" bestFit="1" customWidth="1"/>
    <col min="5898" max="6134" width="11.42578125" style="17"/>
    <col min="6135" max="6135" width="0.42578125" style="17" customWidth="1"/>
    <col min="6136" max="6136" width="2.5703125" style="17" customWidth="1"/>
    <col min="6137" max="6137" width="15.42578125" style="17" customWidth="1"/>
    <col min="6138" max="6138" width="1.42578125" style="17" customWidth="1"/>
    <col min="6139" max="6139" width="27.5703125" style="17" customWidth="1"/>
    <col min="6140" max="6140" width="6.5703125" style="17" customWidth="1"/>
    <col min="6141" max="6141" width="1.5703125" style="17" customWidth="1"/>
    <col min="6142" max="6142" width="10.5703125" style="17" customWidth="1"/>
    <col min="6143" max="6143" width="5.5703125" style="17" customWidth="1"/>
    <col min="6144" max="6144" width="1.5703125" style="17" customWidth="1"/>
    <col min="6145" max="6145" width="10.5703125" style="17" customWidth="1"/>
    <col min="6146" max="6146" width="6.5703125" style="17" customWidth="1"/>
    <col min="6147" max="6147" width="1.5703125" style="17" customWidth="1"/>
    <col min="6148" max="6148" width="10.5703125" style="17" customWidth="1"/>
    <col min="6149" max="6149" width="9.5703125" style="17" customWidth="1"/>
    <col min="6150" max="6150" width="13.42578125" style="17" bestFit="1" customWidth="1"/>
    <col min="6151" max="6151" width="7.5703125" style="17" customWidth="1"/>
    <col min="6152" max="6152" width="11.42578125" style="17"/>
    <col min="6153" max="6153" width="13.42578125" style="17" bestFit="1" customWidth="1"/>
    <col min="6154" max="6390" width="11.42578125" style="17"/>
    <col min="6391" max="6391" width="0.42578125" style="17" customWidth="1"/>
    <col min="6392" max="6392" width="2.5703125" style="17" customWidth="1"/>
    <col min="6393" max="6393" width="15.42578125" style="17" customWidth="1"/>
    <col min="6394" max="6394" width="1.42578125" style="17" customWidth="1"/>
    <col min="6395" max="6395" width="27.5703125" style="17" customWidth="1"/>
    <col min="6396" max="6396" width="6.5703125" style="17" customWidth="1"/>
    <col min="6397" max="6397" width="1.5703125" style="17" customWidth="1"/>
    <col min="6398" max="6398" width="10.5703125" style="17" customWidth="1"/>
    <col min="6399" max="6399" width="5.5703125" style="17" customWidth="1"/>
    <col min="6400" max="6400" width="1.5703125" style="17" customWidth="1"/>
    <col min="6401" max="6401" width="10.5703125" style="17" customWidth="1"/>
    <col min="6402" max="6402" width="6.5703125" style="17" customWidth="1"/>
    <col min="6403" max="6403" width="1.5703125" style="17" customWidth="1"/>
    <col min="6404" max="6404" width="10.5703125" style="17" customWidth="1"/>
    <col min="6405" max="6405" width="9.5703125" style="17" customWidth="1"/>
    <col min="6406" max="6406" width="13.42578125" style="17" bestFit="1" customWidth="1"/>
    <col min="6407" max="6407" width="7.5703125" style="17" customWidth="1"/>
    <col min="6408" max="6408" width="11.42578125" style="17"/>
    <col min="6409" max="6409" width="13.42578125" style="17" bestFit="1" customWidth="1"/>
    <col min="6410" max="6646" width="11.42578125" style="17"/>
    <col min="6647" max="6647" width="0.42578125" style="17" customWidth="1"/>
    <col min="6648" max="6648" width="2.5703125" style="17" customWidth="1"/>
    <col min="6649" max="6649" width="15.42578125" style="17" customWidth="1"/>
    <col min="6650" max="6650" width="1.42578125" style="17" customWidth="1"/>
    <col min="6651" max="6651" width="27.5703125" style="17" customWidth="1"/>
    <col min="6652" max="6652" width="6.5703125" style="17" customWidth="1"/>
    <col min="6653" max="6653" width="1.5703125" style="17" customWidth="1"/>
    <col min="6654" max="6654" width="10.5703125" style="17" customWidth="1"/>
    <col min="6655" max="6655" width="5.5703125" style="17" customWidth="1"/>
    <col min="6656" max="6656" width="1.5703125" style="17" customWidth="1"/>
    <col min="6657" max="6657" width="10.5703125" style="17" customWidth="1"/>
    <col min="6658" max="6658" width="6.5703125" style="17" customWidth="1"/>
    <col min="6659" max="6659" width="1.5703125" style="17" customWidth="1"/>
    <col min="6660" max="6660" width="10.5703125" style="17" customWidth="1"/>
    <col min="6661" max="6661" width="9.5703125" style="17" customWidth="1"/>
    <col min="6662" max="6662" width="13.42578125" style="17" bestFit="1" customWidth="1"/>
    <col min="6663" max="6663" width="7.5703125" style="17" customWidth="1"/>
    <col min="6664" max="6664" width="11.42578125" style="17"/>
    <col min="6665" max="6665" width="13.42578125" style="17" bestFit="1" customWidth="1"/>
    <col min="6666" max="6902" width="11.42578125" style="17"/>
    <col min="6903" max="6903" width="0.42578125" style="17" customWidth="1"/>
    <col min="6904" max="6904" width="2.5703125" style="17" customWidth="1"/>
    <col min="6905" max="6905" width="15.42578125" style="17" customWidth="1"/>
    <col min="6906" max="6906" width="1.42578125" style="17" customWidth="1"/>
    <col min="6907" max="6907" width="27.5703125" style="17" customWidth="1"/>
    <col min="6908" max="6908" width="6.5703125" style="17" customWidth="1"/>
    <col min="6909" max="6909" width="1.5703125" style="17" customWidth="1"/>
    <col min="6910" max="6910" width="10.5703125" style="17" customWidth="1"/>
    <col min="6911" max="6911" width="5.5703125" style="17" customWidth="1"/>
    <col min="6912" max="6912" width="1.5703125" style="17" customWidth="1"/>
    <col min="6913" max="6913" width="10.5703125" style="17" customWidth="1"/>
    <col min="6914" max="6914" width="6.5703125" style="17" customWidth="1"/>
    <col min="6915" max="6915" width="1.5703125" style="17" customWidth="1"/>
    <col min="6916" max="6916" width="10.5703125" style="17" customWidth="1"/>
    <col min="6917" max="6917" width="9.5703125" style="17" customWidth="1"/>
    <col min="6918" max="6918" width="13.42578125" style="17" bestFit="1" customWidth="1"/>
    <col min="6919" max="6919" width="7.5703125" style="17" customWidth="1"/>
    <col min="6920" max="6920" width="11.42578125" style="17"/>
    <col min="6921" max="6921" width="13.42578125" style="17" bestFit="1" customWidth="1"/>
    <col min="6922" max="7158" width="11.42578125" style="17"/>
    <col min="7159" max="7159" width="0.42578125" style="17" customWidth="1"/>
    <col min="7160" max="7160" width="2.5703125" style="17" customWidth="1"/>
    <col min="7161" max="7161" width="15.42578125" style="17" customWidth="1"/>
    <col min="7162" max="7162" width="1.42578125" style="17" customWidth="1"/>
    <col min="7163" max="7163" width="27.5703125" style="17" customWidth="1"/>
    <col min="7164" max="7164" width="6.5703125" style="17" customWidth="1"/>
    <col min="7165" max="7165" width="1.5703125" style="17" customWidth="1"/>
    <col min="7166" max="7166" width="10.5703125" style="17" customWidth="1"/>
    <col min="7167" max="7167" width="5.5703125" style="17" customWidth="1"/>
    <col min="7168" max="7168" width="1.5703125" style="17" customWidth="1"/>
    <col min="7169" max="7169" width="10.5703125" style="17" customWidth="1"/>
    <col min="7170" max="7170" width="6.5703125" style="17" customWidth="1"/>
    <col min="7171" max="7171" width="1.5703125" style="17" customWidth="1"/>
    <col min="7172" max="7172" width="10.5703125" style="17" customWidth="1"/>
    <col min="7173" max="7173" width="9.5703125" style="17" customWidth="1"/>
    <col min="7174" max="7174" width="13.42578125" style="17" bestFit="1" customWidth="1"/>
    <col min="7175" max="7175" width="7.5703125" style="17" customWidth="1"/>
    <col min="7176" max="7176" width="11.42578125" style="17"/>
    <col min="7177" max="7177" width="13.42578125" style="17" bestFit="1" customWidth="1"/>
    <col min="7178" max="7414" width="11.42578125" style="17"/>
    <col min="7415" max="7415" width="0.42578125" style="17" customWidth="1"/>
    <col min="7416" max="7416" width="2.5703125" style="17" customWidth="1"/>
    <col min="7417" max="7417" width="15.42578125" style="17" customWidth="1"/>
    <col min="7418" max="7418" width="1.42578125" style="17" customWidth="1"/>
    <col min="7419" max="7419" width="27.5703125" style="17" customWidth="1"/>
    <col min="7420" max="7420" width="6.5703125" style="17" customWidth="1"/>
    <col min="7421" max="7421" width="1.5703125" style="17" customWidth="1"/>
    <col min="7422" max="7422" width="10.5703125" style="17" customWidth="1"/>
    <col min="7423" max="7423" width="5.5703125" style="17" customWidth="1"/>
    <col min="7424" max="7424" width="1.5703125" style="17" customWidth="1"/>
    <col min="7425" max="7425" width="10.5703125" style="17" customWidth="1"/>
    <col min="7426" max="7426" width="6.5703125" style="17" customWidth="1"/>
    <col min="7427" max="7427" width="1.5703125" style="17" customWidth="1"/>
    <col min="7428" max="7428" width="10.5703125" style="17" customWidth="1"/>
    <col min="7429" max="7429" width="9.5703125" style="17" customWidth="1"/>
    <col min="7430" max="7430" width="13.42578125" style="17" bestFit="1" customWidth="1"/>
    <col min="7431" max="7431" width="7.5703125" style="17" customWidth="1"/>
    <col min="7432" max="7432" width="11.42578125" style="17"/>
    <col min="7433" max="7433" width="13.42578125" style="17" bestFit="1" customWidth="1"/>
    <col min="7434" max="7670" width="11.42578125" style="17"/>
    <col min="7671" max="7671" width="0.42578125" style="17" customWidth="1"/>
    <col min="7672" max="7672" width="2.5703125" style="17" customWidth="1"/>
    <col min="7673" max="7673" width="15.42578125" style="17" customWidth="1"/>
    <col min="7674" max="7674" width="1.42578125" style="17" customWidth="1"/>
    <col min="7675" max="7675" width="27.5703125" style="17" customWidth="1"/>
    <col min="7676" max="7676" width="6.5703125" style="17" customWidth="1"/>
    <col min="7677" max="7677" width="1.5703125" style="17" customWidth="1"/>
    <col min="7678" max="7678" width="10.5703125" style="17" customWidth="1"/>
    <col min="7679" max="7679" width="5.5703125" style="17" customWidth="1"/>
    <col min="7680" max="7680" width="1.5703125" style="17" customWidth="1"/>
    <col min="7681" max="7681" width="10.5703125" style="17" customWidth="1"/>
    <col min="7682" max="7682" width="6.5703125" style="17" customWidth="1"/>
    <col min="7683" max="7683" width="1.5703125" style="17" customWidth="1"/>
    <col min="7684" max="7684" width="10.5703125" style="17" customWidth="1"/>
    <col min="7685" max="7685" width="9.5703125" style="17" customWidth="1"/>
    <col min="7686" max="7686" width="13.42578125" style="17" bestFit="1" customWidth="1"/>
    <col min="7687" max="7687" width="7.5703125" style="17" customWidth="1"/>
    <col min="7688" max="7688" width="11.42578125" style="17"/>
    <col min="7689" max="7689" width="13.42578125" style="17" bestFit="1" customWidth="1"/>
    <col min="7690" max="7926" width="11.42578125" style="17"/>
    <col min="7927" max="7927" width="0.42578125" style="17" customWidth="1"/>
    <col min="7928" max="7928" width="2.5703125" style="17" customWidth="1"/>
    <col min="7929" max="7929" width="15.42578125" style="17" customWidth="1"/>
    <col min="7930" max="7930" width="1.42578125" style="17" customWidth="1"/>
    <col min="7931" max="7931" width="27.5703125" style="17" customWidth="1"/>
    <col min="7932" max="7932" width="6.5703125" style="17" customWidth="1"/>
    <col min="7933" max="7933" width="1.5703125" style="17" customWidth="1"/>
    <col min="7934" max="7934" width="10.5703125" style="17" customWidth="1"/>
    <col min="7935" max="7935" width="5.5703125" style="17" customWidth="1"/>
    <col min="7936" max="7936" width="1.5703125" style="17" customWidth="1"/>
    <col min="7937" max="7937" width="10.5703125" style="17" customWidth="1"/>
    <col min="7938" max="7938" width="6.5703125" style="17" customWidth="1"/>
    <col min="7939" max="7939" width="1.5703125" style="17" customWidth="1"/>
    <col min="7940" max="7940" width="10.5703125" style="17" customWidth="1"/>
    <col min="7941" max="7941" width="9.5703125" style="17" customWidth="1"/>
    <col min="7942" max="7942" width="13.42578125" style="17" bestFit="1" customWidth="1"/>
    <col min="7943" max="7943" width="7.5703125" style="17" customWidth="1"/>
    <col min="7944" max="7944" width="11.42578125" style="17"/>
    <col min="7945" max="7945" width="13.42578125" style="17" bestFit="1" customWidth="1"/>
    <col min="7946" max="8182" width="11.42578125" style="17"/>
    <col min="8183" max="8183" width="0.42578125" style="17" customWidth="1"/>
    <col min="8184" max="8184" width="2.5703125" style="17" customWidth="1"/>
    <col min="8185" max="8185" width="15.42578125" style="17" customWidth="1"/>
    <col min="8186" max="8186" width="1.42578125" style="17" customWidth="1"/>
    <col min="8187" max="8187" width="27.5703125" style="17" customWidth="1"/>
    <col min="8188" max="8188" width="6.5703125" style="17" customWidth="1"/>
    <col min="8189" max="8189" width="1.5703125" style="17" customWidth="1"/>
    <col min="8190" max="8190" width="10.5703125" style="17" customWidth="1"/>
    <col min="8191" max="8191" width="5.5703125" style="17" customWidth="1"/>
    <col min="8192" max="8192" width="1.5703125" style="17" customWidth="1"/>
    <col min="8193" max="8193" width="10.5703125" style="17" customWidth="1"/>
    <col min="8194" max="8194" width="6.5703125" style="17" customWidth="1"/>
    <col min="8195" max="8195" width="1.5703125" style="17" customWidth="1"/>
    <col min="8196" max="8196" width="10.5703125" style="17" customWidth="1"/>
    <col min="8197" max="8197" width="9.5703125" style="17" customWidth="1"/>
    <col min="8198" max="8198" width="13.42578125" style="17" bestFit="1" customWidth="1"/>
    <col min="8199" max="8199" width="7.5703125" style="17" customWidth="1"/>
    <col min="8200" max="8200" width="11.42578125" style="17"/>
    <col min="8201" max="8201" width="13.42578125" style="17" bestFit="1" customWidth="1"/>
    <col min="8202" max="8438" width="11.42578125" style="17"/>
    <col min="8439" max="8439" width="0.42578125" style="17" customWidth="1"/>
    <col min="8440" max="8440" width="2.5703125" style="17" customWidth="1"/>
    <col min="8441" max="8441" width="15.42578125" style="17" customWidth="1"/>
    <col min="8442" max="8442" width="1.42578125" style="17" customWidth="1"/>
    <col min="8443" max="8443" width="27.5703125" style="17" customWidth="1"/>
    <col min="8444" max="8444" width="6.5703125" style="17" customWidth="1"/>
    <col min="8445" max="8445" width="1.5703125" style="17" customWidth="1"/>
    <col min="8446" max="8446" width="10.5703125" style="17" customWidth="1"/>
    <col min="8447" max="8447" width="5.5703125" style="17" customWidth="1"/>
    <col min="8448" max="8448" width="1.5703125" style="17" customWidth="1"/>
    <col min="8449" max="8449" width="10.5703125" style="17" customWidth="1"/>
    <col min="8450" max="8450" width="6.5703125" style="17" customWidth="1"/>
    <col min="8451" max="8451" width="1.5703125" style="17" customWidth="1"/>
    <col min="8452" max="8452" width="10.5703125" style="17" customWidth="1"/>
    <col min="8453" max="8453" width="9.5703125" style="17" customWidth="1"/>
    <col min="8454" max="8454" width="13.42578125" style="17" bestFit="1" customWidth="1"/>
    <col min="8455" max="8455" width="7.5703125" style="17" customWidth="1"/>
    <col min="8456" max="8456" width="11.42578125" style="17"/>
    <col min="8457" max="8457" width="13.42578125" style="17" bestFit="1" customWidth="1"/>
    <col min="8458" max="8694" width="11.42578125" style="17"/>
    <col min="8695" max="8695" width="0.42578125" style="17" customWidth="1"/>
    <col min="8696" max="8696" width="2.5703125" style="17" customWidth="1"/>
    <col min="8697" max="8697" width="15.42578125" style="17" customWidth="1"/>
    <col min="8698" max="8698" width="1.42578125" style="17" customWidth="1"/>
    <col min="8699" max="8699" width="27.5703125" style="17" customWidth="1"/>
    <col min="8700" max="8700" width="6.5703125" style="17" customWidth="1"/>
    <col min="8701" max="8701" width="1.5703125" style="17" customWidth="1"/>
    <col min="8702" max="8702" width="10.5703125" style="17" customWidth="1"/>
    <col min="8703" max="8703" width="5.5703125" style="17" customWidth="1"/>
    <col min="8704" max="8704" width="1.5703125" style="17" customWidth="1"/>
    <col min="8705" max="8705" width="10.5703125" style="17" customWidth="1"/>
    <col min="8706" max="8706" width="6.5703125" style="17" customWidth="1"/>
    <col min="8707" max="8707" width="1.5703125" style="17" customWidth="1"/>
    <col min="8708" max="8708" width="10.5703125" style="17" customWidth="1"/>
    <col min="8709" max="8709" width="9.5703125" style="17" customWidth="1"/>
    <col min="8710" max="8710" width="13.42578125" style="17" bestFit="1" customWidth="1"/>
    <col min="8711" max="8711" width="7.5703125" style="17" customWidth="1"/>
    <col min="8712" max="8712" width="11.42578125" style="17"/>
    <col min="8713" max="8713" width="13.42578125" style="17" bestFit="1" customWidth="1"/>
    <col min="8714" max="8950" width="11.42578125" style="17"/>
    <col min="8951" max="8951" width="0.42578125" style="17" customWidth="1"/>
    <col min="8952" max="8952" width="2.5703125" style="17" customWidth="1"/>
    <col min="8953" max="8953" width="15.42578125" style="17" customWidth="1"/>
    <col min="8954" max="8954" width="1.42578125" style="17" customWidth="1"/>
    <col min="8955" max="8955" width="27.5703125" style="17" customWidth="1"/>
    <col min="8956" max="8956" width="6.5703125" style="17" customWidth="1"/>
    <col min="8957" max="8957" width="1.5703125" style="17" customWidth="1"/>
    <col min="8958" max="8958" width="10.5703125" style="17" customWidth="1"/>
    <col min="8959" max="8959" width="5.5703125" style="17" customWidth="1"/>
    <col min="8960" max="8960" width="1.5703125" style="17" customWidth="1"/>
    <col min="8961" max="8961" width="10.5703125" style="17" customWidth="1"/>
    <col min="8962" max="8962" width="6.5703125" style="17" customWidth="1"/>
    <col min="8963" max="8963" width="1.5703125" style="17" customWidth="1"/>
    <col min="8964" max="8964" width="10.5703125" style="17" customWidth="1"/>
    <col min="8965" max="8965" width="9.5703125" style="17" customWidth="1"/>
    <col min="8966" max="8966" width="13.42578125" style="17" bestFit="1" customWidth="1"/>
    <col min="8967" max="8967" width="7.5703125" style="17" customWidth="1"/>
    <col min="8968" max="8968" width="11.42578125" style="17"/>
    <col min="8969" max="8969" width="13.42578125" style="17" bestFit="1" customWidth="1"/>
    <col min="8970" max="9206" width="11.42578125" style="17"/>
    <col min="9207" max="9207" width="0.42578125" style="17" customWidth="1"/>
    <col min="9208" max="9208" width="2.5703125" style="17" customWidth="1"/>
    <col min="9209" max="9209" width="15.42578125" style="17" customWidth="1"/>
    <col min="9210" max="9210" width="1.42578125" style="17" customWidth="1"/>
    <col min="9211" max="9211" width="27.5703125" style="17" customWidth="1"/>
    <col min="9212" max="9212" width="6.5703125" style="17" customWidth="1"/>
    <col min="9213" max="9213" width="1.5703125" style="17" customWidth="1"/>
    <col min="9214" max="9214" width="10.5703125" style="17" customWidth="1"/>
    <col min="9215" max="9215" width="5.5703125" style="17" customWidth="1"/>
    <col min="9216" max="9216" width="1.5703125" style="17" customWidth="1"/>
    <col min="9217" max="9217" width="10.5703125" style="17" customWidth="1"/>
    <col min="9218" max="9218" width="6.5703125" style="17" customWidth="1"/>
    <col min="9219" max="9219" width="1.5703125" style="17" customWidth="1"/>
    <col min="9220" max="9220" width="10.5703125" style="17" customWidth="1"/>
    <col min="9221" max="9221" width="9.5703125" style="17" customWidth="1"/>
    <col min="9222" max="9222" width="13.42578125" style="17" bestFit="1" customWidth="1"/>
    <col min="9223" max="9223" width="7.5703125" style="17" customWidth="1"/>
    <col min="9224" max="9224" width="11.42578125" style="17"/>
    <col min="9225" max="9225" width="13.42578125" style="17" bestFit="1" customWidth="1"/>
    <col min="9226" max="9462" width="11.42578125" style="17"/>
    <col min="9463" max="9463" width="0.42578125" style="17" customWidth="1"/>
    <col min="9464" max="9464" width="2.5703125" style="17" customWidth="1"/>
    <col min="9465" max="9465" width="15.42578125" style="17" customWidth="1"/>
    <col min="9466" max="9466" width="1.42578125" style="17" customWidth="1"/>
    <col min="9467" max="9467" width="27.5703125" style="17" customWidth="1"/>
    <col min="9468" max="9468" width="6.5703125" style="17" customWidth="1"/>
    <col min="9469" max="9469" width="1.5703125" style="17" customWidth="1"/>
    <col min="9470" max="9470" width="10.5703125" style="17" customWidth="1"/>
    <col min="9471" max="9471" width="5.5703125" style="17" customWidth="1"/>
    <col min="9472" max="9472" width="1.5703125" style="17" customWidth="1"/>
    <col min="9473" max="9473" width="10.5703125" style="17" customWidth="1"/>
    <col min="9474" max="9474" width="6.5703125" style="17" customWidth="1"/>
    <col min="9475" max="9475" width="1.5703125" style="17" customWidth="1"/>
    <col min="9476" max="9476" width="10.5703125" style="17" customWidth="1"/>
    <col min="9477" max="9477" width="9.5703125" style="17" customWidth="1"/>
    <col min="9478" max="9478" width="13.42578125" style="17" bestFit="1" customWidth="1"/>
    <col min="9479" max="9479" width="7.5703125" style="17" customWidth="1"/>
    <col min="9480" max="9480" width="11.42578125" style="17"/>
    <col min="9481" max="9481" width="13.42578125" style="17" bestFit="1" customWidth="1"/>
    <col min="9482" max="9718" width="11.42578125" style="17"/>
    <col min="9719" max="9719" width="0.42578125" style="17" customWidth="1"/>
    <col min="9720" max="9720" width="2.5703125" style="17" customWidth="1"/>
    <col min="9721" max="9721" width="15.42578125" style="17" customWidth="1"/>
    <col min="9722" max="9722" width="1.42578125" style="17" customWidth="1"/>
    <col min="9723" max="9723" width="27.5703125" style="17" customWidth="1"/>
    <col min="9724" max="9724" width="6.5703125" style="17" customWidth="1"/>
    <col min="9725" max="9725" width="1.5703125" style="17" customWidth="1"/>
    <col min="9726" max="9726" width="10.5703125" style="17" customWidth="1"/>
    <col min="9727" max="9727" width="5.5703125" style="17" customWidth="1"/>
    <col min="9728" max="9728" width="1.5703125" style="17" customWidth="1"/>
    <col min="9729" max="9729" width="10.5703125" style="17" customWidth="1"/>
    <col min="9730" max="9730" width="6.5703125" style="17" customWidth="1"/>
    <col min="9731" max="9731" width="1.5703125" style="17" customWidth="1"/>
    <col min="9732" max="9732" width="10.5703125" style="17" customWidth="1"/>
    <col min="9733" max="9733" width="9.5703125" style="17" customWidth="1"/>
    <col min="9734" max="9734" width="13.42578125" style="17" bestFit="1" customWidth="1"/>
    <col min="9735" max="9735" width="7.5703125" style="17" customWidth="1"/>
    <col min="9736" max="9736" width="11.42578125" style="17"/>
    <col min="9737" max="9737" width="13.42578125" style="17" bestFit="1" customWidth="1"/>
    <col min="9738" max="9974" width="11.42578125" style="17"/>
    <col min="9975" max="9975" width="0.42578125" style="17" customWidth="1"/>
    <col min="9976" max="9976" width="2.5703125" style="17" customWidth="1"/>
    <col min="9977" max="9977" width="15.42578125" style="17" customWidth="1"/>
    <col min="9978" max="9978" width="1.42578125" style="17" customWidth="1"/>
    <col min="9979" max="9979" width="27.5703125" style="17" customWidth="1"/>
    <col min="9980" max="9980" width="6.5703125" style="17" customWidth="1"/>
    <col min="9981" max="9981" width="1.5703125" style="17" customWidth="1"/>
    <col min="9982" max="9982" width="10.5703125" style="17" customWidth="1"/>
    <col min="9983" max="9983" width="5.5703125" style="17" customWidth="1"/>
    <col min="9984" max="9984" width="1.5703125" style="17" customWidth="1"/>
    <col min="9985" max="9985" width="10.5703125" style="17" customWidth="1"/>
    <col min="9986" max="9986" width="6.5703125" style="17" customWidth="1"/>
    <col min="9987" max="9987" width="1.5703125" style="17" customWidth="1"/>
    <col min="9988" max="9988" width="10.5703125" style="17" customWidth="1"/>
    <col min="9989" max="9989" width="9.5703125" style="17" customWidth="1"/>
    <col min="9990" max="9990" width="13.42578125" style="17" bestFit="1" customWidth="1"/>
    <col min="9991" max="9991" width="7.5703125" style="17" customWidth="1"/>
    <col min="9992" max="9992" width="11.42578125" style="17"/>
    <col min="9993" max="9993" width="13.42578125" style="17" bestFit="1" customWidth="1"/>
    <col min="9994" max="10230" width="11.42578125" style="17"/>
    <col min="10231" max="10231" width="0.42578125" style="17" customWidth="1"/>
    <col min="10232" max="10232" width="2.5703125" style="17" customWidth="1"/>
    <col min="10233" max="10233" width="15.42578125" style="17" customWidth="1"/>
    <col min="10234" max="10234" width="1.42578125" style="17" customWidth="1"/>
    <col min="10235" max="10235" width="27.5703125" style="17" customWidth="1"/>
    <col min="10236" max="10236" width="6.5703125" style="17" customWidth="1"/>
    <col min="10237" max="10237" width="1.5703125" style="17" customWidth="1"/>
    <col min="10238" max="10238" width="10.5703125" style="17" customWidth="1"/>
    <col min="10239" max="10239" width="5.5703125" style="17" customWidth="1"/>
    <col min="10240" max="10240" width="1.5703125" style="17" customWidth="1"/>
    <col min="10241" max="10241" width="10.5703125" style="17" customWidth="1"/>
    <col min="10242" max="10242" width="6.5703125" style="17" customWidth="1"/>
    <col min="10243" max="10243" width="1.5703125" style="17" customWidth="1"/>
    <col min="10244" max="10244" width="10.5703125" style="17" customWidth="1"/>
    <col min="10245" max="10245" width="9.5703125" style="17" customWidth="1"/>
    <col min="10246" max="10246" width="13.42578125" style="17" bestFit="1" customWidth="1"/>
    <col min="10247" max="10247" width="7.5703125" style="17" customWidth="1"/>
    <col min="10248" max="10248" width="11.42578125" style="17"/>
    <col min="10249" max="10249" width="13.42578125" style="17" bestFit="1" customWidth="1"/>
    <col min="10250" max="10486" width="11.42578125" style="17"/>
    <col min="10487" max="10487" width="0.42578125" style="17" customWidth="1"/>
    <col min="10488" max="10488" width="2.5703125" style="17" customWidth="1"/>
    <col min="10489" max="10489" width="15.42578125" style="17" customWidth="1"/>
    <col min="10490" max="10490" width="1.42578125" style="17" customWidth="1"/>
    <col min="10491" max="10491" width="27.5703125" style="17" customWidth="1"/>
    <col min="10492" max="10492" width="6.5703125" style="17" customWidth="1"/>
    <col min="10493" max="10493" width="1.5703125" style="17" customWidth="1"/>
    <col min="10494" max="10494" width="10.5703125" style="17" customWidth="1"/>
    <col min="10495" max="10495" width="5.5703125" style="17" customWidth="1"/>
    <col min="10496" max="10496" width="1.5703125" style="17" customWidth="1"/>
    <col min="10497" max="10497" width="10.5703125" style="17" customWidth="1"/>
    <col min="10498" max="10498" width="6.5703125" style="17" customWidth="1"/>
    <col min="10499" max="10499" width="1.5703125" style="17" customWidth="1"/>
    <col min="10500" max="10500" width="10.5703125" style="17" customWidth="1"/>
    <col min="10501" max="10501" width="9.5703125" style="17" customWidth="1"/>
    <col min="10502" max="10502" width="13.42578125" style="17" bestFit="1" customWidth="1"/>
    <col min="10503" max="10503" width="7.5703125" style="17" customWidth="1"/>
    <col min="10504" max="10504" width="11.42578125" style="17"/>
    <col min="10505" max="10505" width="13.42578125" style="17" bestFit="1" customWidth="1"/>
    <col min="10506" max="10742" width="11.42578125" style="17"/>
    <col min="10743" max="10743" width="0.42578125" style="17" customWidth="1"/>
    <col min="10744" max="10744" width="2.5703125" style="17" customWidth="1"/>
    <col min="10745" max="10745" width="15.42578125" style="17" customWidth="1"/>
    <col min="10746" max="10746" width="1.42578125" style="17" customWidth="1"/>
    <col min="10747" max="10747" width="27.5703125" style="17" customWidth="1"/>
    <col min="10748" max="10748" width="6.5703125" style="17" customWidth="1"/>
    <col min="10749" max="10749" width="1.5703125" style="17" customWidth="1"/>
    <col min="10750" max="10750" width="10.5703125" style="17" customWidth="1"/>
    <col min="10751" max="10751" width="5.5703125" style="17" customWidth="1"/>
    <col min="10752" max="10752" width="1.5703125" style="17" customWidth="1"/>
    <col min="10753" max="10753" width="10.5703125" style="17" customWidth="1"/>
    <col min="10754" max="10754" width="6.5703125" style="17" customWidth="1"/>
    <col min="10755" max="10755" width="1.5703125" style="17" customWidth="1"/>
    <col min="10756" max="10756" width="10.5703125" style="17" customWidth="1"/>
    <col min="10757" max="10757" width="9.5703125" style="17" customWidth="1"/>
    <col min="10758" max="10758" width="13.42578125" style="17" bestFit="1" customWidth="1"/>
    <col min="10759" max="10759" width="7.5703125" style="17" customWidth="1"/>
    <col min="10760" max="10760" width="11.42578125" style="17"/>
    <col min="10761" max="10761" width="13.42578125" style="17" bestFit="1" customWidth="1"/>
    <col min="10762" max="10998" width="11.42578125" style="17"/>
    <col min="10999" max="10999" width="0.42578125" style="17" customWidth="1"/>
    <col min="11000" max="11000" width="2.5703125" style="17" customWidth="1"/>
    <col min="11001" max="11001" width="15.42578125" style="17" customWidth="1"/>
    <col min="11002" max="11002" width="1.42578125" style="17" customWidth="1"/>
    <col min="11003" max="11003" width="27.5703125" style="17" customWidth="1"/>
    <col min="11004" max="11004" width="6.5703125" style="17" customWidth="1"/>
    <col min="11005" max="11005" width="1.5703125" style="17" customWidth="1"/>
    <col min="11006" max="11006" width="10.5703125" style="17" customWidth="1"/>
    <col min="11007" max="11007" width="5.5703125" style="17" customWidth="1"/>
    <col min="11008" max="11008" width="1.5703125" style="17" customWidth="1"/>
    <col min="11009" max="11009" width="10.5703125" style="17" customWidth="1"/>
    <col min="11010" max="11010" width="6.5703125" style="17" customWidth="1"/>
    <col min="11011" max="11011" width="1.5703125" style="17" customWidth="1"/>
    <col min="11012" max="11012" width="10.5703125" style="17" customWidth="1"/>
    <col min="11013" max="11013" width="9.5703125" style="17" customWidth="1"/>
    <col min="11014" max="11014" width="13.42578125" style="17" bestFit="1" customWidth="1"/>
    <col min="11015" max="11015" width="7.5703125" style="17" customWidth="1"/>
    <col min="11016" max="11016" width="11.42578125" style="17"/>
    <col min="11017" max="11017" width="13.42578125" style="17" bestFit="1" customWidth="1"/>
    <col min="11018" max="11254" width="11.42578125" style="17"/>
    <col min="11255" max="11255" width="0.42578125" style="17" customWidth="1"/>
    <col min="11256" max="11256" width="2.5703125" style="17" customWidth="1"/>
    <col min="11257" max="11257" width="15.42578125" style="17" customWidth="1"/>
    <col min="11258" max="11258" width="1.42578125" style="17" customWidth="1"/>
    <col min="11259" max="11259" width="27.5703125" style="17" customWidth="1"/>
    <col min="11260" max="11260" width="6.5703125" style="17" customWidth="1"/>
    <col min="11261" max="11261" width="1.5703125" style="17" customWidth="1"/>
    <col min="11262" max="11262" width="10.5703125" style="17" customWidth="1"/>
    <col min="11263" max="11263" width="5.5703125" style="17" customWidth="1"/>
    <col min="11264" max="11264" width="1.5703125" style="17" customWidth="1"/>
    <col min="11265" max="11265" width="10.5703125" style="17" customWidth="1"/>
    <col min="11266" max="11266" width="6.5703125" style="17" customWidth="1"/>
    <col min="11267" max="11267" width="1.5703125" style="17" customWidth="1"/>
    <col min="11268" max="11268" width="10.5703125" style="17" customWidth="1"/>
    <col min="11269" max="11269" width="9.5703125" style="17" customWidth="1"/>
    <col min="11270" max="11270" width="13.42578125" style="17" bestFit="1" customWidth="1"/>
    <col min="11271" max="11271" width="7.5703125" style="17" customWidth="1"/>
    <col min="11272" max="11272" width="11.42578125" style="17"/>
    <col min="11273" max="11273" width="13.42578125" style="17" bestFit="1" customWidth="1"/>
    <col min="11274" max="11510" width="11.42578125" style="17"/>
    <col min="11511" max="11511" width="0.42578125" style="17" customWidth="1"/>
    <col min="11512" max="11512" width="2.5703125" style="17" customWidth="1"/>
    <col min="11513" max="11513" width="15.42578125" style="17" customWidth="1"/>
    <col min="11514" max="11514" width="1.42578125" style="17" customWidth="1"/>
    <col min="11515" max="11515" width="27.5703125" style="17" customWidth="1"/>
    <col min="11516" max="11516" width="6.5703125" style="17" customWidth="1"/>
    <col min="11517" max="11517" width="1.5703125" style="17" customWidth="1"/>
    <col min="11518" max="11518" width="10.5703125" style="17" customWidth="1"/>
    <col min="11519" max="11519" width="5.5703125" style="17" customWidth="1"/>
    <col min="11520" max="11520" width="1.5703125" style="17" customWidth="1"/>
    <col min="11521" max="11521" width="10.5703125" style="17" customWidth="1"/>
    <col min="11522" max="11522" width="6.5703125" style="17" customWidth="1"/>
    <col min="11523" max="11523" width="1.5703125" style="17" customWidth="1"/>
    <col min="11524" max="11524" width="10.5703125" style="17" customWidth="1"/>
    <col min="11525" max="11525" width="9.5703125" style="17" customWidth="1"/>
    <col min="11526" max="11526" width="13.42578125" style="17" bestFit="1" customWidth="1"/>
    <col min="11527" max="11527" width="7.5703125" style="17" customWidth="1"/>
    <col min="11528" max="11528" width="11.42578125" style="17"/>
    <col min="11529" max="11529" width="13.42578125" style="17" bestFit="1" customWidth="1"/>
    <col min="11530" max="11766" width="11.42578125" style="17"/>
    <col min="11767" max="11767" width="0.42578125" style="17" customWidth="1"/>
    <col min="11768" max="11768" width="2.5703125" style="17" customWidth="1"/>
    <col min="11769" max="11769" width="15.42578125" style="17" customWidth="1"/>
    <col min="11770" max="11770" width="1.42578125" style="17" customWidth="1"/>
    <col min="11771" max="11771" width="27.5703125" style="17" customWidth="1"/>
    <col min="11772" max="11772" width="6.5703125" style="17" customWidth="1"/>
    <col min="11773" max="11773" width="1.5703125" style="17" customWidth="1"/>
    <col min="11774" max="11774" width="10.5703125" style="17" customWidth="1"/>
    <col min="11775" max="11775" width="5.5703125" style="17" customWidth="1"/>
    <col min="11776" max="11776" width="1.5703125" style="17" customWidth="1"/>
    <col min="11777" max="11777" width="10.5703125" style="17" customWidth="1"/>
    <col min="11778" max="11778" width="6.5703125" style="17" customWidth="1"/>
    <col min="11779" max="11779" width="1.5703125" style="17" customWidth="1"/>
    <col min="11780" max="11780" width="10.5703125" style="17" customWidth="1"/>
    <col min="11781" max="11781" width="9.5703125" style="17" customWidth="1"/>
    <col min="11782" max="11782" width="13.42578125" style="17" bestFit="1" customWidth="1"/>
    <col min="11783" max="11783" width="7.5703125" style="17" customWidth="1"/>
    <col min="11784" max="11784" width="11.42578125" style="17"/>
    <col min="11785" max="11785" width="13.42578125" style="17" bestFit="1" customWidth="1"/>
    <col min="11786" max="12022" width="11.42578125" style="17"/>
    <col min="12023" max="12023" width="0.42578125" style="17" customWidth="1"/>
    <col min="12024" max="12024" width="2.5703125" style="17" customWidth="1"/>
    <col min="12025" max="12025" width="15.42578125" style="17" customWidth="1"/>
    <col min="12026" max="12026" width="1.42578125" style="17" customWidth="1"/>
    <col min="12027" max="12027" width="27.5703125" style="17" customWidth="1"/>
    <col min="12028" max="12028" width="6.5703125" style="17" customWidth="1"/>
    <col min="12029" max="12029" width="1.5703125" style="17" customWidth="1"/>
    <col min="12030" max="12030" width="10.5703125" style="17" customWidth="1"/>
    <col min="12031" max="12031" width="5.5703125" style="17" customWidth="1"/>
    <col min="12032" max="12032" width="1.5703125" style="17" customWidth="1"/>
    <col min="12033" max="12033" width="10.5703125" style="17" customWidth="1"/>
    <col min="12034" max="12034" width="6.5703125" style="17" customWidth="1"/>
    <col min="12035" max="12035" width="1.5703125" style="17" customWidth="1"/>
    <col min="12036" max="12036" width="10.5703125" style="17" customWidth="1"/>
    <col min="12037" max="12037" width="9.5703125" style="17" customWidth="1"/>
    <col min="12038" max="12038" width="13.42578125" style="17" bestFit="1" customWidth="1"/>
    <col min="12039" max="12039" width="7.5703125" style="17" customWidth="1"/>
    <col min="12040" max="12040" width="11.42578125" style="17"/>
    <col min="12041" max="12041" width="13.42578125" style="17" bestFit="1" customWidth="1"/>
    <col min="12042" max="12278" width="11.42578125" style="17"/>
    <col min="12279" max="12279" width="0.42578125" style="17" customWidth="1"/>
    <col min="12280" max="12280" width="2.5703125" style="17" customWidth="1"/>
    <col min="12281" max="12281" width="15.42578125" style="17" customWidth="1"/>
    <col min="12282" max="12282" width="1.42578125" style="17" customWidth="1"/>
    <col min="12283" max="12283" width="27.5703125" style="17" customWidth="1"/>
    <col min="12284" max="12284" width="6.5703125" style="17" customWidth="1"/>
    <col min="12285" max="12285" width="1.5703125" style="17" customWidth="1"/>
    <col min="12286" max="12286" width="10.5703125" style="17" customWidth="1"/>
    <col min="12287" max="12287" width="5.5703125" style="17" customWidth="1"/>
    <col min="12288" max="12288" width="1.5703125" style="17" customWidth="1"/>
    <col min="12289" max="12289" width="10.5703125" style="17" customWidth="1"/>
    <col min="12290" max="12290" width="6.5703125" style="17" customWidth="1"/>
    <col min="12291" max="12291" width="1.5703125" style="17" customWidth="1"/>
    <col min="12292" max="12292" width="10.5703125" style="17" customWidth="1"/>
    <col min="12293" max="12293" width="9.5703125" style="17" customWidth="1"/>
    <col min="12294" max="12294" width="13.42578125" style="17" bestFit="1" customWidth="1"/>
    <col min="12295" max="12295" width="7.5703125" style="17" customWidth="1"/>
    <col min="12296" max="12296" width="11.42578125" style="17"/>
    <col min="12297" max="12297" width="13.42578125" style="17" bestFit="1" customWidth="1"/>
    <col min="12298" max="12534" width="11.42578125" style="17"/>
    <col min="12535" max="12535" width="0.42578125" style="17" customWidth="1"/>
    <col min="12536" max="12536" width="2.5703125" style="17" customWidth="1"/>
    <col min="12537" max="12537" width="15.42578125" style="17" customWidth="1"/>
    <col min="12538" max="12538" width="1.42578125" style="17" customWidth="1"/>
    <col min="12539" max="12539" width="27.5703125" style="17" customWidth="1"/>
    <col min="12540" max="12540" width="6.5703125" style="17" customWidth="1"/>
    <col min="12541" max="12541" width="1.5703125" style="17" customWidth="1"/>
    <col min="12542" max="12542" width="10.5703125" style="17" customWidth="1"/>
    <col min="12543" max="12543" width="5.5703125" style="17" customWidth="1"/>
    <col min="12544" max="12544" width="1.5703125" style="17" customWidth="1"/>
    <col min="12545" max="12545" width="10.5703125" style="17" customWidth="1"/>
    <col min="12546" max="12546" width="6.5703125" style="17" customWidth="1"/>
    <col min="12547" max="12547" width="1.5703125" style="17" customWidth="1"/>
    <col min="12548" max="12548" width="10.5703125" style="17" customWidth="1"/>
    <col min="12549" max="12549" width="9.5703125" style="17" customWidth="1"/>
    <col min="12550" max="12550" width="13.42578125" style="17" bestFit="1" customWidth="1"/>
    <col min="12551" max="12551" width="7.5703125" style="17" customWidth="1"/>
    <col min="12552" max="12552" width="11.42578125" style="17"/>
    <col min="12553" max="12553" width="13.42578125" style="17" bestFit="1" customWidth="1"/>
    <col min="12554" max="12790" width="11.42578125" style="17"/>
    <col min="12791" max="12791" width="0.42578125" style="17" customWidth="1"/>
    <col min="12792" max="12792" width="2.5703125" style="17" customWidth="1"/>
    <col min="12793" max="12793" width="15.42578125" style="17" customWidth="1"/>
    <col min="12794" max="12794" width="1.42578125" style="17" customWidth="1"/>
    <col min="12795" max="12795" width="27.5703125" style="17" customWidth="1"/>
    <col min="12796" max="12796" width="6.5703125" style="17" customWidth="1"/>
    <col min="12797" max="12797" width="1.5703125" style="17" customWidth="1"/>
    <col min="12798" max="12798" width="10.5703125" style="17" customWidth="1"/>
    <col min="12799" max="12799" width="5.5703125" style="17" customWidth="1"/>
    <col min="12800" max="12800" width="1.5703125" style="17" customWidth="1"/>
    <col min="12801" max="12801" width="10.5703125" style="17" customWidth="1"/>
    <col min="12802" max="12802" width="6.5703125" style="17" customWidth="1"/>
    <col min="12803" max="12803" width="1.5703125" style="17" customWidth="1"/>
    <col min="12804" max="12804" width="10.5703125" style="17" customWidth="1"/>
    <col min="12805" max="12805" width="9.5703125" style="17" customWidth="1"/>
    <col min="12806" max="12806" width="13.42578125" style="17" bestFit="1" customWidth="1"/>
    <col min="12807" max="12807" width="7.5703125" style="17" customWidth="1"/>
    <col min="12808" max="12808" width="11.42578125" style="17"/>
    <col min="12809" max="12809" width="13.42578125" style="17" bestFit="1" customWidth="1"/>
    <col min="12810" max="13046" width="11.42578125" style="17"/>
    <col min="13047" max="13047" width="0.42578125" style="17" customWidth="1"/>
    <col min="13048" max="13048" width="2.5703125" style="17" customWidth="1"/>
    <col min="13049" max="13049" width="15.42578125" style="17" customWidth="1"/>
    <col min="13050" max="13050" width="1.42578125" style="17" customWidth="1"/>
    <col min="13051" max="13051" width="27.5703125" style="17" customWidth="1"/>
    <col min="13052" max="13052" width="6.5703125" style="17" customWidth="1"/>
    <col min="13053" max="13053" width="1.5703125" style="17" customWidth="1"/>
    <col min="13054" max="13054" width="10.5703125" style="17" customWidth="1"/>
    <col min="13055" max="13055" width="5.5703125" style="17" customWidth="1"/>
    <col min="13056" max="13056" width="1.5703125" style="17" customWidth="1"/>
    <col min="13057" max="13057" width="10.5703125" style="17" customWidth="1"/>
    <col min="13058" max="13058" width="6.5703125" style="17" customWidth="1"/>
    <col min="13059" max="13059" width="1.5703125" style="17" customWidth="1"/>
    <col min="13060" max="13060" width="10.5703125" style="17" customWidth="1"/>
    <col min="13061" max="13061" width="9.5703125" style="17" customWidth="1"/>
    <col min="13062" max="13062" width="13.42578125" style="17" bestFit="1" customWidth="1"/>
    <col min="13063" max="13063" width="7.5703125" style="17" customWidth="1"/>
    <col min="13064" max="13064" width="11.42578125" style="17"/>
    <col min="13065" max="13065" width="13.42578125" style="17" bestFit="1" customWidth="1"/>
    <col min="13066" max="13302" width="11.42578125" style="17"/>
    <col min="13303" max="13303" width="0.42578125" style="17" customWidth="1"/>
    <col min="13304" max="13304" width="2.5703125" style="17" customWidth="1"/>
    <col min="13305" max="13305" width="15.42578125" style="17" customWidth="1"/>
    <col min="13306" max="13306" width="1.42578125" style="17" customWidth="1"/>
    <col min="13307" max="13307" width="27.5703125" style="17" customWidth="1"/>
    <col min="13308" max="13308" width="6.5703125" style="17" customWidth="1"/>
    <col min="13309" max="13309" width="1.5703125" style="17" customWidth="1"/>
    <col min="13310" max="13310" width="10.5703125" style="17" customWidth="1"/>
    <col min="13311" max="13311" width="5.5703125" style="17" customWidth="1"/>
    <col min="13312" max="13312" width="1.5703125" style="17" customWidth="1"/>
    <col min="13313" max="13313" width="10.5703125" style="17" customWidth="1"/>
    <col min="13314" max="13314" width="6.5703125" style="17" customWidth="1"/>
    <col min="13315" max="13315" width="1.5703125" style="17" customWidth="1"/>
    <col min="13316" max="13316" width="10.5703125" style="17" customWidth="1"/>
    <col min="13317" max="13317" width="9.5703125" style="17" customWidth="1"/>
    <col min="13318" max="13318" width="13.42578125" style="17" bestFit="1" customWidth="1"/>
    <col min="13319" max="13319" width="7.5703125" style="17" customWidth="1"/>
    <col min="13320" max="13320" width="11.42578125" style="17"/>
    <col min="13321" max="13321" width="13.42578125" style="17" bestFit="1" customWidth="1"/>
    <col min="13322" max="13558" width="11.42578125" style="17"/>
    <col min="13559" max="13559" width="0.42578125" style="17" customWidth="1"/>
    <col min="13560" max="13560" width="2.5703125" style="17" customWidth="1"/>
    <col min="13561" max="13561" width="15.42578125" style="17" customWidth="1"/>
    <col min="13562" max="13562" width="1.42578125" style="17" customWidth="1"/>
    <col min="13563" max="13563" width="27.5703125" style="17" customWidth="1"/>
    <col min="13564" max="13564" width="6.5703125" style="17" customWidth="1"/>
    <col min="13565" max="13565" width="1.5703125" style="17" customWidth="1"/>
    <col min="13566" max="13566" width="10.5703125" style="17" customWidth="1"/>
    <col min="13567" max="13567" width="5.5703125" style="17" customWidth="1"/>
    <col min="13568" max="13568" width="1.5703125" style="17" customWidth="1"/>
    <col min="13569" max="13569" width="10.5703125" style="17" customWidth="1"/>
    <col min="13570" max="13570" width="6.5703125" style="17" customWidth="1"/>
    <col min="13571" max="13571" width="1.5703125" style="17" customWidth="1"/>
    <col min="13572" max="13572" width="10.5703125" style="17" customWidth="1"/>
    <col min="13573" max="13573" width="9.5703125" style="17" customWidth="1"/>
    <col min="13574" max="13574" width="13.42578125" style="17" bestFit="1" customWidth="1"/>
    <col min="13575" max="13575" width="7.5703125" style="17" customWidth="1"/>
    <col min="13576" max="13576" width="11.42578125" style="17"/>
    <col min="13577" max="13577" width="13.42578125" style="17" bestFit="1" customWidth="1"/>
    <col min="13578" max="13814" width="11.42578125" style="17"/>
    <col min="13815" max="13815" width="0.42578125" style="17" customWidth="1"/>
    <col min="13816" max="13816" width="2.5703125" style="17" customWidth="1"/>
    <col min="13817" max="13817" width="15.42578125" style="17" customWidth="1"/>
    <col min="13818" max="13818" width="1.42578125" style="17" customWidth="1"/>
    <col min="13819" max="13819" width="27.5703125" style="17" customWidth="1"/>
    <col min="13820" max="13820" width="6.5703125" style="17" customWidth="1"/>
    <col min="13821" max="13821" width="1.5703125" style="17" customWidth="1"/>
    <col min="13822" max="13822" width="10.5703125" style="17" customWidth="1"/>
    <col min="13823" max="13823" width="5.5703125" style="17" customWidth="1"/>
    <col min="13824" max="13824" width="1.5703125" style="17" customWidth="1"/>
    <col min="13825" max="13825" width="10.5703125" style="17" customWidth="1"/>
    <col min="13826" max="13826" width="6.5703125" style="17" customWidth="1"/>
    <col min="13827" max="13827" width="1.5703125" style="17" customWidth="1"/>
    <col min="13828" max="13828" width="10.5703125" style="17" customWidth="1"/>
    <col min="13829" max="13829" width="9.5703125" style="17" customWidth="1"/>
    <col min="13830" max="13830" width="13.42578125" style="17" bestFit="1" customWidth="1"/>
    <col min="13831" max="13831" width="7.5703125" style="17" customWidth="1"/>
    <col min="13832" max="13832" width="11.42578125" style="17"/>
    <col min="13833" max="13833" width="13.42578125" style="17" bestFit="1" customWidth="1"/>
    <col min="13834" max="14070" width="11.42578125" style="17"/>
    <col min="14071" max="14071" width="0.42578125" style="17" customWidth="1"/>
    <col min="14072" max="14072" width="2.5703125" style="17" customWidth="1"/>
    <col min="14073" max="14073" width="15.42578125" style="17" customWidth="1"/>
    <col min="14074" max="14074" width="1.42578125" style="17" customWidth="1"/>
    <col min="14075" max="14075" width="27.5703125" style="17" customWidth="1"/>
    <col min="14076" max="14076" width="6.5703125" style="17" customWidth="1"/>
    <col min="14077" max="14077" width="1.5703125" style="17" customWidth="1"/>
    <col min="14078" max="14078" width="10.5703125" style="17" customWidth="1"/>
    <col min="14079" max="14079" width="5.5703125" style="17" customWidth="1"/>
    <col min="14080" max="14080" width="1.5703125" style="17" customWidth="1"/>
    <col min="14081" max="14081" width="10.5703125" style="17" customWidth="1"/>
    <col min="14082" max="14082" width="6.5703125" style="17" customWidth="1"/>
    <col min="14083" max="14083" width="1.5703125" style="17" customWidth="1"/>
    <col min="14084" max="14084" width="10.5703125" style="17" customWidth="1"/>
    <col min="14085" max="14085" width="9.5703125" style="17" customWidth="1"/>
    <col min="14086" max="14086" width="13.42578125" style="17" bestFit="1" customWidth="1"/>
    <col min="14087" max="14087" width="7.5703125" style="17" customWidth="1"/>
    <col min="14088" max="14088" width="11.42578125" style="17"/>
    <col min="14089" max="14089" width="13.42578125" style="17" bestFit="1" customWidth="1"/>
    <col min="14090" max="14326" width="11.42578125" style="17"/>
    <col min="14327" max="14327" width="0.42578125" style="17" customWidth="1"/>
    <col min="14328" max="14328" width="2.5703125" style="17" customWidth="1"/>
    <col min="14329" max="14329" width="15.42578125" style="17" customWidth="1"/>
    <col min="14330" max="14330" width="1.42578125" style="17" customWidth="1"/>
    <col min="14331" max="14331" width="27.5703125" style="17" customWidth="1"/>
    <col min="14332" max="14332" width="6.5703125" style="17" customWidth="1"/>
    <col min="14333" max="14333" width="1.5703125" style="17" customWidth="1"/>
    <col min="14334" max="14334" width="10.5703125" style="17" customWidth="1"/>
    <col min="14335" max="14335" width="5.5703125" style="17" customWidth="1"/>
    <col min="14336" max="14336" width="1.5703125" style="17" customWidth="1"/>
    <col min="14337" max="14337" width="10.5703125" style="17" customWidth="1"/>
    <col min="14338" max="14338" width="6.5703125" style="17" customWidth="1"/>
    <col min="14339" max="14339" width="1.5703125" style="17" customWidth="1"/>
    <col min="14340" max="14340" width="10.5703125" style="17" customWidth="1"/>
    <col min="14341" max="14341" width="9.5703125" style="17" customWidth="1"/>
    <col min="14342" max="14342" width="13.42578125" style="17" bestFit="1" customWidth="1"/>
    <col min="14343" max="14343" width="7.5703125" style="17" customWidth="1"/>
    <col min="14344" max="14344" width="11.42578125" style="17"/>
    <col min="14345" max="14345" width="13.42578125" style="17" bestFit="1" customWidth="1"/>
    <col min="14346" max="14582" width="11.42578125" style="17"/>
    <col min="14583" max="14583" width="0.42578125" style="17" customWidth="1"/>
    <col min="14584" max="14584" width="2.5703125" style="17" customWidth="1"/>
    <col min="14585" max="14585" width="15.42578125" style="17" customWidth="1"/>
    <col min="14586" max="14586" width="1.42578125" style="17" customWidth="1"/>
    <col min="14587" max="14587" width="27.5703125" style="17" customWidth="1"/>
    <col min="14588" max="14588" width="6.5703125" style="17" customWidth="1"/>
    <col min="14589" max="14589" width="1.5703125" style="17" customWidth="1"/>
    <col min="14590" max="14590" width="10.5703125" style="17" customWidth="1"/>
    <col min="14591" max="14591" width="5.5703125" style="17" customWidth="1"/>
    <col min="14592" max="14592" width="1.5703125" style="17" customWidth="1"/>
    <col min="14593" max="14593" width="10.5703125" style="17" customWidth="1"/>
    <col min="14594" max="14594" width="6.5703125" style="17" customWidth="1"/>
    <col min="14595" max="14595" width="1.5703125" style="17" customWidth="1"/>
    <col min="14596" max="14596" width="10.5703125" style="17" customWidth="1"/>
    <col min="14597" max="14597" width="9.5703125" style="17" customWidth="1"/>
    <col min="14598" max="14598" width="13.42578125" style="17" bestFit="1" customWidth="1"/>
    <col min="14599" max="14599" width="7.5703125" style="17" customWidth="1"/>
    <col min="14600" max="14600" width="11.42578125" style="17"/>
    <col min="14601" max="14601" width="13.42578125" style="17" bestFit="1" customWidth="1"/>
    <col min="14602" max="14838" width="11.42578125" style="17"/>
    <col min="14839" max="14839" width="0.42578125" style="17" customWidth="1"/>
    <col min="14840" max="14840" width="2.5703125" style="17" customWidth="1"/>
    <col min="14841" max="14841" width="15.42578125" style="17" customWidth="1"/>
    <col min="14842" max="14842" width="1.42578125" style="17" customWidth="1"/>
    <col min="14843" max="14843" width="27.5703125" style="17" customWidth="1"/>
    <col min="14844" max="14844" width="6.5703125" style="17" customWidth="1"/>
    <col min="14845" max="14845" width="1.5703125" style="17" customWidth="1"/>
    <col min="14846" max="14846" width="10.5703125" style="17" customWidth="1"/>
    <col min="14847" max="14847" width="5.5703125" style="17" customWidth="1"/>
    <col min="14848" max="14848" width="1.5703125" style="17" customWidth="1"/>
    <col min="14849" max="14849" width="10.5703125" style="17" customWidth="1"/>
    <col min="14850" max="14850" width="6.5703125" style="17" customWidth="1"/>
    <col min="14851" max="14851" width="1.5703125" style="17" customWidth="1"/>
    <col min="14852" max="14852" width="10.5703125" style="17" customWidth="1"/>
    <col min="14853" max="14853" width="9.5703125" style="17" customWidth="1"/>
    <col min="14854" max="14854" width="13.42578125" style="17" bestFit="1" customWidth="1"/>
    <col min="14855" max="14855" width="7.5703125" style="17" customWidth="1"/>
    <col min="14856" max="14856" width="11.42578125" style="17"/>
    <col min="14857" max="14857" width="13.42578125" style="17" bestFit="1" customWidth="1"/>
    <col min="14858" max="15094" width="11.42578125" style="17"/>
    <col min="15095" max="15095" width="0.42578125" style="17" customWidth="1"/>
    <col min="15096" max="15096" width="2.5703125" style="17" customWidth="1"/>
    <col min="15097" max="15097" width="15.42578125" style="17" customWidth="1"/>
    <col min="15098" max="15098" width="1.42578125" style="17" customWidth="1"/>
    <col min="15099" max="15099" width="27.5703125" style="17" customWidth="1"/>
    <col min="15100" max="15100" width="6.5703125" style="17" customWidth="1"/>
    <col min="15101" max="15101" width="1.5703125" style="17" customWidth="1"/>
    <col min="15102" max="15102" width="10.5703125" style="17" customWidth="1"/>
    <col min="15103" max="15103" width="5.5703125" style="17" customWidth="1"/>
    <col min="15104" max="15104" width="1.5703125" style="17" customWidth="1"/>
    <col min="15105" max="15105" width="10.5703125" style="17" customWidth="1"/>
    <col min="15106" max="15106" width="6.5703125" style="17" customWidth="1"/>
    <col min="15107" max="15107" width="1.5703125" style="17" customWidth="1"/>
    <col min="15108" max="15108" width="10.5703125" style="17" customWidth="1"/>
    <col min="15109" max="15109" width="9.5703125" style="17" customWidth="1"/>
    <col min="15110" max="15110" width="13.42578125" style="17" bestFit="1" customWidth="1"/>
    <col min="15111" max="15111" width="7.5703125" style="17" customWidth="1"/>
    <col min="15112" max="15112" width="11.42578125" style="17"/>
    <col min="15113" max="15113" width="13.42578125" style="17" bestFit="1" customWidth="1"/>
    <col min="15114" max="15350" width="11.42578125" style="17"/>
    <col min="15351" max="15351" width="0.42578125" style="17" customWidth="1"/>
    <col min="15352" max="15352" width="2.5703125" style="17" customWidth="1"/>
    <col min="15353" max="15353" width="15.42578125" style="17" customWidth="1"/>
    <col min="15354" max="15354" width="1.42578125" style="17" customWidth="1"/>
    <col min="15355" max="15355" width="27.5703125" style="17" customWidth="1"/>
    <col min="15356" max="15356" width="6.5703125" style="17" customWidth="1"/>
    <col min="15357" max="15357" width="1.5703125" style="17" customWidth="1"/>
    <col min="15358" max="15358" width="10.5703125" style="17" customWidth="1"/>
    <col min="15359" max="15359" width="5.5703125" style="17" customWidth="1"/>
    <col min="15360" max="15360" width="1.5703125" style="17" customWidth="1"/>
    <col min="15361" max="15361" width="10.5703125" style="17" customWidth="1"/>
    <col min="15362" max="15362" width="6.5703125" style="17" customWidth="1"/>
    <col min="15363" max="15363" width="1.5703125" style="17" customWidth="1"/>
    <col min="15364" max="15364" width="10.5703125" style="17" customWidth="1"/>
    <col min="15365" max="15365" width="9.5703125" style="17" customWidth="1"/>
    <col min="15366" max="15366" width="13.42578125" style="17" bestFit="1" customWidth="1"/>
    <col min="15367" max="15367" width="7.5703125" style="17" customWidth="1"/>
    <col min="15368" max="15368" width="11.42578125" style="17"/>
    <col min="15369" max="15369" width="13.42578125" style="17" bestFit="1" customWidth="1"/>
    <col min="15370" max="15606" width="11.42578125" style="17"/>
    <col min="15607" max="15607" width="0.42578125" style="17" customWidth="1"/>
    <col min="15608" max="15608" width="2.5703125" style="17" customWidth="1"/>
    <col min="15609" max="15609" width="15.42578125" style="17" customWidth="1"/>
    <col min="15610" max="15610" width="1.42578125" style="17" customWidth="1"/>
    <col min="15611" max="15611" width="27.5703125" style="17" customWidth="1"/>
    <col min="15612" max="15612" width="6.5703125" style="17" customWidth="1"/>
    <col min="15613" max="15613" width="1.5703125" style="17" customWidth="1"/>
    <col min="15614" max="15614" width="10.5703125" style="17" customWidth="1"/>
    <col min="15615" max="15615" width="5.5703125" style="17" customWidth="1"/>
    <col min="15616" max="15616" width="1.5703125" style="17" customWidth="1"/>
    <col min="15617" max="15617" width="10.5703125" style="17" customWidth="1"/>
    <col min="15618" max="15618" width="6.5703125" style="17" customWidth="1"/>
    <col min="15619" max="15619" width="1.5703125" style="17" customWidth="1"/>
    <col min="15620" max="15620" width="10.5703125" style="17" customWidth="1"/>
    <col min="15621" max="15621" width="9.5703125" style="17" customWidth="1"/>
    <col min="15622" max="15622" width="13.42578125" style="17" bestFit="1" customWidth="1"/>
    <col min="15623" max="15623" width="7.5703125" style="17" customWidth="1"/>
    <col min="15624" max="15624" width="11.42578125" style="17"/>
    <col min="15625" max="15625" width="13.42578125" style="17" bestFit="1" customWidth="1"/>
    <col min="15626" max="15862" width="11.42578125" style="17"/>
    <col min="15863" max="15863" width="0.42578125" style="17" customWidth="1"/>
    <col min="15864" max="15864" width="2.5703125" style="17" customWidth="1"/>
    <col min="15865" max="15865" width="15.42578125" style="17" customWidth="1"/>
    <col min="15866" max="15866" width="1.42578125" style="17" customWidth="1"/>
    <col min="15867" max="15867" width="27.5703125" style="17" customWidth="1"/>
    <col min="15868" max="15868" width="6.5703125" style="17" customWidth="1"/>
    <col min="15869" max="15869" width="1.5703125" style="17" customWidth="1"/>
    <col min="15870" max="15870" width="10.5703125" style="17" customWidth="1"/>
    <col min="15871" max="15871" width="5.5703125" style="17" customWidth="1"/>
    <col min="15872" max="15872" width="1.5703125" style="17" customWidth="1"/>
    <col min="15873" max="15873" width="10.5703125" style="17" customWidth="1"/>
    <col min="15874" max="15874" width="6.5703125" style="17" customWidth="1"/>
    <col min="15875" max="15875" width="1.5703125" style="17" customWidth="1"/>
    <col min="15876" max="15876" width="10.5703125" style="17" customWidth="1"/>
    <col min="15877" max="15877" width="9.5703125" style="17" customWidth="1"/>
    <col min="15878" max="15878" width="13.42578125" style="17" bestFit="1" customWidth="1"/>
    <col min="15879" max="15879" width="7.5703125" style="17" customWidth="1"/>
    <col min="15880" max="15880" width="11.42578125" style="17"/>
    <col min="15881" max="15881" width="13.42578125" style="17" bestFit="1" customWidth="1"/>
    <col min="15882" max="16118" width="11.42578125" style="17"/>
    <col min="16119" max="16119" width="0.42578125" style="17" customWidth="1"/>
    <col min="16120" max="16120" width="2.5703125" style="17" customWidth="1"/>
    <col min="16121" max="16121" width="15.42578125" style="17" customWidth="1"/>
    <col min="16122" max="16122" width="1.42578125" style="17" customWidth="1"/>
    <col min="16123" max="16123" width="27.5703125" style="17" customWidth="1"/>
    <col min="16124" max="16124" width="6.5703125" style="17" customWidth="1"/>
    <col min="16125" max="16125" width="1.5703125" style="17" customWidth="1"/>
    <col min="16126" max="16126" width="10.5703125" style="17" customWidth="1"/>
    <col min="16127" max="16127" width="5.5703125" style="17" customWidth="1"/>
    <col min="16128" max="16128" width="1.5703125" style="17" customWidth="1"/>
    <col min="16129" max="16129" width="10.5703125" style="17" customWidth="1"/>
    <col min="16130" max="16130" width="6.5703125" style="17" customWidth="1"/>
    <col min="16131" max="16131" width="1.5703125" style="17" customWidth="1"/>
    <col min="16132" max="16132" width="10.5703125" style="17" customWidth="1"/>
    <col min="16133" max="16133" width="9.5703125" style="17" customWidth="1"/>
    <col min="16134" max="16134" width="13.42578125" style="17" bestFit="1" customWidth="1"/>
    <col min="16135" max="16135" width="7.5703125" style="17" customWidth="1"/>
    <col min="16136" max="16136" width="11.42578125" style="17"/>
    <col min="16137" max="16137" width="13.42578125" style="17" bestFit="1" customWidth="1"/>
    <col min="16138" max="16384" width="11.42578125" style="17"/>
  </cols>
  <sheetData>
    <row r="1" spans="1:19" s="5" customFormat="1" ht="0.75" customHeight="1"/>
    <row r="2" spans="1:19" s="5" customFormat="1" ht="21" customHeight="1">
      <c r="E2" s="6"/>
      <c r="K2" s="100" t="s">
        <v>1</v>
      </c>
    </row>
    <row r="3" spans="1:19" s="5" customFormat="1" ht="15" customHeight="1">
      <c r="E3" s="24"/>
      <c r="F3" s="24"/>
      <c r="G3" s="24"/>
      <c r="H3" s="24"/>
      <c r="I3" s="24"/>
      <c r="J3" s="24"/>
      <c r="K3" s="101" t="str">
        <f>Indice!E3</f>
        <v>Marzo 2024</v>
      </c>
    </row>
    <row r="4" spans="1:19" s="7" customFormat="1" ht="20.25" customHeight="1">
      <c r="B4" s="8"/>
      <c r="C4" s="99" t="s">
        <v>67</v>
      </c>
      <c r="L4" s="9"/>
    </row>
    <row r="5" spans="1:19" s="7" customFormat="1" ht="12.75" customHeight="1">
      <c r="B5" s="8"/>
      <c r="C5" s="10"/>
      <c r="L5" s="9"/>
    </row>
    <row r="6" spans="1:19" s="7" customFormat="1" ht="13.5" customHeight="1">
      <c r="B6" s="8"/>
      <c r="C6" s="11"/>
      <c r="D6" s="12"/>
      <c r="E6" s="12"/>
      <c r="L6" s="9"/>
    </row>
    <row r="7" spans="1:19" s="7" customFormat="1" ht="12.75" customHeight="1">
      <c r="B7" s="8"/>
      <c r="C7" s="307" t="s">
        <v>63</v>
      </c>
      <c r="D7" s="12"/>
      <c r="E7" s="13"/>
      <c r="F7" s="308" t="str">
        <f>K3</f>
        <v>Marzo 2024</v>
      </c>
      <c r="G7" s="309"/>
      <c r="H7" s="310" t="s">
        <v>64</v>
      </c>
      <c r="I7" s="310"/>
      <c r="J7" s="310" t="s">
        <v>71</v>
      </c>
      <c r="K7" s="310"/>
      <c r="L7" s="9"/>
    </row>
    <row r="8" spans="1:19" ht="12.75" customHeight="1">
      <c r="A8" s="7"/>
      <c r="B8" s="8"/>
      <c r="C8" s="307"/>
      <c r="D8" s="12"/>
      <c r="E8" s="14"/>
      <c r="F8" s="15" t="s">
        <v>0</v>
      </c>
      <c r="G8" s="25" t="str">
        <f>CONCATENATE("% ",MID(YEAR(F7),3,2),"/",MID(YEAR(F7)-1,3,2))</f>
        <v>% 24/23</v>
      </c>
      <c r="H8" s="15" t="s">
        <v>0</v>
      </c>
      <c r="I8" s="25" t="str">
        <f>G8</f>
        <v>% 24/23</v>
      </c>
      <c r="J8" s="15" t="s">
        <v>0</v>
      </c>
      <c r="K8" s="25" t="str">
        <f>G8</f>
        <v>% 24/23</v>
      </c>
      <c r="L8" s="16"/>
    </row>
    <row r="9" spans="1:19">
      <c r="A9" s="7"/>
      <c r="B9" s="8"/>
      <c r="C9" s="18"/>
      <c r="D9" s="12"/>
      <c r="E9" s="87" t="s">
        <v>2</v>
      </c>
      <c r="F9" s="88">
        <f>VLOOKUP("Hidráulica",Dat_01!$A$8:$J$29,2,FALSE)/1000</f>
        <v>4622.0192777359998</v>
      </c>
      <c r="G9" s="89">
        <f>VLOOKUP("Hidráulica",Dat_01!$A$8:$J$29,4,FALSE)*100</f>
        <v>126.21524741</v>
      </c>
      <c r="H9" s="88">
        <f>VLOOKUP("Hidráulica",Dat_01!$A$8:$J$29,5,FALSE)/1000</f>
        <v>11499.557584988999</v>
      </c>
      <c r="I9" s="89">
        <f>VLOOKUP("Hidráulica",Dat_01!$A$8:$J$29,7,FALSE)*100</f>
        <v>37.476194149999998</v>
      </c>
      <c r="J9" s="88">
        <f>VLOOKUP("Hidráulica",Dat_01!$A$8:$J$29,8,FALSE)/1000</f>
        <v>28404.184717115</v>
      </c>
      <c r="K9" s="89">
        <f>VLOOKUP("Hidráulica",Dat_01!$A$8:$J$29,10,FALSE)*100</f>
        <v>33.748696320000001</v>
      </c>
      <c r="L9" s="19"/>
      <c r="M9" s="171"/>
      <c r="N9" s="171"/>
      <c r="O9" s="172"/>
      <c r="P9" s="171"/>
      <c r="Q9" s="172"/>
      <c r="R9" s="171"/>
      <c r="S9" s="172"/>
    </row>
    <row r="10" spans="1:19">
      <c r="A10" s="7"/>
      <c r="B10" s="8"/>
      <c r="C10" s="18"/>
      <c r="D10" s="12"/>
      <c r="E10" s="87" t="s">
        <v>5</v>
      </c>
      <c r="F10" s="88">
        <f>VLOOKUP("Eólica",Dat_01!$A$8:$J$29,2,FALSE)/1000</f>
        <v>6037.2126539999999</v>
      </c>
      <c r="G10" s="89">
        <f>VLOOKUP("Eólica",Dat_01!$A$8:$J$29,4,FALSE)*100</f>
        <v>-8.0106786499999991</v>
      </c>
      <c r="H10" s="88">
        <f>VLOOKUP("Eólica",Dat_01!$A$8:$J$29,5,FALSE)/1000</f>
        <v>18511.333263999997</v>
      </c>
      <c r="I10" s="89">
        <f>VLOOKUP("Eólica",Dat_01!$A$8:$J$29,7,FALSE)*100</f>
        <v>-5.2990160000000001E-2</v>
      </c>
      <c r="J10" s="88">
        <f>VLOOKUP("Eólica",Dat_01!$A$8:$J$29,8,FALSE)/1000</f>
        <v>61232.79148</v>
      </c>
      <c r="K10" s="89">
        <f>VLOOKUP("Eólica",Dat_01!$A$8:$J$29,10,FALSE)*100</f>
        <v>-1.14843115</v>
      </c>
      <c r="L10" s="19"/>
      <c r="M10" s="171"/>
      <c r="N10" s="171"/>
      <c r="O10" s="172"/>
      <c r="P10" s="171"/>
      <c r="Q10" s="172"/>
      <c r="R10" s="171"/>
      <c r="S10" s="172"/>
    </row>
    <row r="11" spans="1:19">
      <c r="A11" s="7"/>
      <c r="B11" s="8"/>
      <c r="C11" s="11"/>
      <c r="D11" s="12"/>
      <c r="E11" s="87" t="s">
        <v>6</v>
      </c>
      <c r="F11" s="88">
        <f>VLOOKUP("Solar fotovoltaica",Dat_01!$A$8:$J$29,2,FALSE)/1000</f>
        <v>2983.5408169999996</v>
      </c>
      <c r="G11" s="89">
        <f>VLOOKUP("Solar fotovoltaica",Dat_01!$A$8:$J$29,4,FALSE)*100</f>
        <v>-1.4148561200000001</v>
      </c>
      <c r="H11" s="88">
        <f>VLOOKUP("Solar fotovoltaica",Dat_01!$A$8:$J$29,5,FALSE)/1000</f>
        <v>7388.3533170000001</v>
      </c>
      <c r="I11" s="89">
        <f>VLOOKUP("Solar fotovoltaica",Dat_01!$A$8:$J$29,7,FALSE)*100</f>
        <v>8.0365527100000005</v>
      </c>
      <c r="J11" s="88">
        <f>VLOOKUP("Solar fotovoltaica",Dat_01!$A$8:$J$29,8,FALSE)/1000</f>
        <v>37153.126783</v>
      </c>
      <c r="K11" s="89">
        <f>VLOOKUP("Solar fotovoltaica",Dat_01!$A$8:$J$29,10,FALSE)*100</f>
        <v>25.726991939999998</v>
      </c>
      <c r="L11" s="19"/>
      <c r="M11" s="171"/>
      <c r="N11" s="171"/>
      <c r="O11" s="172"/>
      <c r="P11" s="171"/>
      <c r="Q11" s="172"/>
      <c r="R11" s="171"/>
      <c r="S11" s="172"/>
    </row>
    <row r="12" spans="1:19">
      <c r="A12" s="7"/>
      <c r="B12" s="8"/>
      <c r="C12" s="11"/>
      <c r="D12" s="12"/>
      <c r="E12" s="87" t="s">
        <v>7</v>
      </c>
      <c r="F12" s="88">
        <f>VLOOKUP("Solar térmica",Dat_01!$A$8:$J$29,2,FALSE)/1000</f>
        <v>151.73508200000001</v>
      </c>
      <c r="G12" s="89">
        <f>VLOOKUP("Solar térmica",Dat_01!$A$8:$J$29,4,FALSE)*100</f>
        <v>-62.985992329999995</v>
      </c>
      <c r="H12" s="88">
        <f>VLOOKUP("Solar térmica",Dat_01!$A$8:$J$29,5,FALSE)/1000</f>
        <v>422.39490699999999</v>
      </c>
      <c r="I12" s="89">
        <f>VLOOKUP("Solar térmica",Dat_01!$A$8:$J$29,7,FALSE)*100</f>
        <v>-40.35931248</v>
      </c>
      <c r="J12" s="88">
        <f>VLOOKUP("Solar térmica",Dat_01!$A$8:$J$29,8,FALSE)/1000</f>
        <v>4408.6222750000006</v>
      </c>
      <c r="K12" s="89">
        <f>VLOOKUP("Solar térmica",Dat_01!$A$8:$J$29,10,FALSE)*100</f>
        <v>1.77612667</v>
      </c>
      <c r="L12" s="19"/>
      <c r="M12" s="171"/>
      <c r="N12" s="171"/>
      <c r="O12" s="172"/>
      <c r="P12" s="171"/>
      <c r="Q12" s="172"/>
      <c r="R12" s="171"/>
      <c r="S12" s="172"/>
    </row>
    <row r="13" spans="1:19">
      <c r="A13" s="7"/>
      <c r="B13" s="8"/>
      <c r="C13" s="20"/>
      <c r="D13" s="12"/>
      <c r="E13" s="87" t="s">
        <v>151</v>
      </c>
      <c r="F13" s="88">
        <f>VLOOKUP("Otras renovables",Dat_01!$A$8:$J$29,2,FALSE)/1000</f>
        <v>308.99560499999995</v>
      </c>
      <c r="G13" s="89">
        <f>VLOOKUP("Otras renovables",Dat_01!$A$8:$J$29,4,FALSE)*100</f>
        <v>0.62514700999999995</v>
      </c>
      <c r="H13" s="88">
        <f>VLOOKUP("Otras renovables",Dat_01!$A$8:$J$29,5,FALSE)/1000</f>
        <v>848.30203300000005</v>
      </c>
      <c r="I13" s="89">
        <f>VLOOKUP("Otras renovables",Dat_01!$A$8:$J$29,7,FALSE)*100</f>
        <v>-11.10643728</v>
      </c>
      <c r="J13" s="88">
        <f>VLOOKUP("Otras renovables",Dat_01!$A$8:$J$29,8,FALSE)/1000</f>
        <v>3476.0130060000001</v>
      </c>
      <c r="K13" s="89">
        <f>VLOOKUP("Otras renovables",Dat_01!$A$8:$J$29,10,FALSE)*100</f>
        <v>-20.62401105</v>
      </c>
      <c r="L13" s="19"/>
      <c r="M13" s="171"/>
      <c r="N13" s="171"/>
      <c r="O13" s="172"/>
      <c r="P13" s="171"/>
      <c r="Q13" s="172"/>
      <c r="R13" s="171"/>
      <c r="S13" s="172"/>
    </row>
    <row r="14" spans="1:19" ht="12.75" customHeight="1">
      <c r="A14" s="7"/>
      <c r="B14" s="8"/>
      <c r="C14" s="11"/>
      <c r="D14" s="12"/>
      <c r="E14" s="87" t="s">
        <v>82</v>
      </c>
      <c r="F14" s="88">
        <f>VLOOKUP("Residuos renovables",Dat_01!$A$8:$J$29,2,FALSE)/1000</f>
        <v>40.449704500000003</v>
      </c>
      <c r="G14" s="89">
        <f>VLOOKUP("Residuos renovables",Dat_01!$A$8:$J$29,4,FALSE)*100</f>
        <v>-34.940110689999997</v>
      </c>
      <c r="H14" s="88">
        <f>VLOOKUP("Residuos renovables",Dat_01!$A$8:$J$29,5,FALSE)/1000</f>
        <v>151.68471700000001</v>
      </c>
      <c r="I14" s="89">
        <f>VLOOKUP("Residuos renovables",Dat_01!$A$8:$J$29,7,FALSE)*100</f>
        <v>-17.636071619999999</v>
      </c>
      <c r="J14" s="88">
        <f>VLOOKUP("Residuos renovables",Dat_01!$A$8:$J$29,8,FALSE)/1000</f>
        <v>675.01247149999995</v>
      </c>
      <c r="K14" s="89">
        <f>VLOOKUP("Residuos renovables",Dat_01!$A$8:$J$29,10,FALSE)*100</f>
        <v>-5.6062278299999999</v>
      </c>
      <c r="L14" s="19"/>
      <c r="M14" s="171"/>
      <c r="N14" s="171"/>
      <c r="O14" s="172"/>
      <c r="P14" s="171"/>
      <c r="Q14" s="172"/>
      <c r="R14" s="171"/>
      <c r="S14" s="172"/>
    </row>
    <row r="15" spans="1:19" ht="12.75" customHeight="1">
      <c r="A15" s="7"/>
      <c r="B15" s="8"/>
      <c r="C15" s="11"/>
      <c r="D15" s="12"/>
      <c r="E15" s="90" t="s">
        <v>149</v>
      </c>
      <c r="F15" s="91">
        <f>SUM(F9:F14)</f>
        <v>14143.953140235999</v>
      </c>
      <c r="G15" s="92">
        <f>((SUM(Dat_01!B8,Dat_01!B14:B17,Dat_01!B19)/SUM(Dat_01!C8,Dat_01!C14:C17,Dat_01!C19))-1)*100</f>
        <v>13.956681122055837</v>
      </c>
      <c r="H15" s="91">
        <f>SUM(H9:H14)</f>
        <v>38821.625822988994</v>
      </c>
      <c r="I15" s="92">
        <f>((SUM(Dat_01!E8,Dat_01!E14:E17,Dat_01!E19)/SUM(Dat_01!F8,Dat_01!F14:F17,Dat_01!F19))-1)*100</f>
        <v>9.1373411663630897</v>
      </c>
      <c r="J15" s="91">
        <f>SUM(J9:J14)</f>
        <v>135349.75073261498</v>
      </c>
      <c r="K15" s="92">
        <f>((SUM(Dat_01!H8,Dat_01!H14:H17,Dat_01!H19)/SUM(Dat_01!I8,Dat_01!I14:I17,Dat_01!I19))-1)*100</f>
        <v>10.799144089115353</v>
      </c>
      <c r="L15" s="19"/>
      <c r="M15" s="171"/>
      <c r="N15" s="171"/>
      <c r="O15" s="172"/>
      <c r="P15" s="171"/>
      <c r="Q15" s="172"/>
      <c r="R15" s="171"/>
      <c r="S15" s="172"/>
    </row>
    <row r="16" spans="1:19">
      <c r="A16" s="7"/>
      <c r="B16" s="8"/>
      <c r="C16" s="11"/>
      <c r="D16" s="12"/>
      <c r="E16" s="87" t="s">
        <v>153</v>
      </c>
      <c r="F16" s="88">
        <f>VLOOKUP("Turbinación bombeo",Dat_01!$A$8:$J$29,2,FALSE)/1000</f>
        <v>576.58255640799996</v>
      </c>
      <c r="G16" s="89">
        <f>VLOOKUP("Turbinación bombeo",Dat_01!$A$8:$J$29,4,FALSE)*100</f>
        <v>6.7587720500000001</v>
      </c>
      <c r="H16" s="88">
        <f>VLOOKUP("Turbinación bombeo",Dat_01!$A$8:$J$29,5,FALSE)/1000</f>
        <v>1567.542586755</v>
      </c>
      <c r="I16" s="89">
        <f>VLOOKUP("Turbinación bombeo",Dat_01!$A$8:$J$29,7,FALSE)*100</f>
        <v>16.65446803</v>
      </c>
      <c r="J16" s="88">
        <f>VLOOKUP("Turbinación bombeo",Dat_01!$A$8:$J$29,8,FALSE)/1000</f>
        <v>5419.0909531960006</v>
      </c>
      <c r="K16" s="89">
        <f>VLOOKUP("Turbinación bombeo",Dat_01!$A$8:$J$29,10,FALSE)*100</f>
        <v>24.710609419999997</v>
      </c>
      <c r="L16" s="19"/>
      <c r="M16" s="171"/>
      <c r="N16" s="171"/>
      <c r="O16" s="172"/>
      <c r="P16" s="171"/>
      <c r="Q16" s="172"/>
      <c r="R16" s="171"/>
      <c r="S16" s="172"/>
    </row>
    <row r="17" spans="1:19">
      <c r="A17" s="7"/>
      <c r="B17" s="8"/>
      <c r="C17" s="11"/>
      <c r="D17" s="12"/>
      <c r="E17" s="87" t="s">
        <v>3</v>
      </c>
      <c r="F17" s="88">
        <f>VLOOKUP("Nuclear",Dat_01!$A$8:$J$29,2,FALSE)/1000</f>
        <v>3470.760636</v>
      </c>
      <c r="G17" s="89">
        <f>VLOOKUP("Nuclear",Dat_01!$A$8:$J$29,4,FALSE)*100</f>
        <v>-31.97640934</v>
      </c>
      <c r="H17" s="88">
        <f>VLOOKUP("Nuclear",Dat_01!$A$8:$J$29,5,FALSE)/1000</f>
        <v>13141.155698</v>
      </c>
      <c r="I17" s="89">
        <f>VLOOKUP("Nuclear",Dat_01!$A$8:$J$29,7,FALSE)*100</f>
        <v>-11.130424210000001</v>
      </c>
      <c r="J17" s="88">
        <f>VLOOKUP("Nuclear",Dat_01!$A$8:$J$29,8,FALSE)/1000</f>
        <v>52630.268479000006</v>
      </c>
      <c r="K17" s="89">
        <f>VLOOKUP("Nuclear",Dat_01!$A$8:$J$29,10,FALSE)*100</f>
        <v>-6.2433061400000005</v>
      </c>
      <c r="L17" s="19"/>
      <c r="M17" s="171"/>
      <c r="N17" s="171"/>
      <c r="O17" s="172"/>
      <c r="P17" s="171"/>
      <c r="Q17" s="172"/>
      <c r="R17" s="171"/>
      <c r="S17" s="172"/>
    </row>
    <row r="18" spans="1:19">
      <c r="A18" s="7"/>
      <c r="B18" s="8"/>
      <c r="C18" s="11"/>
      <c r="D18" s="12"/>
      <c r="E18" s="87" t="s">
        <v>155</v>
      </c>
      <c r="F18" s="88">
        <f>VLOOKUP("Ciclo combinado",Dat_01!$A$8:$J$29,2,FALSE)/1000</f>
        <v>1658.3286880000001</v>
      </c>
      <c r="G18" s="89">
        <f>VLOOKUP("Ciclo combinado",Dat_01!$A$8:$J$29,4,FALSE)*100</f>
        <v>-36.126520750000005</v>
      </c>
      <c r="H18" s="88">
        <f>VLOOKUP("Ciclo combinado",Dat_01!$A$8:$J$29,5,FALSE)/1000</f>
        <v>5998.7328099999995</v>
      </c>
      <c r="I18" s="89">
        <f>VLOOKUP("Ciclo combinado",Dat_01!$A$8:$J$29,7,FALSE)*100</f>
        <v>-30.38247118</v>
      </c>
      <c r="J18" s="88">
        <f>VLOOKUP("Ciclo combinado",Dat_01!$A$8:$J$29,8,FALSE)/1000</f>
        <v>36664.590078000001</v>
      </c>
      <c r="K18" s="89">
        <f>VLOOKUP("Ciclo combinado",Dat_01!$A$8:$J$29,10,FALSE)*100</f>
        <v>-35.266650560000002</v>
      </c>
      <c r="L18" s="19"/>
      <c r="M18" s="171"/>
      <c r="N18" s="171"/>
      <c r="O18" s="172"/>
      <c r="P18" s="171"/>
      <c r="Q18" s="172"/>
      <c r="R18" s="171"/>
      <c r="S18" s="172"/>
    </row>
    <row r="19" spans="1:19">
      <c r="A19" s="7"/>
      <c r="B19" s="8"/>
      <c r="C19" s="11"/>
      <c r="D19" s="12"/>
      <c r="E19" s="87" t="s">
        <v>4</v>
      </c>
      <c r="F19" s="88">
        <f>VLOOKUP("Carbón",Dat_01!$A$8:$J$29,2,FALSE)/1000</f>
        <v>209.65913500000002</v>
      </c>
      <c r="G19" s="89">
        <f>VLOOKUP("Carbón",Dat_01!$A$8:$J$29,4,FALSE)*100</f>
        <v>-50.624009029999996</v>
      </c>
      <c r="H19" s="88">
        <f>VLOOKUP("Carbón",Dat_01!$A$8:$J$29,5,FALSE)/1000</f>
        <v>685.34864099999993</v>
      </c>
      <c r="I19" s="89">
        <f>VLOOKUP("Carbón",Dat_01!$A$8:$J$29,7,FALSE)*100</f>
        <v>-39.292639569999999</v>
      </c>
      <c r="J19" s="88">
        <f>VLOOKUP("Carbón",Dat_01!$A$8:$J$29,8,FALSE)/1000</f>
        <v>3366.9429239999999</v>
      </c>
      <c r="K19" s="89">
        <f>VLOOKUP("Carbón",Dat_01!$A$8:$J$29,10,FALSE)*100</f>
        <v>-50.680342269999997</v>
      </c>
      <c r="L19" s="19"/>
      <c r="M19" s="171"/>
      <c r="N19" s="171"/>
      <c r="O19" s="172"/>
      <c r="P19" s="171"/>
      <c r="Q19" s="172"/>
      <c r="R19" s="171"/>
      <c r="S19" s="172"/>
    </row>
    <row r="20" spans="1:19">
      <c r="A20" s="7"/>
      <c r="B20" s="8"/>
      <c r="C20" s="156">
        <f>ABS(F14)</f>
        <v>40.449704500000003</v>
      </c>
      <c r="D20" s="12"/>
      <c r="E20" s="87" t="s">
        <v>9</v>
      </c>
      <c r="F20" s="88">
        <f>VLOOKUP("Cogeneración",Dat_01!$A$8:$J$29,2,FALSE)/1000</f>
        <v>1165.9289080000001</v>
      </c>
      <c r="G20" s="89">
        <f>VLOOKUP("Cogeneración",Dat_01!$A$8:$J$29,4,FALSE)*100</f>
        <v>-32.478981810000001</v>
      </c>
      <c r="H20" s="88">
        <f>VLOOKUP("Cogeneración",Dat_01!$A$8:$J$29,5,FALSE)/1000</f>
        <v>4223.5999449999999</v>
      </c>
      <c r="I20" s="89">
        <f>VLOOKUP("Cogeneración",Dat_01!$A$8:$J$29,7,FALSE)*100</f>
        <v>-9.1901069999999994</v>
      </c>
      <c r="J20" s="88">
        <f>VLOOKUP("Cogeneración",Dat_01!$A$8:$J$29,8,FALSE)/1000</f>
        <v>16823.844596000003</v>
      </c>
      <c r="K20" s="89">
        <f>VLOOKUP("Cogeneración",Dat_01!$A$8:$J$29,10,FALSE)*100</f>
        <v>5.8074962399999999</v>
      </c>
      <c r="L20" s="19"/>
      <c r="M20" s="171"/>
      <c r="N20" s="171"/>
      <c r="O20" s="172"/>
      <c r="P20" s="171"/>
      <c r="Q20" s="172"/>
      <c r="R20" s="171"/>
      <c r="S20" s="172"/>
    </row>
    <row r="21" spans="1:19">
      <c r="A21" s="7"/>
      <c r="B21" s="8"/>
      <c r="C21" s="11"/>
      <c r="D21" s="12"/>
      <c r="E21" s="87" t="s">
        <v>70</v>
      </c>
      <c r="F21" s="88">
        <f>VLOOKUP("Residuos no renovables",Dat_01!$A$8:$J$29,2,FALSE)/1000</f>
        <v>59.9403875</v>
      </c>
      <c r="G21" s="89">
        <f>VLOOKUP("Residuos no renovables",Dat_01!$A$8:$J$29,4,FALSE)*100</f>
        <v>-45.686816260000001</v>
      </c>
      <c r="H21" s="88">
        <f>VLOOKUP("Residuos no renovables",Dat_01!$A$8:$J$29,5,FALSE)/1000</f>
        <v>234.54397399999999</v>
      </c>
      <c r="I21" s="89">
        <f>VLOOKUP("Residuos no renovables",Dat_01!$A$8:$J$29,7,FALSE)*100</f>
        <v>-24.56530549</v>
      </c>
      <c r="J21" s="88">
        <f>VLOOKUP("Residuos no renovables",Dat_01!$A$8:$J$29,8,FALSE)/1000</f>
        <v>1103.5818315000001</v>
      </c>
      <c r="K21" s="89">
        <f>VLOOKUP("Residuos no renovables",Dat_01!$A$8:$J$29,10,FALSE)*100</f>
        <v>-31.03061692</v>
      </c>
      <c r="L21" s="19"/>
      <c r="M21" s="171"/>
      <c r="N21" s="171"/>
      <c r="O21" s="172"/>
      <c r="P21" s="171"/>
      <c r="Q21" s="172"/>
      <c r="R21" s="171"/>
      <c r="S21" s="172"/>
    </row>
    <row r="22" spans="1:19">
      <c r="A22" s="7"/>
      <c r="B22" s="8"/>
      <c r="C22" s="11"/>
      <c r="D22" s="12"/>
      <c r="E22" s="90" t="s">
        <v>150</v>
      </c>
      <c r="F22" s="91">
        <f>SUM(F16:F21)</f>
        <v>7141.2003109079997</v>
      </c>
      <c r="G22" s="92">
        <f>((SUM(Dat_01!B9:B13,Dat_01!B18,Dat_01!B20)/SUM(Dat_01!C9:C13,Dat_01!C18,Dat_01!C20))-1)*100</f>
        <v>-31.991050494815354</v>
      </c>
      <c r="H22" s="91">
        <f>SUM(H16:H21)</f>
        <v>25850.923654755003</v>
      </c>
      <c r="I22" s="92">
        <f>((SUM(Dat_01!E9:E13,Dat_01!E18,Dat_01!E20)/SUM(Dat_01!F9:F13,Dat_01!F18,Dat_01!F20))-1)*100</f>
        <v>-16.172823941603564</v>
      </c>
      <c r="J22" s="91">
        <f>SUM(J16:J21)</f>
        <v>116008.31886169601</v>
      </c>
      <c r="K22" s="92">
        <f>((SUM(Dat_01!H9:H13,Dat_01!H18,Dat_01!H20)/SUM(Dat_01!I9:I13,Dat_01!I18,Dat_01!I20))-1)*100</f>
        <v>-17.984603212397499</v>
      </c>
      <c r="L22" s="19"/>
      <c r="M22" s="171"/>
      <c r="N22" s="171"/>
      <c r="O22" s="172"/>
      <c r="P22" s="171"/>
      <c r="Q22" s="172"/>
      <c r="R22" s="171"/>
      <c r="S22" s="172"/>
    </row>
    <row r="23" spans="1:19">
      <c r="A23" s="7"/>
      <c r="B23" s="8"/>
      <c r="C23" s="11"/>
      <c r="D23" s="12"/>
      <c r="E23" s="93" t="s">
        <v>12</v>
      </c>
      <c r="F23" s="88">
        <f>VLOOKUP("Consumo de bombeo",Dat_01!$A$8:$J$29,2,FALSE)/1000</f>
        <v>-1089.1252350000002</v>
      </c>
      <c r="G23" s="89">
        <f>VLOOKUP("Consumo de bombeo",Dat_01!$A$8:$J$29,4,FALSE)*100</f>
        <v>21.490585170000003</v>
      </c>
      <c r="H23" s="88">
        <f>VLOOKUP("Consumo de bombeo",Dat_01!$A$8:$J$29,5,FALSE)/1000</f>
        <v>-2689.353585885</v>
      </c>
      <c r="I23" s="89">
        <f>VLOOKUP("Consumo de bombeo",Dat_01!$A$8:$J$29,7,FALSE)*100</f>
        <v>19.830097840000001</v>
      </c>
      <c r="J23" s="88">
        <f>VLOOKUP("Consumo de bombeo",Dat_01!$A$8:$J$29,8,FALSE)/1000</f>
        <v>-8628.6265784400002</v>
      </c>
      <c r="K23" s="89">
        <f>VLOOKUP("Consumo de bombeo",Dat_01!$A$8:$J$29,10,FALSE)*100</f>
        <v>22.42231614</v>
      </c>
      <c r="L23" s="19"/>
      <c r="M23" s="171"/>
      <c r="N23" s="171"/>
      <c r="O23" s="172"/>
      <c r="P23" s="171"/>
      <c r="Q23" s="172"/>
      <c r="R23" s="171"/>
      <c r="S23" s="172"/>
    </row>
    <row r="24" spans="1:19">
      <c r="A24" s="7"/>
      <c r="B24" s="8"/>
      <c r="C24" s="11"/>
      <c r="D24" s="12"/>
      <c r="E24" s="93" t="s">
        <v>75</v>
      </c>
      <c r="F24" s="88">
        <f>VLOOKUP("Enlace Península-Baleares",Dat_01!$A$8:$J$29,2,FALSE)/1000</f>
        <v>-110.667727</v>
      </c>
      <c r="G24" s="89">
        <f>VLOOKUP("Enlace Península-Baleares",Dat_01!$A$8:$J$29,4,FALSE)*100</f>
        <v>34.641594650000002</v>
      </c>
      <c r="H24" s="88">
        <f>VLOOKUP("Enlace Península-Baleares",Dat_01!$A$8:$J$29,5,FALSE)/1000</f>
        <v>-348.17208299999999</v>
      </c>
      <c r="I24" s="89">
        <f>VLOOKUP("Enlace Península-Baleares",Dat_01!$A$8:$J$29,7,FALSE)*100</f>
        <v>17.673925779999998</v>
      </c>
      <c r="J24" s="88">
        <f>VLOOKUP("Enlace Península-Baleares",Dat_01!$A$8:$J$29,8,FALSE)/1000</f>
        <v>-1478.353312</v>
      </c>
      <c r="K24" s="89">
        <f>VLOOKUP("Enlace Península-Baleares",Dat_01!$A$8:$J$29,10,FALSE)*100</f>
        <v>82.679357469999999</v>
      </c>
      <c r="L24" s="19"/>
      <c r="M24" s="171"/>
      <c r="N24" s="171"/>
      <c r="O24" s="172"/>
      <c r="P24" s="171"/>
      <c r="Q24" s="172"/>
      <c r="R24" s="171"/>
      <c r="S24" s="172"/>
    </row>
    <row r="25" spans="1:19" ht="12.75" customHeight="1">
      <c r="E25" s="93" t="s">
        <v>76</v>
      </c>
      <c r="F25" s="94">
        <f>VLOOKUP("Saldos intercambios internacionales",Dat_01!$A$8:$J$29,2,FALSE)/1000</f>
        <v>-833.06556799999998</v>
      </c>
      <c r="G25" s="95">
        <f>IF(OR(VLOOKUP("Saldos intercambios internacionales",Dat_01!$A$8:$J$29,3,FALSE)=0,AND(VLOOKUP("Saldos intercambios internacionales",Dat_01!$A$8:$J$29,3,FALSE)&lt;0,VLOOKUP("Saldos intercambios internacionales",Dat_01!$A$8:$J$29,2,FALSE)&gt;0),AND(VLOOKUP("Saldos intercambios internacionales",Dat_01!$A$8:$J$29,3,FALSE)&gt;0,VLOOKUP("Saldos intercambios internacionales",Dat_01!$A$8:$J$29,2,FALSE)&lt;0)),"-",VLOOKUP("Saldos intercambios internacionales",Dat_01!$A$8:$J$29,4,FALSE)*100)</f>
        <v>-68.043159700000004</v>
      </c>
      <c r="H25" s="94">
        <f>VLOOKUP("Saldos intercambios internacionales",Dat_01!$A$8:$J$29,5,FALSE)/1000</f>
        <v>-2442.7336439999999</v>
      </c>
      <c r="I25" s="95">
        <f>IF(OR(VLOOKUP("Saldos intercambios internacionales",Dat_01!$A$8:$J$29,6,FALSE)=0,AND(VLOOKUP("Saldos intercambios internacionales",Dat_01!$A$8:$J$29,6,FALSE)&lt;0,VLOOKUP("Saldos intercambios internacionales",Dat_01!$A$8:$J$29,5,FALSE)&gt;0),AND(VLOOKUP("Saldos intercambios internacionales",Dat_01!$A$8:$J$29,6,FALSE)&gt;0,VLOOKUP("Saldos intercambios internacionales",Dat_01!$A$8:$J$29,5,FALSE)&lt;0)),"-",VLOOKUP("Saldos intercambios internacionales",Dat_01!$A$8:$J$29,7,FALSE)*100)</f>
        <v>-45.136722569999996</v>
      </c>
      <c r="J25" s="94">
        <f>VLOOKUP("Saldos intercambios internacionales",Dat_01!$A$8:$J$29,8,FALSE)/1000</f>
        <v>-11948.426054</v>
      </c>
      <c r="K25" s="95">
        <f>IF(OR(VLOOKUP("Saldos intercambios internacionales",Dat_01!$A$8:$J$29,9,FALSE)=0,AND(VLOOKUP("Saldos intercambios internacionales",Dat_01!$A$8:$J$29,9,FALSE)&lt;0,VLOOKUP("Saldos intercambios internacionales",Dat_01!$A$8:$J$29,8,FALSE)&gt;0),AND(VLOOKUP("Saldos intercambios internacionales",Dat_01!$A$8:$J$29,9,FALSE)&gt;0,VLOOKUP("Saldos intercambios internacionales",Dat_01!$A$8:$J$29,8,FALSE)&lt;0)),"-",VLOOKUP("Saldos intercambios internacionales",Dat_01!$A$8:$J$29,10,FALSE)*100)</f>
        <v>-45.003780380000002</v>
      </c>
      <c r="L25" s="19"/>
      <c r="M25" s="171"/>
      <c r="N25" s="171"/>
      <c r="O25" s="172"/>
      <c r="P25" s="171"/>
      <c r="Q25" s="172"/>
      <c r="R25" s="171"/>
      <c r="S25" s="172"/>
    </row>
    <row r="26" spans="1:19" ht="16.350000000000001" customHeight="1">
      <c r="E26" s="96" t="s">
        <v>13</v>
      </c>
      <c r="F26" s="97">
        <f>VLOOKUP("Demanda transporte (b.c.)",Dat_01!$A$8:$J$29,2,FALSE)/1000</f>
        <v>19252.294922143999</v>
      </c>
      <c r="G26" s="98">
        <f>VLOOKUP("Demanda transporte (b.c.)",Dat_01!$A$8:$J$29,4,FALSE)*100</f>
        <v>-0.38430021999999997</v>
      </c>
      <c r="H26" s="97">
        <f>VLOOKUP("Demanda transporte (b.c.)",Dat_01!$A$8:$J$29,5,FALSE)/1000</f>
        <v>59192.290165858998</v>
      </c>
      <c r="I26" s="98">
        <f>VLOOKUP("Demanda transporte (b.c.)",Dat_01!$A$8:$J$29,7,FALSE)*100</f>
        <v>-0.3783936</v>
      </c>
      <c r="J26" s="97">
        <f>VLOOKUP("Demanda transporte (b.c.)",Dat_01!$A$8:$J$29,8,FALSE)/1000</f>
        <v>229302.66364987098</v>
      </c>
      <c r="K26" s="98">
        <f>VLOOKUP("Demanda transporte (b.c.)",Dat_01!$A$8:$J$29,10,FALSE)*100</f>
        <v>-2.0163473999999999</v>
      </c>
      <c r="L26" s="19"/>
    </row>
    <row r="27" spans="1:19" ht="16.350000000000001" customHeight="1">
      <c r="E27" s="304" t="s">
        <v>83</v>
      </c>
      <c r="F27" s="305"/>
      <c r="G27" s="305"/>
      <c r="H27" s="305"/>
      <c r="I27" s="305"/>
      <c r="J27" s="305"/>
      <c r="K27" s="305"/>
      <c r="L27" s="16"/>
      <c r="M27" s="302"/>
      <c r="N27" s="302"/>
      <c r="O27" s="302"/>
      <c r="P27" s="302"/>
      <c r="Q27" s="302"/>
      <c r="R27" s="302"/>
      <c r="S27" s="302"/>
    </row>
    <row r="28" spans="1:19" ht="34.5" customHeight="1">
      <c r="E28" s="303" t="s">
        <v>173</v>
      </c>
      <c r="F28" s="306"/>
      <c r="G28" s="306"/>
      <c r="H28" s="306"/>
      <c r="I28" s="306"/>
      <c r="J28" s="306"/>
      <c r="K28" s="306"/>
      <c r="L28" s="16"/>
      <c r="M28" s="262"/>
      <c r="N28" s="262"/>
      <c r="O28" s="262"/>
      <c r="P28" s="262"/>
      <c r="Q28" s="262"/>
      <c r="R28" s="262"/>
      <c r="S28" s="262"/>
    </row>
    <row r="29" spans="1:19" ht="12.75" customHeight="1">
      <c r="E29" s="302" t="s">
        <v>54</v>
      </c>
      <c r="F29" s="302"/>
      <c r="G29" s="302"/>
      <c r="H29" s="302"/>
      <c r="I29" s="302"/>
      <c r="J29" s="302"/>
      <c r="K29" s="302"/>
      <c r="L29" s="16"/>
    </row>
    <row r="30" spans="1:19" ht="12.75" customHeight="1">
      <c r="E30" s="302" t="s">
        <v>72</v>
      </c>
      <c r="F30" s="302"/>
      <c r="G30" s="302"/>
      <c r="H30" s="302"/>
      <c r="I30" s="302"/>
      <c r="J30" s="302"/>
      <c r="K30" s="302"/>
      <c r="L30" s="16"/>
    </row>
    <row r="31" spans="1:19" ht="12.75" customHeight="1">
      <c r="E31" s="302" t="s">
        <v>152</v>
      </c>
      <c r="F31" s="302"/>
      <c r="G31" s="302"/>
      <c r="H31" s="302"/>
      <c r="I31" s="302"/>
      <c r="J31" s="302"/>
      <c r="K31" s="302"/>
      <c r="L31" s="16"/>
    </row>
    <row r="32" spans="1:19" ht="12.75" customHeight="1">
      <c r="E32" s="303" t="s">
        <v>154</v>
      </c>
      <c r="F32" s="303"/>
      <c r="G32" s="303"/>
      <c r="H32" s="303"/>
      <c r="I32" s="303"/>
      <c r="J32" s="303"/>
      <c r="K32" s="303"/>
      <c r="L32" s="16"/>
    </row>
    <row r="33" spans="5:12" ht="12.75" customHeight="1">
      <c r="E33" s="302" t="s">
        <v>156</v>
      </c>
      <c r="F33" s="302"/>
      <c r="G33" s="302"/>
      <c r="H33" s="302"/>
      <c r="I33" s="302"/>
      <c r="J33" s="302"/>
      <c r="K33" s="302"/>
      <c r="L33" s="16"/>
    </row>
    <row r="34" spans="5:12" ht="15" customHeight="1">
      <c r="E34" s="303" t="s">
        <v>74</v>
      </c>
      <c r="F34" s="303"/>
      <c r="G34" s="303"/>
      <c r="H34" s="303"/>
      <c r="I34" s="303"/>
      <c r="J34" s="303"/>
      <c r="K34" s="303"/>
    </row>
    <row r="35" spans="5:12" ht="24" customHeight="1">
      <c r="E35" s="303" t="s">
        <v>79</v>
      </c>
      <c r="F35" s="303"/>
      <c r="G35" s="303"/>
      <c r="H35" s="303"/>
      <c r="I35" s="303"/>
      <c r="J35" s="303"/>
      <c r="K35" s="303"/>
    </row>
    <row r="36" spans="5:12">
      <c r="F36" s="245"/>
      <c r="G36" s="245"/>
      <c r="H36" s="245"/>
      <c r="I36" s="245"/>
      <c r="J36" s="245"/>
      <c r="K36" s="245"/>
    </row>
    <row r="37" spans="5:12">
      <c r="E37" s="21"/>
      <c r="F37" s="21"/>
    </row>
    <row r="38" spans="5:12">
      <c r="E38" s="21"/>
      <c r="F38" s="21"/>
    </row>
    <row r="39" spans="5:12">
      <c r="E39" s="21"/>
      <c r="F39" s="21"/>
    </row>
    <row r="40" spans="5:12">
      <c r="F40" s="21"/>
    </row>
    <row r="41" spans="5:12">
      <c r="E41" s="21"/>
      <c r="F41" s="23"/>
    </row>
    <row r="42" spans="5:12">
      <c r="E42" s="21"/>
      <c r="F42" s="21"/>
    </row>
    <row r="43" spans="5:12">
      <c r="E43" s="21"/>
      <c r="F43" s="21"/>
    </row>
    <row r="44" spans="5:12">
      <c r="E44" s="21"/>
      <c r="F44" s="21"/>
    </row>
    <row r="45" spans="5:12">
      <c r="E45" s="21"/>
      <c r="F45" s="21"/>
    </row>
    <row r="46" spans="5:12">
      <c r="E46" s="21"/>
      <c r="F46" s="21"/>
    </row>
    <row r="47" spans="5:12">
      <c r="E47" s="21"/>
      <c r="F47" s="21"/>
    </row>
    <row r="48" spans="5:12">
      <c r="E48" s="21"/>
      <c r="F48" s="21"/>
    </row>
    <row r="50" spans="1:19" s="22" customFormat="1">
      <c r="A50" s="5"/>
      <c r="B50" s="5"/>
      <c r="C50" s="5"/>
      <c r="D50" s="5"/>
      <c r="E50" s="17"/>
      <c r="F50" s="17"/>
      <c r="G50" s="17"/>
      <c r="I50" s="17"/>
      <c r="K50" s="17"/>
      <c r="L50" s="17"/>
      <c r="M50" s="17"/>
      <c r="N50" s="17"/>
      <c r="O50" s="17"/>
      <c r="P50" s="17"/>
      <c r="Q50" s="17"/>
      <c r="R50" s="17"/>
      <c r="S50" s="17"/>
    </row>
  </sheetData>
  <mergeCells count="14">
    <mergeCell ref="C7:C8"/>
    <mergeCell ref="F7:G7"/>
    <mergeCell ref="H7:I7"/>
    <mergeCell ref="J7:K7"/>
    <mergeCell ref="E35:K35"/>
    <mergeCell ref="M27:S27"/>
    <mergeCell ref="E34:K34"/>
    <mergeCell ref="E29:K29"/>
    <mergeCell ref="E30:K30"/>
    <mergeCell ref="E31:K31"/>
    <mergeCell ref="E32:K32"/>
    <mergeCell ref="E27:K27"/>
    <mergeCell ref="E33:K33"/>
    <mergeCell ref="E28:K28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ignoredErrors>
    <ignoredError sqref="I15 G22 I22 G15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>
    <pageSetUpPr fitToPage="1"/>
  </sheetPr>
  <dimension ref="A1:H40"/>
  <sheetViews>
    <sheetView showGridLines="0" showRowColHeaders="0" workbookViewId="0">
      <selection activeCell="H25" sqref="H25"/>
    </sheetView>
  </sheetViews>
  <sheetFormatPr baseColWidth="10" defaultRowHeight="12.75"/>
  <cols>
    <col min="1" max="1" width="0.42578125" style="26" customWidth="1"/>
    <col min="2" max="2" width="2.5703125" style="26" customWidth="1"/>
    <col min="3" max="3" width="23.5703125" style="26" customWidth="1"/>
    <col min="4" max="4" width="1.42578125" style="26" customWidth="1"/>
    <col min="5" max="5" width="58.5703125" style="26" customWidth="1"/>
    <col min="6" max="7" width="11.42578125" style="36"/>
    <col min="8" max="8" width="15.5703125" style="36" customWidth="1"/>
    <col min="9" max="252" width="11.42578125" style="36"/>
    <col min="253" max="253" width="0.42578125" style="36" customWidth="1"/>
    <col min="254" max="254" width="2.5703125" style="36" customWidth="1"/>
    <col min="255" max="255" width="18.5703125" style="36" customWidth="1"/>
    <col min="256" max="256" width="1.42578125" style="36" customWidth="1"/>
    <col min="257" max="257" width="58.5703125" style="36" customWidth="1"/>
    <col min="258" max="259" width="11.42578125" style="36"/>
    <col min="260" max="260" width="2.42578125" style="36" customWidth="1"/>
    <col min="261" max="261" width="11.42578125" style="36"/>
    <col min="262" max="262" width="9.5703125" style="36" customWidth="1"/>
    <col min="263" max="508" width="11.42578125" style="36"/>
    <col min="509" max="509" width="0.42578125" style="36" customWidth="1"/>
    <col min="510" max="510" width="2.5703125" style="36" customWidth="1"/>
    <col min="511" max="511" width="18.5703125" style="36" customWidth="1"/>
    <col min="512" max="512" width="1.42578125" style="36" customWidth="1"/>
    <col min="513" max="513" width="58.5703125" style="36" customWidth="1"/>
    <col min="514" max="515" width="11.42578125" style="36"/>
    <col min="516" max="516" width="2.42578125" style="36" customWidth="1"/>
    <col min="517" max="517" width="11.42578125" style="36"/>
    <col min="518" max="518" width="9.5703125" style="36" customWidth="1"/>
    <col min="519" max="764" width="11.42578125" style="36"/>
    <col min="765" max="765" width="0.42578125" style="36" customWidth="1"/>
    <col min="766" max="766" width="2.5703125" style="36" customWidth="1"/>
    <col min="767" max="767" width="18.5703125" style="36" customWidth="1"/>
    <col min="768" max="768" width="1.42578125" style="36" customWidth="1"/>
    <col min="769" max="769" width="58.5703125" style="36" customWidth="1"/>
    <col min="770" max="771" width="11.42578125" style="36"/>
    <col min="772" max="772" width="2.42578125" style="36" customWidth="1"/>
    <col min="773" max="773" width="11.42578125" style="36"/>
    <col min="774" max="774" width="9.5703125" style="36" customWidth="1"/>
    <col min="775" max="1020" width="11.42578125" style="36"/>
    <col min="1021" max="1021" width="0.42578125" style="36" customWidth="1"/>
    <col min="1022" max="1022" width="2.5703125" style="36" customWidth="1"/>
    <col min="1023" max="1023" width="18.5703125" style="36" customWidth="1"/>
    <col min="1024" max="1024" width="1.42578125" style="36" customWidth="1"/>
    <col min="1025" max="1025" width="58.5703125" style="36" customWidth="1"/>
    <col min="1026" max="1027" width="11.42578125" style="36"/>
    <col min="1028" max="1028" width="2.42578125" style="36" customWidth="1"/>
    <col min="1029" max="1029" width="11.42578125" style="36"/>
    <col min="1030" max="1030" width="9.5703125" style="36" customWidth="1"/>
    <col min="1031" max="1276" width="11.42578125" style="36"/>
    <col min="1277" max="1277" width="0.42578125" style="36" customWidth="1"/>
    <col min="1278" max="1278" width="2.5703125" style="36" customWidth="1"/>
    <col min="1279" max="1279" width="18.5703125" style="36" customWidth="1"/>
    <col min="1280" max="1280" width="1.42578125" style="36" customWidth="1"/>
    <col min="1281" max="1281" width="58.5703125" style="36" customWidth="1"/>
    <col min="1282" max="1283" width="11.42578125" style="36"/>
    <col min="1284" max="1284" width="2.42578125" style="36" customWidth="1"/>
    <col min="1285" max="1285" width="11.42578125" style="36"/>
    <col min="1286" max="1286" width="9.5703125" style="36" customWidth="1"/>
    <col min="1287" max="1532" width="11.42578125" style="36"/>
    <col min="1533" max="1533" width="0.42578125" style="36" customWidth="1"/>
    <col min="1534" max="1534" width="2.5703125" style="36" customWidth="1"/>
    <col min="1535" max="1535" width="18.5703125" style="36" customWidth="1"/>
    <col min="1536" max="1536" width="1.42578125" style="36" customWidth="1"/>
    <col min="1537" max="1537" width="58.5703125" style="36" customWidth="1"/>
    <col min="1538" max="1539" width="11.42578125" style="36"/>
    <col min="1540" max="1540" width="2.42578125" style="36" customWidth="1"/>
    <col min="1541" max="1541" width="11.42578125" style="36"/>
    <col min="1542" max="1542" width="9.5703125" style="36" customWidth="1"/>
    <col min="1543" max="1788" width="11.42578125" style="36"/>
    <col min="1789" max="1789" width="0.42578125" style="36" customWidth="1"/>
    <col min="1790" max="1790" width="2.5703125" style="36" customWidth="1"/>
    <col min="1791" max="1791" width="18.5703125" style="36" customWidth="1"/>
    <col min="1792" max="1792" width="1.42578125" style="36" customWidth="1"/>
    <col min="1793" max="1793" width="58.5703125" style="36" customWidth="1"/>
    <col min="1794" max="1795" width="11.42578125" style="36"/>
    <col min="1796" max="1796" width="2.42578125" style="36" customWidth="1"/>
    <col min="1797" max="1797" width="11.42578125" style="36"/>
    <col min="1798" max="1798" width="9.5703125" style="36" customWidth="1"/>
    <col min="1799" max="2044" width="11.42578125" style="36"/>
    <col min="2045" max="2045" width="0.42578125" style="36" customWidth="1"/>
    <col min="2046" max="2046" width="2.5703125" style="36" customWidth="1"/>
    <col min="2047" max="2047" width="18.5703125" style="36" customWidth="1"/>
    <col min="2048" max="2048" width="1.42578125" style="36" customWidth="1"/>
    <col min="2049" max="2049" width="58.5703125" style="36" customWidth="1"/>
    <col min="2050" max="2051" width="11.42578125" style="36"/>
    <col min="2052" max="2052" width="2.42578125" style="36" customWidth="1"/>
    <col min="2053" max="2053" width="11.42578125" style="36"/>
    <col min="2054" max="2054" width="9.5703125" style="36" customWidth="1"/>
    <col min="2055" max="2300" width="11.42578125" style="36"/>
    <col min="2301" max="2301" width="0.42578125" style="36" customWidth="1"/>
    <col min="2302" max="2302" width="2.5703125" style="36" customWidth="1"/>
    <col min="2303" max="2303" width="18.5703125" style="36" customWidth="1"/>
    <col min="2304" max="2304" width="1.42578125" style="36" customWidth="1"/>
    <col min="2305" max="2305" width="58.5703125" style="36" customWidth="1"/>
    <col min="2306" max="2307" width="11.42578125" style="36"/>
    <col min="2308" max="2308" width="2.42578125" style="36" customWidth="1"/>
    <col min="2309" max="2309" width="11.42578125" style="36"/>
    <col min="2310" max="2310" width="9.5703125" style="36" customWidth="1"/>
    <col min="2311" max="2556" width="11.42578125" style="36"/>
    <col min="2557" max="2557" width="0.42578125" style="36" customWidth="1"/>
    <col min="2558" max="2558" width="2.5703125" style="36" customWidth="1"/>
    <col min="2559" max="2559" width="18.5703125" style="36" customWidth="1"/>
    <col min="2560" max="2560" width="1.42578125" style="36" customWidth="1"/>
    <col min="2561" max="2561" width="58.5703125" style="36" customWidth="1"/>
    <col min="2562" max="2563" width="11.42578125" style="36"/>
    <col min="2564" max="2564" width="2.42578125" style="36" customWidth="1"/>
    <col min="2565" max="2565" width="11.42578125" style="36"/>
    <col min="2566" max="2566" width="9.5703125" style="36" customWidth="1"/>
    <col min="2567" max="2812" width="11.42578125" style="36"/>
    <col min="2813" max="2813" width="0.42578125" style="36" customWidth="1"/>
    <col min="2814" max="2814" width="2.5703125" style="36" customWidth="1"/>
    <col min="2815" max="2815" width="18.5703125" style="36" customWidth="1"/>
    <col min="2816" max="2816" width="1.42578125" style="36" customWidth="1"/>
    <col min="2817" max="2817" width="58.5703125" style="36" customWidth="1"/>
    <col min="2818" max="2819" width="11.42578125" style="36"/>
    <col min="2820" max="2820" width="2.42578125" style="36" customWidth="1"/>
    <col min="2821" max="2821" width="11.42578125" style="36"/>
    <col min="2822" max="2822" width="9.5703125" style="36" customWidth="1"/>
    <col min="2823" max="3068" width="11.42578125" style="36"/>
    <col min="3069" max="3069" width="0.42578125" style="36" customWidth="1"/>
    <col min="3070" max="3070" width="2.5703125" style="36" customWidth="1"/>
    <col min="3071" max="3071" width="18.5703125" style="36" customWidth="1"/>
    <col min="3072" max="3072" width="1.42578125" style="36" customWidth="1"/>
    <col min="3073" max="3073" width="58.5703125" style="36" customWidth="1"/>
    <col min="3074" max="3075" width="11.42578125" style="36"/>
    <col min="3076" max="3076" width="2.42578125" style="36" customWidth="1"/>
    <col min="3077" max="3077" width="11.42578125" style="36"/>
    <col min="3078" max="3078" width="9.5703125" style="36" customWidth="1"/>
    <col min="3079" max="3324" width="11.42578125" style="36"/>
    <col min="3325" max="3325" width="0.42578125" style="36" customWidth="1"/>
    <col min="3326" max="3326" width="2.5703125" style="36" customWidth="1"/>
    <col min="3327" max="3327" width="18.5703125" style="36" customWidth="1"/>
    <col min="3328" max="3328" width="1.42578125" style="36" customWidth="1"/>
    <col min="3329" max="3329" width="58.5703125" style="36" customWidth="1"/>
    <col min="3330" max="3331" width="11.42578125" style="36"/>
    <col min="3332" max="3332" width="2.42578125" style="36" customWidth="1"/>
    <col min="3333" max="3333" width="11.42578125" style="36"/>
    <col min="3334" max="3334" width="9.5703125" style="36" customWidth="1"/>
    <col min="3335" max="3580" width="11.42578125" style="36"/>
    <col min="3581" max="3581" width="0.42578125" style="36" customWidth="1"/>
    <col min="3582" max="3582" width="2.5703125" style="36" customWidth="1"/>
    <col min="3583" max="3583" width="18.5703125" style="36" customWidth="1"/>
    <col min="3584" max="3584" width="1.42578125" style="36" customWidth="1"/>
    <col min="3585" max="3585" width="58.5703125" style="36" customWidth="1"/>
    <col min="3586" max="3587" width="11.42578125" style="36"/>
    <col min="3588" max="3588" width="2.42578125" style="36" customWidth="1"/>
    <col min="3589" max="3589" width="11.42578125" style="36"/>
    <col min="3590" max="3590" width="9.5703125" style="36" customWidth="1"/>
    <col min="3591" max="3836" width="11.42578125" style="36"/>
    <col min="3837" max="3837" width="0.42578125" style="36" customWidth="1"/>
    <col min="3838" max="3838" width="2.5703125" style="36" customWidth="1"/>
    <col min="3839" max="3839" width="18.5703125" style="36" customWidth="1"/>
    <col min="3840" max="3840" width="1.42578125" style="36" customWidth="1"/>
    <col min="3841" max="3841" width="58.5703125" style="36" customWidth="1"/>
    <col min="3842" max="3843" width="11.42578125" style="36"/>
    <col min="3844" max="3844" width="2.42578125" style="36" customWidth="1"/>
    <col min="3845" max="3845" width="11.42578125" style="36"/>
    <col min="3846" max="3846" width="9.5703125" style="36" customWidth="1"/>
    <col min="3847" max="4092" width="11.42578125" style="36"/>
    <col min="4093" max="4093" width="0.42578125" style="36" customWidth="1"/>
    <col min="4094" max="4094" width="2.5703125" style="36" customWidth="1"/>
    <col min="4095" max="4095" width="18.5703125" style="36" customWidth="1"/>
    <col min="4096" max="4096" width="1.42578125" style="36" customWidth="1"/>
    <col min="4097" max="4097" width="58.5703125" style="36" customWidth="1"/>
    <col min="4098" max="4099" width="11.42578125" style="36"/>
    <col min="4100" max="4100" width="2.42578125" style="36" customWidth="1"/>
    <col min="4101" max="4101" width="11.42578125" style="36"/>
    <col min="4102" max="4102" width="9.5703125" style="36" customWidth="1"/>
    <col min="4103" max="4348" width="11.42578125" style="36"/>
    <col min="4349" max="4349" width="0.42578125" style="36" customWidth="1"/>
    <col min="4350" max="4350" width="2.5703125" style="36" customWidth="1"/>
    <col min="4351" max="4351" width="18.5703125" style="36" customWidth="1"/>
    <col min="4352" max="4352" width="1.42578125" style="36" customWidth="1"/>
    <col min="4353" max="4353" width="58.5703125" style="36" customWidth="1"/>
    <col min="4354" max="4355" width="11.42578125" style="36"/>
    <col min="4356" max="4356" width="2.42578125" style="36" customWidth="1"/>
    <col min="4357" max="4357" width="11.42578125" style="36"/>
    <col min="4358" max="4358" width="9.5703125" style="36" customWidth="1"/>
    <col min="4359" max="4604" width="11.42578125" style="36"/>
    <col min="4605" max="4605" width="0.42578125" style="36" customWidth="1"/>
    <col min="4606" max="4606" width="2.5703125" style="36" customWidth="1"/>
    <col min="4607" max="4607" width="18.5703125" style="36" customWidth="1"/>
    <col min="4608" max="4608" width="1.42578125" style="36" customWidth="1"/>
    <col min="4609" max="4609" width="58.5703125" style="36" customWidth="1"/>
    <col min="4610" max="4611" width="11.42578125" style="36"/>
    <col min="4612" max="4612" width="2.42578125" style="36" customWidth="1"/>
    <col min="4613" max="4613" width="11.42578125" style="36"/>
    <col min="4614" max="4614" width="9.5703125" style="36" customWidth="1"/>
    <col min="4615" max="4860" width="11.42578125" style="36"/>
    <col min="4861" max="4861" width="0.42578125" style="36" customWidth="1"/>
    <col min="4862" max="4862" width="2.5703125" style="36" customWidth="1"/>
    <col min="4863" max="4863" width="18.5703125" style="36" customWidth="1"/>
    <col min="4864" max="4864" width="1.42578125" style="36" customWidth="1"/>
    <col min="4865" max="4865" width="58.5703125" style="36" customWidth="1"/>
    <col min="4866" max="4867" width="11.42578125" style="36"/>
    <col min="4868" max="4868" width="2.42578125" style="36" customWidth="1"/>
    <col min="4869" max="4869" width="11.42578125" style="36"/>
    <col min="4870" max="4870" width="9.5703125" style="36" customWidth="1"/>
    <col min="4871" max="5116" width="11.42578125" style="36"/>
    <col min="5117" max="5117" width="0.42578125" style="36" customWidth="1"/>
    <col min="5118" max="5118" width="2.5703125" style="36" customWidth="1"/>
    <col min="5119" max="5119" width="18.5703125" style="36" customWidth="1"/>
    <col min="5120" max="5120" width="1.42578125" style="36" customWidth="1"/>
    <col min="5121" max="5121" width="58.5703125" style="36" customWidth="1"/>
    <col min="5122" max="5123" width="11.42578125" style="36"/>
    <col min="5124" max="5124" width="2.42578125" style="36" customWidth="1"/>
    <col min="5125" max="5125" width="11.42578125" style="36"/>
    <col min="5126" max="5126" width="9.5703125" style="36" customWidth="1"/>
    <col min="5127" max="5372" width="11.42578125" style="36"/>
    <col min="5373" max="5373" width="0.42578125" style="36" customWidth="1"/>
    <col min="5374" max="5374" width="2.5703125" style="36" customWidth="1"/>
    <col min="5375" max="5375" width="18.5703125" style="36" customWidth="1"/>
    <col min="5376" max="5376" width="1.42578125" style="36" customWidth="1"/>
    <col min="5377" max="5377" width="58.5703125" style="36" customWidth="1"/>
    <col min="5378" max="5379" width="11.42578125" style="36"/>
    <col min="5380" max="5380" width="2.42578125" style="36" customWidth="1"/>
    <col min="5381" max="5381" width="11.42578125" style="36"/>
    <col min="5382" max="5382" width="9.5703125" style="36" customWidth="1"/>
    <col min="5383" max="5628" width="11.42578125" style="36"/>
    <col min="5629" max="5629" width="0.42578125" style="36" customWidth="1"/>
    <col min="5630" max="5630" width="2.5703125" style="36" customWidth="1"/>
    <col min="5631" max="5631" width="18.5703125" style="36" customWidth="1"/>
    <col min="5632" max="5632" width="1.42578125" style="36" customWidth="1"/>
    <col min="5633" max="5633" width="58.5703125" style="36" customWidth="1"/>
    <col min="5634" max="5635" width="11.42578125" style="36"/>
    <col min="5636" max="5636" width="2.42578125" style="36" customWidth="1"/>
    <col min="5637" max="5637" width="11.42578125" style="36"/>
    <col min="5638" max="5638" width="9.5703125" style="36" customWidth="1"/>
    <col min="5639" max="5884" width="11.42578125" style="36"/>
    <col min="5885" max="5885" width="0.42578125" style="36" customWidth="1"/>
    <col min="5886" max="5886" width="2.5703125" style="36" customWidth="1"/>
    <col min="5887" max="5887" width="18.5703125" style="36" customWidth="1"/>
    <col min="5888" max="5888" width="1.42578125" style="36" customWidth="1"/>
    <col min="5889" max="5889" width="58.5703125" style="36" customWidth="1"/>
    <col min="5890" max="5891" width="11.42578125" style="36"/>
    <col min="5892" max="5892" width="2.42578125" style="36" customWidth="1"/>
    <col min="5893" max="5893" width="11.42578125" style="36"/>
    <col min="5894" max="5894" width="9.5703125" style="36" customWidth="1"/>
    <col min="5895" max="6140" width="11.42578125" style="36"/>
    <col min="6141" max="6141" width="0.42578125" style="36" customWidth="1"/>
    <col min="6142" max="6142" width="2.5703125" style="36" customWidth="1"/>
    <col min="6143" max="6143" width="18.5703125" style="36" customWidth="1"/>
    <col min="6144" max="6144" width="1.42578125" style="36" customWidth="1"/>
    <col min="6145" max="6145" width="58.5703125" style="36" customWidth="1"/>
    <col min="6146" max="6147" width="11.42578125" style="36"/>
    <col min="6148" max="6148" width="2.42578125" style="36" customWidth="1"/>
    <col min="6149" max="6149" width="11.42578125" style="36"/>
    <col min="6150" max="6150" width="9.5703125" style="36" customWidth="1"/>
    <col min="6151" max="6396" width="11.42578125" style="36"/>
    <col min="6397" max="6397" width="0.42578125" style="36" customWidth="1"/>
    <col min="6398" max="6398" width="2.5703125" style="36" customWidth="1"/>
    <col min="6399" max="6399" width="18.5703125" style="36" customWidth="1"/>
    <col min="6400" max="6400" width="1.42578125" style="36" customWidth="1"/>
    <col min="6401" max="6401" width="58.5703125" style="36" customWidth="1"/>
    <col min="6402" max="6403" width="11.42578125" style="36"/>
    <col min="6404" max="6404" width="2.42578125" style="36" customWidth="1"/>
    <col min="6405" max="6405" width="11.42578125" style="36"/>
    <col min="6406" max="6406" width="9.5703125" style="36" customWidth="1"/>
    <col min="6407" max="6652" width="11.42578125" style="36"/>
    <col min="6653" max="6653" width="0.42578125" style="36" customWidth="1"/>
    <col min="6654" max="6654" width="2.5703125" style="36" customWidth="1"/>
    <col min="6655" max="6655" width="18.5703125" style="36" customWidth="1"/>
    <col min="6656" max="6656" width="1.42578125" style="36" customWidth="1"/>
    <col min="6657" max="6657" width="58.5703125" style="36" customWidth="1"/>
    <col min="6658" max="6659" width="11.42578125" style="36"/>
    <col min="6660" max="6660" width="2.42578125" style="36" customWidth="1"/>
    <col min="6661" max="6661" width="11.42578125" style="36"/>
    <col min="6662" max="6662" width="9.5703125" style="36" customWidth="1"/>
    <col min="6663" max="6908" width="11.42578125" style="36"/>
    <col min="6909" max="6909" width="0.42578125" style="36" customWidth="1"/>
    <col min="6910" max="6910" width="2.5703125" style="36" customWidth="1"/>
    <col min="6911" max="6911" width="18.5703125" style="36" customWidth="1"/>
    <col min="6912" max="6912" width="1.42578125" style="36" customWidth="1"/>
    <col min="6913" max="6913" width="58.5703125" style="36" customWidth="1"/>
    <col min="6914" max="6915" width="11.42578125" style="36"/>
    <col min="6916" max="6916" width="2.42578125" style="36" customWidth="1"/>
    <col min="6917" max="6917" width="11.42578125" style="36"/>
    <col min="6918" max="6918" width="9.5703125" style="36" customWidth="1"/>
    <col min="6919" max="7164" width="11.42578125" style="36"/>
    <col min="7165" max="7165" width="0.42578125" style="36" customWidth="1"/>
    <col min="7166" max="7166" width="2.5703125" style="36" customWidth="1"/>
    <col min="7167" max="7167" width="18.5703125" style="36" customWidth="1"/>
    <col min="7168" max="7168" width="1.42578125" style="36" customWidth="1"/>
    <col min="7169" max="7169" width="58.5703125" style="36" customWidth="1"/>
    <col min="7170" max="7171" width="11.42578125" style="36"/>
    <col min="7172" max="7172" width="2.42578125" style="36" customWidth="1"/>
    <col min="7173" max="7173" width="11.42578125" style="36"/>
    <col min="7174" max="7174" width="9.5703125" style="36" customWidth="1"/>
    <col min="7175" max="7420" width="11.42578125" style="36"/>
    <col min="7421" max="7421" width="0.42578125" style="36" customWidth="1"/>
    <col min="7422" max="7422" width="2.5703125" style="36" customWidth="1"/>
    <col min="7423" max="7423" width="18.5703125" style="36" customWidth="1"/>
    <col min="7424" max="7424" width="1.42578125" style="36" customWidth="1"/>
    <col min="7425" max="7425" width="58.5703125" style="36" customWidth="1"/>
    <col min="7426" max="7427" width="11.42578125" style="36"/>
    <col min="7428" max="7428" width="2.42578125" style="36" customWidth="1"/>
    <col min="7429" max="7429" width="11.42578125" style="36"/>
    <col min="7430" max="7430" width="9.5703125" style="36" customWidth="1"/>
    <col min="7431" max="7676" width="11.42578125" style="36"/>
    <col min="7677" max="7677" width="0.42578125" style="36" customWidth="1"/>
    <col min="7678" max="7678" width="2.5703125" style="36" customWidth="1"/>
    <col min="7679" max="7679" width="18.5703125" style="36" customWidth="1"/>
    <col min="7680" max="7680" width="1.42578125" style="36" customWidth="1"/>
    <col min="7681" max="7681" width="58.5703125" style="36" customWidth="1"/>
    <col min="7682" max="7683" width="11.42578125" style="36"/>
    <col min="7684" max="7684" width="2.42578125" style="36" customWidth="1"/>
    <col min="7685" max="7685" width="11.42578125" style="36"/>
    <col min="7686" max="7686" width="9.5703125" style="36" customWidth="1"/>
    <col min="7687" max="7932" width="11.42578125" style="36"/>
    <col min="7933" max="7933" width="0.42578125" style="36" customWidth="1"/>
    <col min="7934" max="7934" width="2.5703125" style="36" customWidth="1"/>
    <col min="7935" max="7935" width="18.5703125" style="36" customWidth="1"/>
    <col min="7936" max="7936" width="1.42578125" style="36" customWidth="1"/>
    <col min="7937" max="7937" width="58.5703125" style="36" customWidth="1"/>
    <col min="7938" max="7939" width="11.42578125" style="36"/>
    <col min="7940" max="7940" width="2.42578125" style="36" customWidth="1"/>
    <col min="7941" max="7941" width="11.42578125" style="36"/>
    <col min="7942" max="7942" width="9.5703125" style="36" customWidth="1"/>
    <col min="7943" max="8188" width="11.42578125" style="36"/>
    <col min="8189" max="8189" width="0.42578125" style="36" customWidth="1"/>
    <col min="8190" max="8190" width="2.5703125" style="36" customWidth="1"/>
    <col min="8191" max="8191" width="18.5703125" style="36" customWidth="1"/>
    <col min="8192" max="8192" width="1.42578125" style="36" customWidth="1"/>
    <col min="8193" max="8193" width="58.5703125" style="36" customWidth="1"/>
    <col min="8194" max="8195" width="11.42578125" style="36"/>
    <col min="8196" max="8196" width="2.42578125" style="36" customWidth="1"/>
    <col min="8197" max="8197" width="11.42578125" style="36"/>
    <col min="8198" max="8198" width="9.5703125" style="36" customWidth="1"/>
    <col min="8199" max="8444" width="11.42578125" style="36"/>
    <col min="8445" max="8445" width="0.42578125" style="36" customWidth="1"/>
    <col min="8446" max="8446" width="2.5703125" style="36" customWidth="1"/>
    <col min="8447" max="8447" width="18.5703125" style="36" customWidth="1"/>
    <col min="8448" max="8448" width="1.42578125" style="36" customWidth="1"/>
    <col min="8449" max="8449" width="58.5703125" style="36" customWidth="1"/>
    <col min="8450" max="8451" width="11.42578125" style="36"/>
    <col min="8452" max="8452" width="2.42578125" style="36" customWidth="1"/>
    <col min="8453" max="8453" width="11.42578125" style="36"/>
    <col min="8454" max="8454" width="9.5703125" style="36" customWidth="1"/>
    <col min="8455" max="8700" width="11.42578125" style="36"/>
    <col min="8701" max="8701" width="0.42578125" style="36" customWidth="1"/>
    <col min="8702" max="8702" width="2.5703125" style="36" customWidth="1"/>
    <col min="8703" max="8703" width="18.5703125" style="36" customWidth="1"/>
    <col min="8704" max="8704" width="1.42578125" style="36" customWidth="1"/>
    <col min="8705" max="8705" width="58.5703125" style="36" customWidth="1"/>
    <col min="8706" max="8707" width="11.42578125" style="36"/>
    <col min="8708" max="8708" width="2.42578125" style="36" customWidth="1"/>
    <col min="8709" max="8709" width="11.42578125" style="36"/>
    <col min="8710" max="8710" width="9.5703125" style="36" customWidth="1"/>
    <col min="8711" max="8956" width="11.42578125" style="36"/>
    <col min="8957" max="8957" width="0.42578125" style="36" customWidth="1"/>
    <col min="8958" max="8958" width="2.5703125" style="36" customWidth="1"/>
    <col min="8959" max="8959" width="18.5703125" style="36" customWidth="1"/>
    <col min="8960" max="8960" width="1.42578125" style="36" customWidth="1"/>
    <col min="8961" max="8961" width="58.5703125" style="36" customWidth="1"/>
    <col min="8962" max="8963" width="11.42578125" style="36"/>
    <col min="8964" max="8964" width="2.42578125" style="36" customWidth="1"/>
    <col min="8965" max="8965" width="11.42578125" style="36"/>
    <col min="8966" max="8966" width="9.5703125" style="36" customWidth="1"/>
    <col min="8967" max="9212" width="11.42578125" style="36"/>
    <col min="9213" max="9213" width="0.42578125" style="36" customWidth="1"/>
    <col min="9214" max="9214" width="2.5703125" style="36" customWidth="1"/>
    <col min="9215" max="9215" width="18.5703125" style="36" customWidth="1"/>
    <col min="9216" max="9216" width="1.42578125" style="36" customWidth="1"/>
    <col min="9217" max="9217" width="58.5703125" style="36" customWidth="1"/>
    <col min="9218" max="9219" width="11.42578125" style="36"/>
    <col min="9220" max="9220" width="2.42578125" style="36" customWidth="1"/>
    <col min="9221" max="9221" width="11.42578125" style="36"/>
    <col min="9222" max="9222" width="9.5703125" style="36" customWidth="1"/>
    <col min="9223" max="9468" width="11.42578125" style="36"/>
    <col min="9469" max="9469" width="0.42578125" style="36" customWidth="1"/>
    <col min="9470" max="9470" width="2.5703125" style="36" customWidth="1"/>
    <col min="9471" max="9471" width="18.5703125" style="36" customWidth="1"/>
    <col min="9472" max="9472" width="1.42578125" style="36" customWidth="1"/>
    <col min="9473" max="9473" width="58.5703125" style="36" customWidth="1"/>
    <col min="9474" max="9475" width="11.42578125" style="36"/>
    <col min="9476" max="9476" width="2.42578125" style="36" customWidth="1"/>
    <col min="9477" max="9477" width="11.42578125" style="36"/>
    <col min="9478" max="9478" width="9.5703125" style="36" customWidth="1"/>
    <col min="9479" max="9724" width="11.42578125" style="36"/>
    <col min="9725" max="9725" width="0.42578125" style="36" customWidth="1"/>
    <col min="9726" max="9726" width="2.5703125" style="36" customWidth="1"/>
    <col min="9727" max="9727" width="18.5703125" style="36" customWidth="1"/>
    <col min="9728" max="9728" width="1.42578125" style="36" customWidth="1"/>
    <col min="9729" max="9729" width="58.5703125" style="36" customWidth="1"/>
    <col min="9730" max="9731" width="11.42578125" style="36"/>
    <col min="9732" max="9732" width="2.42578125" style="36" customWidth="1"/>
    <col min="9733" max="9733" width="11.42578125" style="36"/>
    <col min="9734" max="9734" width="9.5703125" style="36" customWidth="1"/>
    <col min="9735" max="9980" width="11.42578125" style="36"/>
    <col min="9981" max="9981" width="0.42578125" style="36" customWidth="1"/>
    <col min="9982" max="9982" width="2.5703125" style="36" customWidth="1"/>
    <col min="9983" max="9983" width="18.5703125" style="36" customWidth="1"/>
    <col min="9984" max="9984" width="1.42578125" style="36" customWidth="1"/>
    <col min="9985" max="9985" width="58.5703125" style="36" customWidth="1"/>
    <col min="9986" max="9987" width="11.42578125" style="36"/>
    <col min="9988" max="9988" width="2.42578125" style="36" customWidth="1"/>
    <col min="9989" max="9989" width="11.42578125" style="36"/>
    <col min="9990" max="9990" width="9.5703125" style="36" customWidth="1"/>
    <col min="9991" max="10236" width="11.42578125" style="36"/>
    <col min="10237" max="10237" width="0.42578125" style="36" customWidth="1"/>
    <col min="10238" max="10238" width="2.5703125" style="36" customWidth="1"/>
    <col min="10239" max="10239" width="18.5703125" style="36" customWidth="1"/>
    <col min="10240" max="10240" width="1.42578125" style="36" customWidth="1"/>
    <col min="10241" max="10241" width="58.5703125" style="36" customWidth="1"/>
    <col min="10242" max="10243" width="11.42578125" style="36"/>
    <col min="10244" max="10244" width="2.42578125" style="36" customWidth="1"/>
    <col min="10245" max="10245" width="11.42578125" style="36"/>
    <col min="10246" max="10246" width="9.5703125" style="36" customWidth="1"/>
    <col min="10247" max="10492" width="11.42578125" style="36"/>
    <col min="10493" max="10493" width="0.42578125" style="36" customWidth="1"/>
    <col min="10494" max="10494" width="2.5703125" style="36" customWidth="1"/>
    <col min="10495" max="10495" width="18.5703125" style="36" customWidth="1"/>
    <col min="10496" max="10496" width="1.42578125" style="36" customWidth="1"/>
    <col min="10497" max="10497" width="58.5703125" style="36" customWidth="1"/>
    <col min="10498" max="10499" width="11.42578125" style="36"/>
    <col min="10500" max="10500" width="2.42578125" style="36" customWidth="1"/>
    <col min="10501" max="10501" width="11.42578125" style="36"/>
    <col min="10502" max="10502" width="9.5703125" style="36" customWidth="1"/>
    <col min="10503" max="10748" width="11.42578125" style="36"/>
    <col min="10749" max="10749" width="0.42578125" style="36" customWidth="1"/>
    <col min="10750" max="10750" width="2.5703125" style="36" customWidth="1"/>
    <col min="10751" max="10751" width="18.5703125" style="36" customWidth="1"/>
    <col min="10752" max="10752" width="1.42578125" style="36" customWidth="1"/>
    <col min="10753" max="10753" width="58.5703125" style="36" customWidth="1"/>
    <col min="10754" max="10755" width="11.42578125" style="36"/>
    <col min="10756" max="10756" width="2.42578125" style="36" customWidth="1"/>
    <col min="10757" max="10757" width="11.42578125" style="36"/>
    <col min="10758" max="10758" width="9.5703125" style="36" customWidth="1"/>
    <col min="10759" max="11004" width="11.42578125" style="36"/>
    <col min="11005" max="11005" width="0.42578125" style="36" customWidth="1"/>
    <col min="11006" max="11006" width="2.5703125" style="36" customWidth="1"/>
    <col min="11007" max="11007" width="18.5703125" style="36" customWidth="1"/>
    <col min="11008" max="11008" width="1.42578125" style="36" customWidth="1"/>
    <col min="11009" max="11009" width="58.5703125" style="36" customWidth="1"/>
    <col min="11010" max="11011" width="11.42578125" style="36"/>
    <col min="11012" max="11012" width="2.42578125" style="36" customWidth="1"/>
    <col min="11013" max="11013" width="11.42578125" style="36"/>
    <col min="11014" max="11014" width="9.5703125" style="36" customWidth="1"/>
    <col min="11015" max="11260" width="11.42578125" style="36"/>
    <col min="11261" max="11261" width="0.42578125" style="36" customWidth="1"/>
    <col min="11262" max="11262" width="2.5703125" style="36" customWidth="1"/>
    <col min="11263" max="11263" width="18.5703125" style="36" customWidth="1"/>
    <col min="11264" max="11264" width="1.42578125" style="36" customWidth="1"/>
    <col min="11265" max="11265" width="58.5703125" style="36" customWidth="1"/>
    <col min="11266" max="11267" width="11.42578125" style="36"/>
    <col min="11268" max="11268" width="2.42578125" style="36" customWidth="1"/>
    <col min="11269" max="11269" width="11.42578125" style="36"/>
    <col min="11270" max="11270" width="9.5703125" style="36" customWidth="1"/>
    <col min="11271" max="11516" width="11.42578125" style="36"/>
    <col min="11517" max="11517" width="0.42578125" style="36" customWidth="1"/>
    <col min="11518" max="11518" width="2.5703125" style="36" customWidth="1"/>
    <col min="11519" max="11519" width="18.5703125" style="36" customWidth="1"/>
    <col min="11520" max="11520" width="1.42578125" style="36" customWidth="1"/>
    <col min="11521" max="11521" width="58.5703125" style="36" customWidth="1"/>
    <col min="11522" max="11523" width="11.42578125" style="36"/>
    <col min="11524" max="11524" width="2.42578125" style="36" customWidth="1"/>
    <col min="11525" max="11525" width="11.42578125" style="36"/>
    <col min="11526" max="11526" width="9.5703125" style="36" customWidth="1"/>
    <col min="11527" max="11772" width="11.42578125" style="36"/>
    <col min="11773" max="11773" width="0.42578125" style="36" customWidth="1"/>
    <col min="11774" max="11774" width="2.5703125" style="36" customWidth="1"/>
    <col min="11775" max="11775" width="18.5703125" style="36" customWidth="1"/>
    <col min="11776" max="11776" width="1.42578125" style="36" customWidth="1"/>
    <col min="11777" max="11777" width="58.5703125" style="36" customWidth="1"/>
    <col min="11778" max="11779" width="11.42578125" style="36"/>
    <col min="11780" max="11780" width="2.42578125" style="36" customWidth="1"/>
    <col min="11781" max="11781" width="11.42578125" style="36"/>
    <col min="11782" max="11782" width="9.5703125" style="36" customWidth="1"/>
    <col min="11783" max="12028" width="11.42578125" style="36"/>
    <col min="12029" max="12029" width="0.42578125" style="36" customWidth="1"/>
    <col min="12030" max="12030" width="2.5703125" style="36" customWidth="1"/>
    <col min="12031" max="12031" width="18.5703125" style="36" customWidth="1"/>
    <col min="12032" max="12032" width="1.42578125" style="36" customWidth="1"/>
    <col min="12033" max="12033" width="58.5703125" style="36" customWidth="1"/>
    <col min="12034" max="12035" width="11.42578125" style="36"/>
    <col min="12036" max="12036" width="2.42578125" style="36" customWidth="1"/>
    <col min="12037" max="12037" width="11.42578125" style="36"/>
    <col min="12038" max="12038" width="9.5703125" style="36" customWidth="1"/>
    <col min="12039" max="12284" width="11.42578125" style="36"/>
    <col min="12285" max="12285" width="0.42578125" style="36" customWidth="1"/>
    <col min="12286" max="12286" width="2.5703125" style="36" customWidth="1"/>
    <col min="12287" max="12287" width="18.5703125" style="36" customWidth="1"/>
    <col min="12288" max="12288" width="1.42578125" style="36" customWidth="1"/>
    <col min="12289" max="12289" width="58.5703125" style="36" customWidth="1"/>
    <col min="12290" max="12291" width="11.42578125" style="36"/>
    <col min="12292" max="12292" width="2.42578125" style="36" customWidth="1"/>
    <col min="12293" max="12293" width="11.42578125" style="36"/>
    <col min="12294" max="12294" width="9.5703125" style="36" customWidth="1"/>
    <col min="12295" max="12540" width="11.42578125" style="36"/>
    <col min="12541" max="12541" width="0.42578125" style="36" customWidth="1"/>
    <col min="12542" max="12542" width="2.5703125" style="36" customWidth="1"/>
    <col min="12543" max="12543" width="18.5703125" style="36" customWidth="1"/>
    <col min="12544" max="12544" width="1.42578125" style="36" customWidth="1"/>
    <col min="12545" max="12545" width="58.5703125" style="36" customWidth="1"/>
    <col min="12546" max="12547" width="11.42578125" style="36"/>
    <col min="12548" max="12548" width="2.42578125" style="36" customWidth="1"/>
    <col min="12549" max="12549" width="11.42578125" style="36"/>
    <col min="12550" max="12550" width="9.5703125" style="36" customWidth="1"/>
    <col min="12551" max="12796" width="11.42578125" style="36"/>
    <col min="12797" max="12797" width="0.42578125" style="36" customWidth="1"/>
    <col min="12798" max="12798" width="2.5703125" style="36" customWidth="1"/>
    <col min="12799" max="12799" width="18.5703125" style="36" customWidth="1"/>
    <col min="12800" max="12800" width="1.42578125" style="36" customWidth="1"/>
    <col min="12801" max="12801" width="58.5703125" style="36" customWidth="1"/>
    <col min="12802" max="12803" width="11.42578125" style="36"/>
    <col min="12804" max="12804" width="2.42578125" style="36" customWidth="1"/>
    <col min="12805" max="12805" width="11.42578125" style="36"/>
    <col min="12806" max="12806" width="9.5703125" style="36" customWidth="1"/>
    <col min="12807" max="13052" width="11.42578125" style="36"/>
    <col min="13053" max="13053" width="0.42578125" style="36" customWidth="1"/>
    <col min="13054" max="13054" width="2.5703125" style="36" customWidth="1"/>
    <col min="13055" max="13055" width="18.5703125" style="36" customWidth="1"/>
    <col min="13056" max="13056" width="1.42578125" style="36" customWidth="1"/>
    <col min="13057" max="13057" width="58.5703125" style="36" customWidth="1"/>
    <col min="13058" max="13059" width="11.42578125" style="36"/>
    <col min="13060" max="13060" width="2.42578125" style="36" customWidth="1"/>
    <col min="13061" max="13061" width="11.42578125" style="36"/>
    <col min="13062" max="13062" width="9.5703125" style="36" customWidth="1"/>
    <col min="13063" max="13308" width="11.42578125" style="36"/>
    <col min="13309" max="13309" width="0.42578125" style="36" customWidth="1"/>
    <col min="13310" max="13310" width="2.5703125" style="36" customWidth="1"/>
    <col min="13311" max="13311" width="18.5703125" style="36" customWidth="1"/>
    <col min="13312" max="13312" width="1.42578125" style="36" customWidth="1"/>
    <col min="13313" max="13313" width="58.5703125" style="36" customWidth="1"/>
    <col min="13314" max="13315" width="11.42578125" style="36"/>
    <col min="13316" max="13316" width="2.42578125" style="36" customWidth="1"/>
    <col min="13317" max="13317" width="11.42578125" style="36"/>
    <col min="13318" max="13318" width="9.5703125" style="36" customWidth="1"/>
    <col min="13319" max="13564" width="11.42578125" style="36"/>
    <col min="13565" max="13565" width="0.42578125" style="36" customWidth="1"/>
    <col min="13566" max="13566" width="2.5703125" style="36" customWidth="1"/>
    <col min="13567" max="13567" width="18.5703125" style="36" customWidth="1"/>
    <col min="13568" max="13568" width="1.42578125" style="36" customWidth="1"/>
    <col min="13569" max="13569" width="58.5703125" style="36" customWidth="1"/>
    <col min="13570" max="13571" width="11.42578125" style="36"/>
    <col min="13572" max="13572" width="2.42578125" style="36" customWidth="1"/>
    <col min="13573" max="13573" width="11.42578125" style="36"/>
    <col min="13574" max="13574" width="9.5703125" style="36" customWidth="1"/>
    <col min="13575" max="13820" width="11.42578125" style="36"/>
    <col min="13821" max="13821" width="0.42578125" style="36" customWidth="1"/>
    <col min="13822" max="13822" width="2.5703125" style="36" customWidth="1"/>
    <col min="13823" max="13823" width="18.5703125" style="36" customWidth="1"/>
    <col min="13824" max="13824" width="1.42578125" style="36" customWidth="1"/>
    <col min="13825" max="13825" width="58.5703125" style="36" customWidth="1"/>
    <col min="13826" max="13827" width="11.42578125" style="36"/>
    <col min="13828" max="13828" width="2.42578125" style="36" customWidth="1"/>
    <col min="13829" max="13829" width="11.42578125" style="36"/>
    <col min="13830" max="13830" width="9.5703125" style="36" customWidth="1"/>
    <col min="13831" max="14076" width="11.42578125" style="36"/>
    <col min="14077" max="14077" width="0.42578125" style="36" customWidth="1"/>
    <col min="14078" max="14078" width="2.5703125" style="36" customWidth="1"/>
    <col min="14079" max="14079" width="18.5703125" style="36" customWidth="1"/>
    <col min="14080" max="14080" width="1.42578125" style="36" customWidth="1"/>
    <col min="14081" max="14081" width="58.5703125" style="36" customWidth="1"/>
    <col min="14082" max="14083" width="11.42578125" style="36"/>
    <col min="14084" max="14084" width="2.42578125" style="36" customWidth="1"/>
    <col min="14085" max="14085" width="11.42578125" style="36"/>
    <col min="14086" max="14086" width="9.5703125" style="36" customWidth="1"/>
    <col min="14087" max="14332" width="11.42578125" style="36"/>
    <col min="14333" max="14333" width="0.42578125" style="36" customWidth="1"/>
    <col min="14334" max="14334" width="2.5703125" style="36" customWidth="1"/>
    <col min="14335" max="14335" width="18.5703125" style="36" customWidth="1"/>
    <col min="14336" max="14336" width="1.42578125" style="36" customWidth="1"/>
    <col min="14337" max="14337" width="58.5703125" style="36" customWidth="1"/>
    <col min="14338" max="14339" width="11.42578125" style="36"/>
    <col min="14340" max="14340" width="2.42578125" style="36" customWidth="1"/>
    <col min="14341" max="14341" width="11.42578125" style="36"/>
    <col min="14342" max="14342" width="9.5703125" style="36" customWidth="1"/>
    <col min="14343" max="14588" width="11.42578125" style="36"/>
    <col min="14589" max="14589" width="0.42578125" style="36" customWidth="1"/>
    <col min="14590" max="14590" width="2.5703125" style="36" customWidth="1"/>
    <col min="14591" max="14591" width="18.5703125" style="36" customWidth="1"/>
    <col min="14592" max="14592" width="1.42578125" style="36" customWidth="1"/>
    <col min="14593" max="14593" width="58.5703125" style="36" customWidth="1"/>
    <col min="14594" max="14595" width="11.42578125" style="36"/>
    <col min="14596" max="14596" width="2.42578125" style="36" customWidth="1"/>
    <col min="14597" max="14597" width="11.42578125" style="36"/>
    <col min="14598" max="14598" width="9.5703125" style="36" customWidth="1"/>
    <col min="14599" max="14844" width="11.42578125" style="36"/>
    <col min="14845" max="14845" width="0.42578125" style="36" customWidth="1"/>
    <col min="14846" max="14846" width="2.5703125" style="36" customWidth="1"/>
    <col min="14847" max="14847" width="18.5703125" style="36" customWidth="1"/>
    <col min="14848" max="14848" width="1.42578125" style="36" customWidth="1"/>
    <col min="14849" max="14849" width="58.5703125" style="36" customWidth="1"/>
    <col min="14850" max="14851" width="11.42578125" style="36"/>
    <col min="14852" max="14852" width="2.42578125" style="36" customWidth="1"/>
    <col min="14853" max="14853" width="11.42578125" style="36"/>
    <col min="14854" max="14854" width="9.5703125" style="36" customWidth="1"/>
    <col min="14855" max="15100" width="11.42578125" style="36"/>
    <col min="15101" max="15101" width="0.42578125" style="36" customWidth="1"/>
    <col min="15102" max="15102" width="2.5703125" style="36" customWidth="1"/>
    <col min="15103" max="15103" width="18.5703125" style="36" customWidth="1"/>
    <col min="15104" max="15104" width="1.42578125" style="36" customWidth="1"/>
    <col min="15105" max="15105" width="58.5703125" style="36" customWidth="1"/>
    <col min="15106" max="15107" width="11.42578125" style="36"/>
    <col min="15108" max="15108" width="2.42578125" style="36" customWidth="1"/>
    <col min="15109" max="15109" width="11.42578125" style="36"/>
    <col min="15110" max="15110" width="9.5703125" style="36" customWidth="1"/>
    <col min="15111" max="15356" width="11.42578125" style="36"/>
    <col min="15357" max="15357" width="0.42578125" style="36" customWidth="1"/>
    <col min="15358" max="15358" width="2.5703125" style="36" customWidth="1"/>
    <col min="15359" max="15359" width="18.5703125" style="36" customWidth="1"/>
    <col min="15360" max="15360" width="1.42578125" style="36" customWidth="1"/>
    <col min="15361" max="15361" width="58.5703125" style="36" customWidth="1"/>
    <col min="15362" max="15363" width="11.42578125" style="36"/>
    <col min="15364" max="15364" width="2.42578125" style="36" customWidth="1"/>
    <col min="15365" max="15365" width="11.42578125" style="36"/>
    <col min="15366" max="15366" width="9.5703125" style="36" customWidth="1"/>
    <col min="15367" max="15612" width="11.42578125" style="36"/>
    <col min="15613" max="15613" width="0.42578125" style="36" customWidth="1"/>
    <col min="15614" max="15614" width="2.5703125" style="36" customWidth="1"/>
    <col min="15615" max="15615" width="18.5703125" style="36" customWidth="1"/>
    <col min="15616" max="15616" width="1.42578125" style="36" customWidth="1"/>
    <col min="15617" max="15617" width="58.5703125" style="36" customWidth="1"/>
    <col min="15618" max="15619" width="11.42578125" style="36"/>
    <col min="15620" max="15620" width="2.42578125" style="36" customWidth="1"/>
    <col min="15621" max="15621" width="11.42578125" style="36"/>
    <col min="15622" max="15622" width="9.5703125" style="36" customWidth="1"/>
    <col min="15623" max="15868" width="11.42578125" style="36"/>
    <col min="15869" max="15869" width="0.42578125" style="36" customWidth="1"/>
    <col min="15870" max="15870" width="2.5703125" style="36" customWidth="1"/>
    <col min="15871" max="15871" width="18.5703125" style="36" customWidth="1"/>
    <col min="15872" max="15872" width="1.42578125" style="36" customWidth="1"/>
    <col min="15873" max="15873" width="58.5703125" style="36" customWidth="1"/>
    <col min="15874" max="15875" width="11.42578125" style="36"/>
    <col min="15876" max="15876" width="2.42578125" style="36" customWidth="1"/>
    <col min="15877" max="15877" width="11.42578125" style="36"/>
    <col min="15878" max="15878" width="9.5703125" style="36" customWidth="1"/>
    <col min="15879" max="16124" width="11.42578125" style="36"/>
    <col min="16125" max="16125" width="0.42578125" style="36" customWidth="1"/>
    <col min="16126" max="16126" width="2.5703125" style="36" customWidth="1"/>
    <col min="16127" max="16127" width="18.5703125" style="36" customWidth="1"/>
    <col min="16128" max="16128" width="1.42578125" style="36" customWidth="1"/>
    <col min="16129" max="16129" width="58.5703125" style="36" customWidth="1"/>
    <col min="16130" max="16131" width="11.42578125" style="36"/>
    <col min="16132" max="16132" width="2.42578125" style="36" customWidth="1"/>
    <col min="16133" max="16133" width="11.42578125" style="36"/>
    <col min="16134" max="16134" width="9.5703125" style="36" customWidth="1"/>
    <col min="16135" max="16384" width="11.42578125" style="36"/>
  </cols>
  <sheetData>
    <row r="1" spans="2:6" s="26" customFormat="1" ht="0.75" customHeight="1"/>
    <row r="2" spans="2:6" s="26" customFormat="1" ht="21" customHeight="1">
      <c r="E2" s="100" t="s">
        <v>1</v>
      </c>
    </row>
    <row r="3" spans="2:6" s="26" customFormat="1" ht="15" customHeight="1">
      <c r="E3" s="101" t="str">
        <f>Indice!E3</f>
        <v>Marzo 2024</v>
      </c>
    </row>
    <row r="4" spans="2:6" s="29" customFormat="1" ht="20.25" customHeight="1">
      <c r="B4" s="28"/>
      <c r="C4" s="99" t="s">
        <v>67</v>
      </c>
    </row>
    <row r="5" spans="2:6" s="29" customFormat="1" ht="12.75" customHeight="1">
      <c r="B5" s="28"/>
      <c r="C5" s="30"/>
    </row>
    <row r="6" spans="2:6" s="29" customFormat="1" ht="13.5" customHeight="1">
      <c r="B6" s="28"/>
      <c r="C6" s="31"/>
      <c r="D6" s="32"/>
      <c r="E6" s="32"/>
    </row>
    <row r="7" spans="2:6" s="29" customFormat="1" ht="12.75" customHeight="1">
      <c r="B7" s="28"/>
      <c r="C7" s="311" t="s">
        <v>58</v>
      </c>
      <c r="D7" s="32"/>
      <c r="E7" s="39"/>
    </row>
    <row r="8" spans="2:6" s="29" customFormat="1" ht="12.75" customHeight="1">
      <c r="B8" s="28"/>
      <c r="C8" s="311"/>
      <c r="D8" s="32"/>
      <c r="E8" s="39"/>
    </row>
    <row r="9" spans="2:6" s="29" customFormat="1" ht="12.75" customHeight="1">
      <c r="B9" s="28"/>
      <c r="C9" s="252"/>
      <c r="D9" s="32"/>
      <c r="E9" s="39"/>
    </row>
    <row r="10" spans="2:6" s="29" customFormat="1" ht="12.75" customHeight="1">
      <c r="B10" s="28"/>
      <c r="C10" s="126"/>
      <c r="D10" s="32"/>
      <c r="E10" s="39"/>
      <c r="F10" s="33"/>
    </row>
    <row r="11" spans="2:6" s="29" customFormat="1" ht="12.75" customHeight="1">
      <c r="B11" s="28"/>
      <c r="C11" s="34"/>
      <c r="D11" s="32"/>
      <c r="E11" s="39"/>
      <c r="F11" s="33"/>
    </row>
    <row r="12" spans="2:6" s="29" customFormat="1" ht="12.75" customHeight="1">
      <c r="B12" s="28"/>
      <c r="D12" s="32"/>
      <c r="E12" s="32"/>
      <c r="F12" s="33"/>
    </row>
    <row r="13" spans="2:6" s="29" customFormat="1" ht="12.75" customHeight="1">
      <c r="B13" s="28"/>
      <c r="C13" s="35"/>
      <c r="D13" s="32"/>
      <c r="E13" s="32"/>
      <c r="F13" s="33"/>
    </row>
    <row r="14" spans="2:6" s="29" customFormat="1" ht="12.75" customHeight="1">
      <c r="B14" s="28"/>
      <c r="C14" s="35"/>
      <c r="D14" s="32"/>
      <c r="E14" s="32"/>
      <c r="F14" s="33"/>
    </row>
    <row r="15" spans="2:6" s="29" customFormat="1" ht="12.75" customHeight="1">
      <c r="B15" s="28"/>
      <c r="C15" s="35"/>
      <c r="D15" s="32"/>
      <c r="E15" s="32"/>
      <c r="F15" s="33"/>
    </row>
    <row r="16" spans="2:6" s="29" customFormat="1" ht="12.75" customHeight="1">
      <c r="B16" s="28"/>
      <c r="C16" s="35"/>
      <c r="D16" s="32"/>
      <c r="E16" s="32"/>
      <c r="F16" s="33"/>
    </row>
    <row r="17" spans="2:6" s="29" customFormat="1" ht="12.75" customHeight="1">
      <c r="B17" s="28"/>
      <c r="D17" s="32"/>
      <c r="E17" s="32"/>
      <c r="F17" s="33"/>
    </row>
    <row r="18" spans="2:6" s="29" customFormat="1" ht="12.75" customHeight="1">
      <c r="B18" s="28"/>
      <c r="D18" s="32"/>
      <c r="E18" s="32"/>
      <c r="F18" s="33"/>
    </row>
    <row r="19" spans="2:6" s="29" customFormat="1" ht="12.75" customHeight="1">
      <c r="B19" s="28"/>
      <c r="C19" s="35"/>
      <c r="D19" s="32"/>
      <c r="E19" s="32"/>
      <c r="F19" s="33"/>
    </row>
    <row r="20" spans="2:6" s="29" customFormat="1" ht="12.75" customHeight="1">
      <c r="B20" s="28"/>
      <c r="C20" s="31"/>
      <c r="D20" s="32"/>
      <c r="E20" s="32"/>
      <c r="F20" s="33"/>
    </row>
    <row r="21" spans="2:6" s="29" customFormat="1" ht="12.75" customHeight="1">
      <c r="B21" s="28"/>
      <c r="C21" s="31"/>
      <c r="D21" s="32"/>
      <c r="E21" s="32"/>
      <c r="F21" s="33"/>
    </row>
    <row r="22" spans="2:6" s="29" customFormat="1" ht="12.75" customHeight="1">
      <c r="B22" s="28"/>
      <c r="C22" s="31"/>
      <c r="D22" s="32"/>
      <c r="E22" s="32"/>
    </row>
    <row r="23" spans="2:6" ht="12.75" customHeight="1">
      <c r="C23" s="311" t="s">
        <v>60</v>
      </c>
      <c r="E23" s="41"/>
    </row>
    <row r="24" spans="2:6" ht="12.75" customHeight="1">
      <c r="C24" s="311"/>
      <c r="E24" s="37"/>
    </row>
    <row r="25" spans="2:6" ht="12.75" customHeight="1">
      <c r="C25" s="311"/>
      <c r="E25" s="38"/>
    </row>
    <row r="26" spans="2:6" ht="12.75" customHeight="1">
      <c r="C26" s="126"/>
    </row>
    <row r="27" spans="2:6">
      <c r="C27" s="126"/>
    </row>
    <row r="28" spans="2:6">
      <c r="C28" s="40"/>
      <c r="F28" s="33"/>
    </row>
    <row r="29" spans="2:6">
      <c r="C29" s="40"/>
      <c r="F29" s="33"/>
    </row>
    <row r="30" spans="2:6">
      <c r="C30" s="34"/>
      <c r="F30" s="33"/>
    </row>
    <row r="31" spans="2:6">
      <c r="F31" s="33"/>
    </row>
    <row r="32" spans="2:6" ht="12.75" customHeight="1">
      <c r="F32" s="33"/>
    </row>
    <row r="33" spans="5:8">
      <c r="F33" s="33"/>
    </row>
    <row r="34" spans="5:8">
      <c r="F34" s="33"/>
    </row>
    <row r="35" spans="5:8">
      <c r="F35" s="33"/>
    </row>
    <row r="36" spans="5:8">
      <c r="F36" s="33"/>
    </row>
    <row r="37" spans="5:8">
      <c r="F37" s="33"/>
    </row>
    <row r="38" spans="5:8">
      <c r="F38" s="33"/>
    </row>
    <row r="39" spans="5:8">
      <c r="E39" s="41"/>
      <c r="F39" s="33"/>
    </row>
    <row r="40" spans="5:8">
      <c r="F40" s="33"/>
      <c r="H40" s="102"/>
    </row>
  </sheetData>
  <mergeCells count="2">
    <mergeCell ref="C7:C8"/>
    <mergeCell ref="C23:C25"/>
  </mergeCells>
  <printOptions horizontalCentered="1" verticalCentered="1"/>
  <pageMargins left="0.78740157480314965" right="0.78740157480314965" top="0.98425196850393704" bottom="0.98425196850393704" header="0" footer="0"/>
  <pageSetup paperSize="9" scale="94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4">
    <pageSetUpPr fitToPage="1"/>
  </sheetPr>
  <dimension ref="A1:G30"/>
  <sheetViews>
    <sheetView showGridLines="0" showRowColHeaders="0" workbookViewId="0">
      <selection activeCell="J17" sqref="J17"/>
    </sheetView>
  </sheetViews>
  <sheetFormatPr baseColWidth="10" defaultRowHeight="12.75"/>
  <cols>
    <col min="1" max="1" width="0.42578125" style="26" customWidth="1"/>
    <col min="2" max="2" width="2.5703125" style="26" customWidth="1"/>
    <col min="3" max="3" width="23.5703125" style="26" customWidth="1"/>
    <col min="4" max="4" width="1.42578125" style="26" customWidth="1"/>
    <col min="5" max="5" width="58.5703125" style="26" customWidth="1"/>
    <col min="6" max="6" width="1.42578125" style="26" customWidth="1"/>
    <col min="7" max="7" width="58.5703125" style="36" customWidth="1"/>
    <col min="8" max="8" width="11.42578125" style="36"/>
    <col min="9" max="9" width="15.5703125" style="36" customWidth="1"/>
    <col min="10" max="255" width="11.42578125" style="36"/>
    <col min="256" max="256" width="0.42578125" style="36" customWidth="1"/>
    <col min="257" max="257" width="2.5703125" style="36" customWidth="1"/>
    <col min="258" max="258" width="18.5703125" style="36" customWidth="1"/>
    <col min="259" max="259" width="1.42578125" style="36" customWidth="1"/>
    <col min="260" max="260" width="58.5703125" style="36" customWidth="1"/>
    <col min="261" max="262" width="11.42578125" style="36"/>
    <col min="263" max="263" width="2.42578125" style="36" customWidth="1"/>
    <col min="264" max="264" width="11.42578125" style="36"/>
    <col min="265" max="265" width="9.5703125" style="36" customWidth="1"/>
    <col min="266" max="511" width="11.42578125" style="36"/>
    <col min="512" max="512" width="0.42578125" style="36" customWidth="1"/>
    <col min="513" max="513" width="2.5703125" style="36" customWidth="1"/>
    <col min="514" max="514" width="18.5703125" style="36" customWidth="1"/>
    <col min="515" max="515" width="1.42578125" style="36" customWidth="1"/>
    <col min="516" max="516" width="58.5703125" style="36" customWidth="1"/>
    <col min="517" max="518" width="11.42578125" style="36"/>
    <col min="519" max="519" width="2.42578125" style="36" customWidth="1"/>
    <col min="520" max="520" width="11.42578125" style="36"/>
    <col min="521" max="521" width="9.5703125" style="36" customWidth="1"/>
    <col min="522" max="767" width="11.42578125" style="36"/>
    <col min="768" max="768" width="0.42578125" style="36" customWidth="1"/>
    <col min="769" max="769" width="2.5703125" style="36" customWidth="1"/>
    <col min="770" max="770" width="18.5703125" style="36" customWidth="1"/>
    <col min="771" max="771" width="1.42578125" style="36" customWidth="1"/>
    <col min="772" max="772" width="58.5703125" style="36" customWidth="1"/>
    <col min="773" max="774" width="11.42578125" style="36"/>
    <col min="775" max="775" width="2.42578125" style="36" customWidth="1"/>
    <col min="776" max="776" width="11.42578125" style="36"/>
    <col min="777" max="777" width="9.5703125" style="36" customWidth="1"/>
    <col min="778" max="1023" width="11.42578125" style="36"/>
    <col min="1024" max="1024" width="0.42578125" style="36" customWidth="1"/>
    <col min="1025" max="1025" width="2.5703125" style="36" customWidth="1"/>
    <col min="1026" max="1026" width="18.5703125" style="36" customWidth="1"/>
    <col min="1027" max="1027" width="1.42578125" style="36" customWidth="1"/>
    <col min="1028" max="1028" width="58.5703125" style="36" customWidth="1"/>
    <col min="1029" max="1030" width="11.42578125" style="36"/>
    <col min="1031" max="1031" width="2.42578125" style="36" customWidth="1"/>
    <col min="1032" max="1032" width="11.42578125" style="36"/>
    <col min="1033" max="1033" width="9.5703125" style="36" customWidth="1"/>
    <col min="1034" max="1279" width="11.42578125" style="36"/>
    <col min="1280" max="1280" width="0.42578125" style="36" customWidth="1"/>
    <col min="1281" max="1281" width="2.5703125" style="36" customWidth="1"/>
    <col min="1282" max="1282" width="18.5703125" style="36" customWidth="1"/>
    <col min="1283" max="1283" width="1.42578125" style="36" customWidth="1"/>
    <col min="1284" max="1284" width="58.5703125" style="36" customWidth="1"/>
    <col min="1285" max="1286" width="11.42578125" style="36"/>
    <col min="1287" max="1287" width="2.42578125" style="36" customWidth="1"/>
    <col min="1288" max="1288" width="11.42578125" style="36"/>
    <col min="1289" max="1289" width="9.5703125" style="36" customWidth="1"/>
    <col min="1290" max="1535" width="11.42578125" style="36"/>
    <col min="1536" max="1536" width="0.42578125" style="36" customWidth="1"/>
    <col min="1537" max="1537" width="2.5703125" style="36" customWidth="1"/>
    <col min="1538" max="1538" width="18.5703125" style="36" customWidth="1"/>
    <col min="1539" max="1539" width="1.42578125" style="36" customWidth="1"/>
    <col min="1540" max="1540" width="58.5703125" style="36" customWidth="1"/>
    <col min="1541" max="1542" width="11.42578125" style="36"/>
    <col min="1543" max="1543" width="2.42578125" style="36" customWidth="1"/>
    <col min="1544" max="1544" width="11.42578125" style="36"/>
    <col min="1545" max="1545" width="9.5703125" style="36" customWidth="1"/>
    <col min="1546" max="1791" width="11.42578125" style="36"/>
    <col min="1792" max="1792" width="0.42578125" style="36" customWidth="1"/>
    <col min="1793" max="1793" width="2.5703125" style="36" customWidth="1"/>
    <col min="1794" max="1794" width="18.5703125" style="36" customWidth="1"/>
    <col min="1795" max="1795" width="1.42578125" style="36" customWidth="1"/>
    <col min="1796" max="1796" width="58.5703125" style="36" customWidth="1"/>
    <col min="1797" max="1798" width="11.42578125" style="36"/>
    <col min="1799" max="1799" width="2.42578125" style="36" customWidth="1"/>
    <col min="1800" max="1800" width="11.42578125" style="36"/>
    <col min="1801" max="1801" width="9.5703125" style="36" customWidth="1"/>
    <col min="1802" max="2047" width="11.42578125" style="36"/>
    <col min="2048" max="2048" width="0.42578125" style="36" customWidth="1"/>
    <col min="2049" max="2049" width="2.5703125" style="36" customWidth="1"/>
    <col min="2050" max="2050" width="18.5703125" style="36" customWidth="1"/>
    <col min="2051" max="2051" width="1.42578125" style="36" customWidth="1"/>
    <col min="2052" max="2052" width="58.5703125" style="36" customWidth="1"/>
    <col min="2053" max="2054" width="11.42578125" style="36"/>
    <col min="2055" max="2055" width="2.42578125" style="36" customWidth="1"/>
    <col min="2056" max="2056" width="11.42578125" style="36"/>
    <col min="2057" max="2057" width="9.5703125" style="36" customWidth="1"/>
    <col min="2058" max="2303" width="11.42578125" style="36"/>
    <col min="2304" max="2304" width="0.42578125" style="36" customWidth="1"/>
    <col min="2305" max="2305" width="2.5703125" style="36" customWidth="1"/>
    <col min="2306" max="2306" width="18.5703125" style="36" customWidth="1"/>
    <col min="2307" max="2307" width="1.42578125" style="36" customWidth="1"/>
    <col min="2308" max="2308" width="58.5703125" style="36" customWidth="1"/>
    <col min="2309" max="2310" width="11.42578125" style="36"/>
    <col min="2311" max="2311" width="2.42578125" style="36" customWidth="1"/>
    <col min="2312" max="2312" width="11.42578125" style="36"/>
    <col min="2313" max="2313" width="9.5703125" style="36" customWidth="1"/>
    <col min="2314" max="2559" width="11.42578125" style="36"/>
    <col min="2560" max="2560" width="0.42578125" style="36" customWidth="1"/>
    <col min="2561" max="2561" width="2.5703125" style="36" customWidth="1"/>
    <col min="2562" max="2562" width="18.5703125" style="36" customWidth="1"/>
    <col min="2563" max="2563" width="1.42578125" style="36" customWidth="1"/>
    <col min="2564" max="2564" width="58.5703125" style="36" customWidth="1"/>
    <col min="2565" max="2566" width="11.42578125" style="36"/>
    <col min="2567" max="2567" width="2.42578125" style="36" customWidth="1"/>
    <col min="2568" max="2568" width="11.42578125" style="36"/>
    <col min="2569" max="2569" width="9.5703125" style="36" customWidth="1"/>
    <col min="2570" max="2815" width="11.42578125" style="36"/>
    <col min="2816" max="2816" width="0.42578125" style="36" customWidth="1"/>
    <col min="2817" max="2817" width="2.5703125" style="36" customWidth="1"/>
    <col min="2818" max="2818" width="18.5703125" style="36" customWidth="1"/>
    <col min="2819" max="2819" width="1.42578125" style="36" customWidth="1"/>
    <col min="2820" max="2820" width="58.5703125" style="36" customWidth="1"/>
    <col min="2821" max="2822" width="11.42578125" style="36"/>
    <col min="2823" max="2823" width="2.42578125" style="36" customWidth="1"/>
    <col min="2824" max="2824" width="11.42578125" style="36"/>
    <col min="2825" max="2825" width="9.5703125" style="36" customWidth="1"/>
    <col min="2826" max="3071" width="11.42578125" style="36"/>
    <col min="3072" max="3072" width="0.42578125" style="36" customWidth="1"/>
    <col min="3073" max="3073" width="2.5703125" style="36" customWidth="1"/>
    <col min="3074" max="3074" width="18.5703125" style="36" customWidth="1"/>
    <col min="3075" max="3075" width="1.42578125" style="36" customWidth="1"/>
    <col min="3076" max="3076" width="58.5703125" style="36" customWidth="1"/>
    <col min="3077" max="3078" width="11.42578125" style="36"/>
    <col min="3079" max="3079" width="2.42578125" style="36" customWidth="1"/>
    <col min="3080" max="3080" width="11.42578125" style="36"/>
    <col min="3081" max="3081" width="9.5703125" style="36" customWidth="1"/>
    <col min="3082" max="3327" width="11.42578125" style="36"/>
    <col min="3328" max="3328" width="0.42578125" style="36" customWidth="1"/>
    <col min="3329" max="3329" width="2.5703125" style="36" customWidth="1"/>
    <col min="3330" max="3330" width="18.5703125" style="36" customWidth="1"/>
    <col min="3331" max="3331" width="1.42578125" style="36" customWidth="1"/>
    <col min="3332" max="3332" width="58.5703125" style="36" customWidth="1"/>
    <col min="3333" max="3334" width="11.42578125" style="36"/>
    <col min="3335" max="3335" width="2.42578125" style="36" customWidth="1"/>
    <col min="3336" max="3336" width="11.42578125" style="36"/>
    <col min="3337" max="3337" width="9.5703125" style="36" customWidth="1"/>
    <col min="3338" max="3583" width="11.42578125" style="36"/>
    <col min="3584" max="3584" width="0.42578125" style="36" customWidth="1"/>
    <col min="3585" max="3585" width="2.5703125" style="36" customWidth="1"/>
    <col min="3586" max="3586" width="18.5703125" style="36" customWidth="1"/>
    <col min="3587" max="3587" width="1.42578125" style="36" customWidth="1"/>
    <col min="3588" max="3588" width="58.5703125" style="36" customWidth="1"/>
    <col min="3589" max="3590" width="11.42578125" style="36"/>
    <col min="3591" max="3591" width="2.42578125" style="36" customWidth="1"/>
    <col min="3592" max="3592" width="11.42578125" style="36"/>
    <col min="3593" max="3593" width="9.5703125" style="36" customWidth="1"/>
    <col min="3594" max="3839" width="11.42578125" style="36"/>
    <col min="3840" max="3840" width="0.42578125" style="36" customWidth="1"/>
    <col min="3841" max="3841" width="2.5703125" style="36" customWidth="1"/>
    <col min="3842" max="3842" width="18.5703125" style="36" customWidth="1"/>
    <col min="3843" max="3843" width="1.42578125" style="36" customWidth="1"/>
    <col min="3844" max="3844" width="58.5703125" style="36" customWidth="1"/>
    <col min="3845" max="3846" width="11.42578125" style="36"/>
    <col min="3847" max="3847" width="2.42578125" style="36" customWidth="1"/>
    <col min="3848" max="3848" width="11.42578125" style="36"/>
    <col min="3849" max="3849" width="9.5703125" style="36" customWidth="1"/>
    <col min="3850" max="4095" width="11.42578125" style="36"/>
    <col min="4096" max="4096" width="0.42578125" style="36" customWidth="1"/>
    <col min="4097" max="4097" width="2.5703125" style="36" customWidth="1"/>
    <col min="4098" max="4098" width="18.5703125" style="36" customWidth="1"/>
    <col min="4099" max="4099" width="1.42578125" style="36" customWidth="1"/>
    <col min="4100" max="4100" width="58.5703125" style="36" customWidth="1"/>
    <col min="4101" max="4102" width="11.42578125" style="36"/>
    <col min="4103" max="4103" width="2.42578125" style="36" customWidth="1"/>
    <col min="4104" max="4104" width="11.42578125" style="36"/>
    <col min="4105" max="4105" width="9.5703125" style="36" customWidth="1"/>
    <col min="4106" max="4351" width="11.42578125" style="36"/>
    <col min="4352" max="4352" width="0.42578125" style="36" customWidth="1"/>
    <col min="4353" max="4353" width="2.5703125" style="36" customWidth="1"/>
    <col min="4354" max="4354" width="18.5703125" style="36" customWidth="1"/>
    <col min="4355" max="4355" width="1.42578125" style="36" customWidth="1"/>
    <col min="4356" max="4356" width="58.5703125" style="36" customWidth="1"/>
    <col min="4357" max="4358" width="11.42578125" style="36"/>
    <col min="4359" max="4359" width="2.42578125" style="36" customWidth="1"/>
    <col min="4360" max="4360" width="11.42578125" style="36"/>
    <col min="4361" max="4361" width="9.5703125" style="36" customWidth="1"/>
    <col min="4362" max="4607" width="11.42578125" style="36"/>
    <col min="4608" max="4608" width="0.42578125" style="36" customWidth="1"/>
    <col min="4609" max="4609" width="2.5703125" style="36" customWidth="1"/>
    <col min="4610" max="4610" width="18.5703125" style="36" customWidth="1"/>
    <col min="4611" max="4611" width="1.42578125" style="36" customWidth="1"/>
    <col min="4612" max="4612" width="58.5703125" style="36" customWidth="1"/>
    <col min="4613" max="4614" width="11.42578125" style="36"/>
    <col min="4615" max="4615" width="2.42578125" style="36" customWidth="1"/>
    <col min="4616" max="4616" width="11.42578125" style="36"/>
    <col min="4617" max="4617" width="9.5703125" style="36" customWidth="1"/>
    <col min="4618" max="4863" width="11.42578125" style="36"/>
    <col min="4864" max="4864" width="0.42578125" style="36" customWidth="1"/>
    <col min="4865" max="4865" width="2.5703125" style="36" customWidth="1"/>
    <col min="4866" max="4866" width="18.5703125" style="36" customWidth="1"/>
    <col min="4867" max="4867" width="1.42578125" style="36" customWidth="1"/>
    <col min="4868" max="4868" width="58.5703125" style="36" customWidth="1"/>
    <col min="4869" max="4870" width="11.42578125" style="36"/>
    <col min="4871" max="4871" width="2.42578125" style="36" customWidth="1"/>
    <col min="4872" max="4872" width="11.42578125" style="36"/>
    <col min="4873" max="4873" width="9.5703125" style="36" customWidth="1"/>
    <col min="4874" max="5119" width="11.42578125" style="36"/>
    <col min="5120" max="5120" width="0.42578125" style="36" customWidth="1"/>
    <col min="5121" max="5121" width="2.5703125" style="36" customWidth="1"/>
    <col min="5122" max="5122" width="18.5703125" style="36" customWidth="1"/>
    <col min="5123" max="5123" width="1.42578125" style="36" customWidth="1"/>
    <col min="5124" max="5124" width="58.5703125" style="36" customWidth="1"/>
    <col min="5125" max="5126" width="11.42578125" style="36"/>
    <col min="5127" max="5127" width="2.42578125" style="36" customWidth="1"/>
    <col min="5128" max="5128" width="11.42578125" style="36"/>
    <col min="5129" max="5129" width="9.5703125" style="36" customWidth="1"/>
    <col min="5130" max="5375" width="11.42578125" style="36"/>
    <col min="5376" max="5376" width="0.42578125" style="36" customWidth="1"/>
    <col min="5377" max="5377" width="2.5703125" style="36" customWidth="1"/>
    <col min="5378" max="5378" width="18.5703125" style="36" customWidth="1"/>
    <col min="5379" max="5379" width="1.42578125" style="36" customWidth="1"/>
    <col min="5380" max="5380" width="58.5703125" style="36" customWidth="1"/>
    <col min="5381" max="5382" width="11.42578125" style="36"/>
    <col min="5383" max="5383" width="2.42578125" style="36" customWidth="1"/>
    <col min="5384" max="5384" width="11.42578125" style="36"/>
    <col min="5385" max="5385" width="9.5703125" style="36" customWidth="1"/>
    <col min="5386" max="5631" width="11.42578125" style="36"/>
    <col min="5632" max="5632" width="0.42578125" style="36" customWidth="1"/>
    <col min="5633" max="5633" width="2.5703125" style="36" customWidth="1"/>
    <col min="5634" max="5634" width="18.5703125" style="36" customWidth="1"/>
    <col min="5635" max="5635" width="1.42578125" style="36" customWidth="1"/>
    <col min="5636" max="5636" width="58.5703125" style="36" customWidth="1"/>
    <col min="5637" max="5638" width="11.42578125" style="36"/>
    <col min="5639" max="5639" width="2.42578125" style="36" customWidth="1"/>
    <col min="5640" max="5640" width="11.42578125" style="36"/>
    <col min="5641" max="5641" width="9.5703125" style="36" customWidth="1"/>
    <col min="5642" max="5887" width="11.42578125" style="36"/>
    <col min="5888" max="5888" width="0.42578125" style="36" customWidth="1"/>
    <col min="5889" max="5889" width="2.5703125" style="36" customWidth="1"/>
    <col min="5890" max="5890" width="18.5703125" style="36" customWidth="1"/>
    <col min="5891" max="5891" width="1.42578125" style="36" customWidth="1"/>
    <col min="5892" max="5892" width="58.5703125" style="36" customWidth="1"/>
    <col min="5893" max="5894" width="11.42578125" style="36"/>
    <col min="5895" max="5895" width="2.42578125" style="36" customWidth="1"/>
    <col min="5896" max="5896" width="11.42578125" style="36"/>
    <col min="5897" max="5897" width="9.5703125" style="36" customWidth="1"/>
    <col min="5898" max="6143" width="11.42578125" style="36"/>
    <col min="6144" max="6144" width="0.42578125" style="36" customWidth="1"/>
    <col min="6145" max="6145" width="2.5703125" style="36" customWidth="1"/>
    <col min="6146" max="6146" width="18.5703125" style="36" customWidth="1"/>
    <col min="6147" max="6147" width="1.42578125" style="36" customWidth="1"/>
    <col min="6148" max="6148" width="58.5703125" style="36" customWidth="1"/>
    <col min="6149" max="6150" width="11.42578125" style="36"/>
    <col min="6151" max="6151" width="2.42578125" style="36" customWidth="1"/>
    <col min="6152" max="6152" width="11.42578125" style="36"/>
    <col min="6153" max="6153" width="9.5703125" style="36" customWidth="1"/>
    <col min="6154" max="6399" width="11.42578125" style="36"/>
    <col min="6400" max="6400" width="0.42578125" style="36" customWidth="1"/>
    <col min="6401" max="6401" width="2.5703125" style="36" customWidth="1"/>
    <col min="6402" max="6402" width="18.5703125" style="36" customWidth="1"/>
    <col min="6403" max="6403" width="1.42578125" style="36" customWidth="1"/>
    <col min="6404" max="6404" width="58.5703125" style="36" customWidth="1"/>
    <col min="6405" max="6406" width="11.42578125" style="36"/>
    <col min="6407" max="6407" width="2.42578125" style="36" customWidth="1"/>
    <col min="6408" max="6408" width="11.42578125" style="36"/>
    <col min="6409" max="6409" width="9.5703125" style="36" customWidth="1"/>
    <col min="6410" max="6655" width="11.42578125" style="36"/>
    <col min="6656" max="6656" width="0.42578125" style="36" customWidth="1"/>
    <col min="6657" max="6657" width="2.5703125" style="36" customWidth="1"/>
    <col min="6658" max="6658" width="18.5703125" style="36" customWidth="1"/>
    <col min="6659" max="6659" width="1.42578125" style="36" customWidth="1"/>
    <col min="6660" max="6660" width="58.5703125" style="36" customWidth="1"/>
    <col min="6661" max="6662" width="11.42578125" style="36"/>
    <col min="6663" max="6663" width="2.42578125" style="36" customWidth="1"/>
    <col min="6664" max="6664" width="11.42578125" style="36"/>
    <col min="6665" max="6665" width="9.5703125" style="36" customWidth="1"/>
    <col min="6666" max="6911" width="11.42578125" style="36"/>
    <col min="6912" max="6912" width="0.42578125" style="36" customWidth="1"/>
    <col min="6913" max="6913" width="2.5703125" style="36" customWidth="1"/>
    <col min="6914" max="6914" width="18.5703125" style="36" customWidth="1"/>
    <col min="6915" max="6915" width="1.42578125" style="36" customWidth="1"/>
    <col min="6916" max="6916" width="58.5703125" style="36" customWidth="1"/>
    <col min="6917" max="6918" width="11.42578125" style="36"/>
    <col min="6919" max="6919" width="2.42578125" style="36" customWidth="1"/>
    <col min="6920" max="6920" width="11.42578125" style="36"/>
    <col min="6921" max="6921" width="9.5703125" style="36" customWidth="1"/>
    <col min="6922" max="7167" width="11.42578125" style="36"/>
    <col min="7168" max="7168" width="0.42578125" style="36" customWidth="1"/>
    <col min="7169" max="7169" width="2.5703125" style="36" customWidth="1"/>
    <col min="7170" max="7170" width="18.5703125" style="36" customWidth="1"/>
    <col min="7171" max="7171" width="1.42578125" style="36" customWidth="1"/>
    <col min="7172" max="7172" width="58.5703125" style="36" customWidth="1"/>
    <col min="7173" max="7174" width="11.42578125" style="36"/>
    <col min="7175" max="7175" width="2.42578125" style="36" customWidth="1"/>
    <col min="7176" max="7176" width="11.42578125" style="36"/>
    <col min="7177" max="7177" width="9.5703125" style="36" customWidth="1"/>
    <col min="7178" max="7423" width="11.42578125" style="36"/>
    <col min="7424" max="7424" width="0.42578125" style="36" customWidth="1"/>
    <col min="7425" max="7425" width="2.5703125" style="36" customWidth="1"/>
    <col min="7426" max="7426" width="18.5703125" style="36" customWidth="1"/>
    <col min="7427" max="7427" width="1.42578125" style="36" customWidth="1"/>
    <col min="7428" max="7428" width="58.5703125" style="36" customWidth="1"/>
    <col min="7429" max="7430" width="11.42578125" style="36"/>
    <col min="7431" max="7431" width="2.42578125" style="36" customWidth="1"/>
    <col min="7432" max="7432" width="11.42578125" style="36"/>
    <col min="7433" max="7433" width="9.5703125" style="36" customWidth="1"/>
    <col min="7434" max="7679" width="11.42578125" style="36"/>
    <col min="7680" max="7680" width="0.42578125" style="36" customWidth="1"/>
    <col min="7681" max="7681" width="2.5703125" style="36" customWidth="1"/>
    <col min="7682" max="7682" width="18.5703125" style="36" customWidth="1"/>
    <col min="7683" max="7683" width="1.42578125" style="36" customWidth="1"/>
    <col min="7684" max="7684" width="58.5703125" style="36" customWidth="1"/>
    <col min="7685" max="7686" width="11.42578125" style="36"/>
    <col min="7687" max="7687" width="2.42578125" style="36" customWidth="1"/>
    <col min="7688" max="7688" width="11.42578125" style="36"/>
    <col min="7689" max="7689" width="9.5703125" style="36" customWidth="1"/>
    <col min="7690" max="7935" width="11.42578125" style="36"/>
    <col min="7936" max="7936" width="0.42578125" style="36" customWidth="1"/>
    <col min="7937" max="7937" width="2.5703125" style="36" customWidth="1"/>
    <col min="7938" max="7938" width="18.5703125" style="36" customWidth="1"/>
    <col min="7939" max="7939" width="1.42578125" style="36" customWidth="1"/>
    <col min="7940" max="7940" width="58.5703125" style="36" customWidth="1"/>
    <col min="7941" max="7942" width="11.42578125" style="36"/>
    <col min="7943" max="7943" width="2.42578125" style="36" customWidth="1"/>
    <col min="7944" max="7944" width="11.42578125" style="36"/>
    <col min="7945" max="7945" width="9.5703125" style="36" customWidth="1"/>
    <col min="7946" max="8191" width="11.42578125" style="36"/>
    <col min="8192" max="8192" width="0.42578125" style="36" customWidth="1"/>
    <col min="8193" max="8193" width="2.5703125" style="36" customWidth="1"/>
    <col min="8194" max="8194" width="18.5703125" style="36" customWidth="1"/>
    <col min="8195" max="8195" width="1.42578125" style="36" customWidth="1"/>
    <col min="8196" max="8196" width="58.5703125" style="36" customWidth="1"/>
    <col min="8197" max="8198" width="11.42578125" style="36"/>
    <col min="8199" max="8199" width="2.42578125" style="36" customWidth="1"/>
    <col min="8200" max="8200" width="11.42578125" style="36"/>
    <col min="8201" max="8201" width="9.5703125" style="36" customWidth="1"/>
    <col min="8202" max="8447" width="11.42578125" style="36"/>
    <col min="8448" max="8448" width="0.42578125" style="36" customWidth="1"/>
    <col min="8449" max="8449" width="2.5703125" style="36" customWidth="1"/>
    <col min="8450" max="8450" width="18.5703125" style="36" customWidth="1"/>
    <col min="8451" max="8451" width="1.42578125" style="36" customWidth="1"/>
    <col min="8452" max="8452" width="58.5703125" style="36" customWidth="1"/>
    <col min="8453" max="8454" width="11.42578125" style="36"/>
    <col min="8455" max="8455" width="2.42578125" style="36" customWidth="1"/>
    <col min="8456" max="8456" width="11.42578125" style="36"/>
    <col min="8457" max="8457" width="9.5703125" style="36" customWidth="1"/>
    <col min="8458" max="8703" width="11.42578125" style="36"/>
    <col min="8704" max="8704" width="0.42578125" style="36" customWidth="1"/>
    <col min="8705" max="8705" width="2.5703125" style="36" customWidth="1"/>
    <col min="8706" max="8706" width="18.5703125" style="36" customWidth="1"/>
    <col min="8707" max="8707" width="1.42578125" style="36" customWidth="1"/>
    <col min="8708" max="8708" width="58.5703125" style="36" customWidth="1"/>
    <col min="8709" max="8710" width="11.42578125" style="36"/>
    <col min="8711" max="8711" width="2.42578125" style="36" customWidth="1"/>
    <col min="8712" max="8712" width="11.42578125" style="36"/>
    <col min="8713" max="8713" width="9.5703125" style="36" customWidth="1"/>
    <col min="8714" max="8959" width="11.42578125" style="36"/>
    <col min="8960" max="8960" width="0.42578125" style="36" customWidth="1"/>
    <col min="8961" max="8961" width="2.5703125" style="36" customWidth="1"/>
    <col min="8962" max="8962" width="18.5703125" style="36" customWidth="1"/>
    <col min="8963" max="8963" width="1.42578125" style="36" customWidth="1"/>
    <col min="8964" max="8964" width="58.5703125" style="36" customWidth="1"/>
    <col min="8965" max="8966" width="11.42578125" style="36"/>
    <col min="8967" max="8967" width="2.42578125" style="36" customWidth="1"/>
    <col min="8968" max="8968" width="11.42578125" style="36"/>
    <col min="8969" max="8969" width="9.5703125" style="36" customWidth="1"/>
    <col min="8970" max="9215" width="11.42578125" style="36"/>
    <col min="9216" max="9216" width="0.42578125" style="36" customWidth="1"/>
    <col min="9217" max="9217" width="2.5703125" style="36" customWidth="1"/>
    <col min="9218" max="9218" width="18.5703125" style="36" customWidth="1"/>
    <col min="9219" max="9219" width="1.42578125" style="36" customWidth="1"/>
    <col min="9220" max="9220" width="58.5703125" style="36" customWidth="1"/>
    <col min="9221" max="9222" width="11.42578125" style="36"/>
    <col min="9223" max="9223" width="2.42578125" style="36" customWidth="1"/>
    <col min="9224" max="9224" width="11.42578125" style="36"/>
    <col min="9225" max="9225" width="9.5703125" style="36" customWidth="1"/>
    <col min="9226" max="9471" width="11.42578125" style="36"/>
    <col min="9472" max="9472" width="0.42578125" style="36" customWidth="1"/>
    <col min="9473" max="9473" width="2.5703125" style="36" customWidth="1"/>
    <col min="9474" max="9474" width="18.5703125" style="36" customWidth="1"/>
    <col min="9475" max="9475" width="1.42578125" style="36" customWidth="1"/>
    <col min="9476" max="9476" width="58.5703125" style="36" customWidth="1"/>
    <col min="9477" max="9478" width="11.42578125" style="36"/>
    <col min="9479" max="9479" width="2.42578125" style="36" customWidth="1"/>
    <col min="9480" max="9480" width="11.42578125" style="36"/>
    <col min="9481" max="9481" width="9.5703125" style="36" customWidth="1"/>
    <col min="9482" max="9727" width="11.42578125" style="36"/>
    <col min="9728" max="9728" width="0.42578125" style="36" customWidth="1"/>
    <col min="9729" max="9729" width="2.5703125" style="36" customWidth="1"/>
    <col min="9730" max="9730" width="18.5703125" style="36" customWidth="1"/>
    <col min="9731" max="9731" width="1.42578125" style="36" customWidth="1"/>
    <col min="9732" max="9732" width="58.5703125" style="36" customWidth="1"/>
    <col min="9733" max="9734" width="11.42578125" style="36"/>
    <col min="9735" max="9735" width="2.42578125" style="36" customWidth="1"/>
    <col min="9736" max="9736" width="11.42578125" style="36"/>
    <col min="9737" max="9737" width="9.5703125" style="36" customWidth="1"/>
    <col min="9738" max="9983" width="11.42578125" style="36"/>
    <col min="9984" max="9984" width="0.42578125" style="36" customWidth="1"/>
    <col min="9985" max="9985" width="2.5703125" style="36" customWidth="1"/>
    <col min="9986" max="9986" width="18.5703125" style="36" customWidth="1"/>
    <col min="9987" max="9987" width="1.42578125" style="36" customWidth="1"/>
    <col min="9988" max="9988" width="58.5703125" style="36" customWidth="1"/>
    <col min="9989" max="9990" width="11.42578125" style="36"/>
    <col min="9991" max="9991" width="2.42578125" style="36" customWidth="1"/>
    <col min="9992" max="9992" width="11.42578125" style="36"/>
    <col min="9993" max="9993" width="9.5703125" style="36" customWidth="1"/>
    <col min="9994" max="10239" width="11.42578125" style="36"/>
    <col min="10240" max="10240" width="0.42578125" style="36" customWidth="1"/>
    <col min="10241" max="10241" width="2.5703125" style="36" customWidth="1"/>
    <col min="10242" max="10242" width="18.5703125" style="36" customWidth="1"/>
    <col min="10243" max="10243" width="1.42578125" style="36" customWidth="1"/>
    <col min="10244" max="10244" width="58.5703125" style="36" customWidth="1"/>
    <col min="10245" max="10246" width="11.42578125" style="36"/>
    <col min="10247" max="10247" width="2.42578125" style="36" customWidth="1"/>
    <col min="10248" max="10248" width="11.42578125" style="36"/>
    <col min="10249" max="10249" width="9.5703125" style="36" customWidth="1"/>
    <col min="10250" max="10495" width="11.42578125" style="36"/>
    <col min="10496" max="10496" width="0.42578125" style="36" customWidth="1"/>
    <col min="10497" max="10497" width="2.5703125" style="36" customWidth="1"/>
    <col min="10498" max="10498" width="18.5703125" style="36" customWidth="1"/>
    <col min="10499" max="10499" width="1.42578125" style="36" customWidth="1"/>
    <col min="10500" max="10500" width="58.5703125" style="36" customWidth="1"/>
    <col min="10501" max="10502" width="11.42578125" style="36"/>
    <col min="10503" max="10503" width="2.42578125" style="36" customWidth="1"/>
    <col min="10504" max="10504" width="11.42578125" style="36"/>
    <col min="10505" max="10505" width="9.5703125" style="36" customWidth="1"/>
    <col min="10506" max="10751" width="11.42578125" style="36"/>
    <col min="10752" max="10752" width="0.42578125" style="36" customWidth="1"/>
    <col min="10753" max="10753" width="2.5703125" style="36" customWidth="1"/>
    <col min="10754" max="10754" width="18.5703125" style="36" customWidth="1"/>
    <col min="10755" max="10755" width="1.42578125" style="36" customWidth="1"/>
    <col min="10756" max="10756" width="58.5703125" style="36" customWidth="1"/>
    <col min="10757" max="10758" width="11.42578125" style="36"/>
    <col min="10759" max="10759" width="2.42578125" style="36" customWidth="1"/>
    <col min="10760" max="10760" width="11.42578125" style="36"/>
    <col min="10761" max="10761" width="9.5703125" style="36" customWidth="1"/>
    <col min="10762" max="11007" width="11.42578125" style="36"/>
    <col min="11008" max="11008" width="0.42578125" style="36" customWidth="1"/>
    <col min="11009" max="11009" width="2.5703125" style="36" customWidth="1"/>
    <col min="11010" max="11010" width="18.5703125" style="36" customWidth="1"/>
    <col min="11011" max="11011" width="1.42578125" style="36" customWidth="1"/>
    <col min="11012" max="11012" width="58.5703125" style="36" customWidth="1"/>
    <col min="11013" max="11014" width="11.42578125" style="36"/>
    <col min="11015" max="11015" width="2.42578125" style="36" customWidth="1"/>
    <col min="11016" max="11016" width="11.42578125" style="36"/>
    <col min="11017" max="11017" width="9.5703125" style="36" customWidth="1"/>
    <col min="11018" max="11263" width="11.42578125" style="36"/>
    <col min="11264" max="11264" width="0.42578125" style="36" customWidth="1"/>
    <col min="11265" max="11265" width="2.5703125" style="36" customWidth="1"/>
    <col min="11266" max="11266" width="18.5703125" style="36" customWidth="1"/>
    <col min="11267" max="11267" width="1.42578125" style="36" customWidth="1"/>
    <col min="11268" max="11268" width="58.5703125" style="36" customWidth="1"/>
    <col min="11269" max="11270" width="11.42578125" style="36"/>
    <col min="11271" max="11271" width="2.42578125" style="36" customWidth="1"/>
    <col min="11272" max="11272" width="11.42578125" style="36"/>
    <col min="11273" max="11273" width="9.5703125" style="36" customWidth="1"/>
    <col min="11274" max="11519" width="11.42578125" style="36"/>
    <col min="11520" max="11520" width="0.42578125" style="36" customWidth="1"/>
    <col min="11521" max="11521" width="2.5703125" style="36" customWidth="1"/>
    <col min="11522" max="11522" width="18.5703125" style="36" customWidth="1"/>
    <col min="11523" max="11523" width="1.42578125" style="36" customWidth="1"/>
    <col min="11524" max="11524" width="58.5703125" style="36" customWidth="1"/>
    <col min="11525" max="11526" width="11.42578125" style="36"/>
    <col min="11527" max="11527" width="2.42578125" style="36" customWidth="1"/>
    <col min="11528" max="11528" width="11.42578125" style="36"/>
    <col min="11529" max="11529" width="9.5703125" style="36" customWidth="1"/>
    <col min="11530" max="11775" width="11.42578125" style="36"/>
    <col min="11776" max="11776" width="0.42578125" style="36" customWidth="1"/>
    <col min="11777" max="11777" width="2.5703125" style="36" customWidth="1"/>
    <col min="11778" max="11778" width="18.5703125" style="36" customWidth="1"/>
    <col min="11779" max="11779" width="1.42578125" style="36" customWidth="1"/>
    <col min="11780" max="11780" width="58.5703125" style="36" customWidth="1"/>
    <col min="11781" max="11782" width="11.42578125" style="36"/>
    <col min="11783" max="11783" width="2.42578125" style="36" customWidth="1"/>
    <col min="11784" max="11784" width="11.42578125" style="36"/>
    <col min="11785" max="11785" width="9.5703125" style="36" customWidth="1"/>
    <col min="11786" max="12031" width="11.42578125" style="36"/>
    <col min="12032" max="12032" width="0.42578125" style="36" customWidth="1"/>
    <col min="12033" max="12033" width="2.5703125" style="36" customWidth="1"/>
    <col min="12034" max="12034" width="18.5703125" style="36" customWidth="1"/>
    <col min="12035" max="12035" width="1.42578125" style="36" customWidth="1"/>
    <col min="12036" max="12036" width="58.5703125" style="36" customWidth="1"/>
    <col min="12037" max="12038" width="11.42578125" style="36"/>
    <col min="12039" max="12039" width="2.42578125" style="36" customWidth="1"/>
    <col min="12040" max="12040" width="11.42578125" style="36"/>
    <col min="12041" max="12041" width="9.5703125" style="36" customWidth="1"/>
    <col min="12042" max="12287" width="11.42578125" style="36"/>
    <col min="12288" max="12288" width="0.42578125" style="36" customWidth="1"/>
    <col min="12289" max="12289" width="2.5703125" style="36" customWidth="1"/>
    <col min="12290" max="12290" width="18.5703125" style="36" customWidth="1"/>
    <col min="12291" max="12291" width="1.42578125" style="36" customWidth="1"/>
    <col min="12292" max="12292" width="58.5703125" style="36" customWidth="1"/>
    <col min="12293" max="12294" width="11.42578125" style="36"/>
    <col min="12295" max="12295" width="2.42578125" style="36" customWidth="1"/>
    <col min="12296" max="12296" width="11.42578125" style="36"/>
    <col min="12297" max="12297" width="9.5703125" style="36" customWidth="1"/>
    <col min="12298" max="12543" width="11.42578125" style="36"/>
    <col min="12544" max="12544" width="0.42578125" style="36" customWidth="1"/>
    <col min="12545" max="12545" width="2.5703125" style="36" customWidth="1"/>
    <col min="12546" max="12546" width="18.5703125" style="36" customWidth="1"/>
    <col min="12547" max="12547" width="1.42578125" style="36" customWidth="1"/>
    <col min="12548" max="12548" width="58.5703125" style="36" customWidth="1"/>
    <col min="12549" max="12550" width="11.42578125" style="36"/>
    <col min="12551" max="12551" width="2.42578125" style="36" customWidth="1"/>
    <col min="12552" max="12552" width="11.42578125" style="36"/>
    <col min="12553" max="12553" width="9.5703125" style="36" customWidth="1"/>
    <col min="12554" max="12799" width="11.42578125" style="36"/>
    <col min="12800" max="12800" width="0.42578125" style="36" customWidth="1"/>
    <col min="12801" max="12801" width="2.5703125" style="36" customWidth="1"/>
    <col min="12802" max="12802" width="18.5703125" style="36" customWidth="1"/>
    <col min="12803" max="12803" width="1.42578125" style="36" customWidth="1"/>
    <col min="12804" max="12804" width="58.5703125" style="36" customWidth="1"/>
    <col min="12805" max="12806" width="11.42578125" style="36"/>
    <col min="12807" max="12807" width="2.42578125" style="36" customWidth="1"/>
    <col min="12808" max="12808" width="11.42578125" style="36"/>
    <col min="12809" max="12809" width="9.5703125" style="36" customWidth="1"/>
    <col min="12810" max="13055" width="11.42578125" style="36"/>
    <col min="13056" max="13056" width="0.42578125" style="36" customWidth="1"/>
    <col min="13057" max="13057" width="2.5703125" style="36" customWidth="1"/>
    <col min="13058" max="13058" width="18.5703125" style="36" customWidth="1"/>
    <col min="13059" max="13059" width="1.42578125" style="36" customWidth="1"/>
    <col min="13060" max="13060" width="58.5703125" style="36" customWidth="1"/>
    <col min="13061" max="13062" width="11.42578125" style="36"/>
    <col min="13063" max="13063" width="2.42578125" style="36" customWidth="1"/>
    <col min="13064" max="13064" width="11.42578125" style="36"/>
    <col min="13065" max="13065" width="9.5703125" style="36" customWidth="1"/>
    <col min="13066" max="13311" width="11.42578125" style="36"/>
    <col min="13312" max="13312" width="0.42578125" style="36" customWidth="1"/>
    <col min="13313" max="13313" width="2.5703125" style="36" customWidth="1"/>
    <col min="13314" max="13314" width="18.5703125" style="36" customWidth="1"/>
    <col min="13315" max="13315" width="1.42578125" style="36" customWidth="1"/>
    <col min="13316" max="13316" width="58.5703125" style="36" customWidth="1"/>
    <col min="13317" max="13318" width="11.42578125" style="36"/>
    <col min="13319" max="13319" width="2.42578125" style="36" customWidth="1"/>
    <col min="13320" max="13320" width="11.42578125" style="36"/>
    <col min="13321" max="13321" width="9.5703125" style="36" customWidth="1"/>
    <col min="13322" max="13567" width="11.42578125" style="36"/>
    <col min="13568" max="13568" width="0.42578125" style="36" customWidth="1"/>
    <col min="13569" max="13569" width="2.5703125" style="36" customWidth="1"/>
    <col min="13570" max="13570" width="18.5703125" style="36" customWidth="1"/>
    <col min="13571" max="13571" width="1.42578125" style="36" customWidth="1"/>
    <col min="13572" max="13572" width="58.5703125" style="36" customWidth="1"/>
    <col min="13573" max="13574" width="11.42578125" style="36"/>
    <col min="13575" max="13575" width="2.42578125" style="36" customWidth="1"/>
    <col min="13576" max="13576" width="11.42578125" style="36"/>
    <col min="13577" max="13577" width="9.5703125" style="36" customWidth="1"/>
    <col min="13578" max="13823" width="11.42578125" style="36"/>
    <col min="13824" max="13824" width="0.42578125" style="36" customWidth="1"/>
    <col min="13825" max="13825" width="2.5703125" style="36" customWidth="1"/>
    <col min="13826" max="13826" width="18.5703125" style="36" customWidth="1"/>
    <col min="13827" max="13827" width="1.42578125" style="36" customWidth="1"/>
    <col min="13828" max="13828" width="58.5703125" style="36" customWidth="1"/>
    <col min="13829" max="13830" width="11.42578125" style="36"/>
    <col min="13831" max="13831" width="2.42578125" style="36" customWidth="1"/>
    <col min="13832" max="13832" width="11.42578125" style="36"/>
    <col min="13833" max="13833" width="9.5703125" style="36" customWidth="1"/>
    <col min="13834" max="14079" width="11.42578125" style="36"/>
    <col min="14080" max="14080" width="0.42578125" style="36" customWidth="1"/>
    <col min="14081" max="14081" width="2.5703125" style="36" customWidth="1"/>
    <col min="14082" max="14082" width="18.5703125" style="36" customWidth="1"/>
    <col min="14083" max="14083" width="1.42578125" style="36" customWidth="1"/>
    <col min="14084" max="14084" width="58.5703125" style="36" customWidth="1"/>
    <col min="14085" max="14086" width="11.42578125" style="36"/>
    <col min="14087" max="14087" width="2.42578125" style="36" customWidth="1"/>
    <col min="14088" max="14088" width="11.42578125" style="36"/>
    <col min="14089" max="14089" width="9.5703125" style="36" customWidth="1"/>
    <col min="14090" max="14335" width="11.42578125" style="36"/>
    <col min="14336" max="14336" width="0.42578125" style="36" customWidth="1"/>
    <col min="14337" max="14337" width="2.5703125" style="36" customWidth="1"/>
    <col min="14338" max="14338" width="18.5703125" style="36" customWidth="1"/>
    <col min="14339" max="14339" width="1.42578125" style="36" customWidth="1"/>
    <col min="14340" max="14340" width="58.5703125" style="36" customWidth="1"/>
    <col min="14341" max="14342" width="11.42578125" style="36"/>
    <col min="14343" max="14343" width="2.42578125" style="36" customWidth="1"/>
    <col min="14344" max="14344" width="11.42578125" style="36"/>
    <col min="14345" max="14345" width="9.5703125" style="36" customWidth="1"/>
    <col min="14346" max="14591" width="11.42578125" style="36"/>
    <col min="14592" max="14592" width="0.42578125" style="36" customWidth="1"/>
    <col min="14593" max="14593" width="2.5703125" style="36" customWidth="1"/>
    <col min="14594" max="14594" width="18.5703125" style="36" customWidth="1"/>
    <col min="14595" max="14595" width="1.42578125" style="36" customWidth="1"/>
    <col min="14596" max="14596" width="58.5703125" style="36" customWidth="1"/>
    <col min="14597" max="14598" width="11.42578125" style="36"/>
    <col min="14599" max="14599" width="2.42578125" style="36" customWidth="1"/>
    <col min="14600" max="14600" width="11.42578125" style="36"/>
    <col min="14601" max="14601" width="9.5703125" style="36" customWidth="1"/>
    <col min="14602" max="14847" width="11.42578125" style="36"/>
    <col min="14848" max="14848" width="0.42578125" style="36" customWidth="1"/>
    <col min="14849" max="14849" width="2.5703125" style="36" customWidth="1"/>
    <col min="14850" max="14850" width="18.5703125" style="36" customWidth="1"/>
    <col min="14851" max="14851" width="1.42578125" style="36" customWidth="1"/>
    <col min="14852" max="14852" width="58.5703125" style="36" customWidth="1"/>
    <col min="14853" max="14854" width="11.42578125" style="36"/>
    <col min="14855" max="14855" width="2.42578125" style="36" customWidth="1"/>
    <col min="14856" max="14856" width="11.42578125" style="36"/>
    <col min="14857" max="14857" width="9.5703125" style="36" customWidth="1"/>
    <col min="14858" max="15103" width="11.42578125" style="36"/>
    <col min="15104" max="15104" width="0.42578125" style="36" customWidth="1"/>
    <col min="15105" max="15105" width="2.5703125" style="36" customWidth="1"/>
    <col min="15106" max="15106" width="18.5703125" style="36" customWidth="1"/>
    <col min="15107" max="15107" width="1.42578125" style="36" customWidth="1"/>
    <col min="15108" max="15108" width="58.5703125" style="36" customWidth="1"/>
    <col min="15109" max="15110" width="11.42578125" style="36"/>
    <col min="15111" max="15111" width="2.42578125" style="36" customWidth="1"/>
    <col min="15112" max="15112" width="11.42578125" style="36"/>
    <col min="15113" max="15113" width="9.5703125" style="36" customWidth="1"/>
    <col min="15114" max="15359" width="11.42578125" style="36"/>
    <col min="15360" max="15360" width="0.42578125" style="36" customWidth="1"/>
    <col min="15361" max="15361" width="2.5703125" style="36" customWidth="1"/>
    <col min="15362" max="15362" width="18.5703125" style="36" customWidth="1"/>
    <col min="15363" max="15363" width="1.42578125" style="36" customWidth="1"/>
    <col min="15364" max="15364" width="58.5703125" style="36" customWidth="1"/>
    <col min="15365" max="15366" width="11.42578125" style="36"/>
    <col min="15367" max="15367" width="2.42578125" style="36" customWidth="1"/>
    <col min="15368" max="15368" width="11.42578125" style="36"/>
    <col min="15369" max="15369" width="9.5703125" style="36" customWidth="1"/>
    <col min="15370" max="15615" width="11.42578125" style="36"/>
    <col min="15616" max="15616" width="0.42578125" style="36" customWidth="1"/>
    <col min="15617" max="15617" width="2.5703125" style="36" customWidth="1"/>
    <col min="15618" max="15618" width="18.5703125" style="36" customWidth="1"/>
    <col min="15619" max="15619" width="1.42578125" style="36" customWidth="1"/>
    <col min="15620" max="15620" width="58.5703125" style="36" customWidth="1"/>
    <col min="15621" max="15622" width="11.42578125" style="36"/>
    <col min="15623" max="15623" width="2.42578125" style="36" customWidth="1"/>
    <col min="15624" max="15624" width="11.42578125" style="36"/>
    <col min="15625" max="15625" width="9.5703125" style="36" customWidth="1"/>
    <col min="15626" max="15871" width="11.42578125" style="36"/>
    <col min="15872" max="15872" width="0.42578125" style="36" customWidth="1"/>
    <col min="15873" max="15873" width="2.5703125" style="36" customWidth="1"/>
    <col min="15874" max="15874" width="18.5703125" style="36" customWidth="1"/>
    <col min="15875" max="15875" width="1.42578125" style="36" customWidth="1"/>
    <col min="15876" max="15876" width="58.5703125" style="36" customWidth="1"/>
    <col min="15877" max="15878" width="11.42578125" style="36"/>
    <col min="15879" max="15879" width="2.42578125" style="36" customWidth="1"/>
    <col min="15880" max="15880" width="11.42578125" style="36"/>
    <col min="15881" max="15881" width="9.5703125" style="36" customWidth="1"/>
    <col min="15882" max="16127" width="11.42578125" style="36"/>
    <col min="16128" max="16128" width="0.42578125" style="36" customWidth="1"/>
    <col min="16129" max="16129" width="2.5703125" style="36" customWidth="1"/>
    <col min="16130" max="16130" width="18.5703125" style="36" customWidth="1"/>
    <col min="16131" max="16131" width="1.42578125" style="36" customWidth="1"/>
    <col min="16132" max="16132" width="58.5703125" style="36" customWidth="1"/>
    <col min="16133" max="16134" width="11.42578125" style="36"/>
    <col min="16135" max="16135" width="2.42578125" style="36" customWidth="1"/>
    <col min="16136" max="16136" width="11.42578125" style="36"/>
    <col min="16137" max="16137" width="9.5703125" style="36" customWidth="1"/>
    <col min="16138" max="16384" width="11.42578125" style="36"/>
  </cols>
  <sheetData>
    <row r="1" spans="2:7" s="26" customFormat="1" ht="0.75" customHeight="1"/>
    <row r="2" spans="2:7" s="26" customFormat="1" ht="21" customHeight="1">
      <c r="E2" s="1"/>
      <c r="G2" s="100" t="s">
        <v>1</v>
      </c>
    </row>
    <row r="3" spans="2:7" s="26" customFormat="1" ht="15" customHeight="1">
      <c r="E3" s="27"/>
      <c r="G3" s="101" t="str">
        <f>Indice!E3</f>
        <v>Marzo 2024</v>
      </c>
    </row>
    <row r="4" spans="2:7" s="29" customFormat="1" ht="20.25" customHeight="1">
      <c r="B4" s="28"/>
      <c r="C4" s="99" t="s">
        <v>67</v>
      </c>
    </row>
    <row r="5" spans="2:7" s="29" customFormat="1" ht="12.75" customHeight="1">
      <c r="B5" s="28"/>
      <c r="C5" s="30"/>
    </row>
    <row r="6" spans="2:7" s="29" customFormat="1" ht="13.5" customHeight="1">
      <c r="B6" s="28"/>
      <c r="C6" s="31"/>
      <c r="D6" s="32"/>
      <c r="E6" s="32"/>
      <c r="F6" s="32"/>
    </row>
    <row r="7" spans="2:7" s="29" customFormat="1" ht="12.75" customHeight="1">
      <c r="B7" s="28"/>
      <c r="C7" s="312" t="s">
        <v>73</v>
      </c>
      <c r="D7" s="32"/>
      <c r="E7" s="39"/>
      <c r="F7" s="32"/>
    </row>
    <row r="8" spans="2:7" s="29" customFormat="1" ht="12.75" customHeight="1">
      <c r="B8" s="28"/>
      <c r="C8" s="312"/>
      <c r="D8" s="32"/>
      <c r="E8" s="39"/>
      <c r="F8" s="32"/>
    </row>
    <row r="9" spans="2:7" s="29" customFormat="1" ht="12.75" customHeight="1">
      <c r="B9" s="28"/>
      <c r="C9" s="312"/>
      <c r="D9" s="32"/>
      <c r="E9" s="39"/>
      <c r="F9" s="32"/>
    </row>
    <row r="10" spans="2:7" s="29" customFormat="1" ht="12.75" customHeight="1">
      <c r="B10" s="28"/>
      <c r="C10" s="312"/>
      <c r="D10" s="32"/>
      <c r="E10" s="39"/>
      <c r="F10" s="32"/>
    </row>
    <row r="11" spans="2:7" s="29" customFormat="1" ht="12.75" customHeight="1">
      <c r="B11" s="28"/>
      <c r="C11" s="128"/>
      <c r="D11" s="32"/>
      <c r="E11" s="32"/>
      <c r="F11" s="32"/>
    </row>
    <row r="12" spans="2:7" s="29" customFormat="1" ht="12.75" customHeight="1">
      <c r="B12" s="28"/>
      <c r="D12" s="32"/>
      <c r="E12" s="32"/>
      <c r="F12" s="32"/>
    </row>
    <row r="13" spans="2:7" s="29" customFormat="1" ht="12.75" customHeight="1">
      <c r="B13" s="28"/>
      <c r="D13" s="32"/>
      <c r="E13" s="32"/>
      <c r="F13" s="32"/>
    </row>
    <row r="14" spans="2:7" s="29" customFormat="1" ht="12.75" customHeight="1">
      <c r="B14" s="28"/>
      <c r="D14" s="32"/>
      <c r="E14" s="32"/>
      <c r="F14" s="32"/>
    </row>
    <row r="15" spans="2:7" s="29" customFormat="1" ht="12.75" customHeight="1">
      <c r="B15" s="28"/>
      <c r="D15" s="32"/>
      <c r="E15" s="32"/>
      <c r="F15" s="32"/>
    </row>
    <row r="16" spans="2:7" s="29" customFormat="1" ht="12.75" customHeight="1">
      <c r="B16" s="28"/>
      <c r="D16" s="32"/>
      <c r="E16" s="32"/>
      <c r="F16" s="32"/>
    </row>
    <row r="17" spans="2:7" s="29" customFormat="1" ht="12.75" customHeight="1">
      <c r="B17" s="28"/>
      <c r="D17" s="32"/>
      <c r="E17" s="32"/>
      <c r="F17" s="32"/>
    </row>
    <row r="18" spans="2:7" s="29" customFormat="1" ht="12.75" customHeight="1">
      <c r="B18" s="28"/>
      <c r="C18" s="35"/>
      <c r="D18" s="32"/>
      <c r="E18" s="32"/>
      <c r="F18" s="32"/>
    </row>
    <row r="19" spans="2:7" s="29" customFormat="1" ht="12.75" customHeight="1">
      <c r="B19" s="28"/>
      <c r="C19" s="31"/>
      <c r="D19" s="32"/>
      <c r="E19" s="32"/>
      <c r="F19" s="32"/>
    </row>
    <row r="20" spans="2:7" s="29" customFormat="1" ht="12.75" customHeight="1">
      <c r="B20" s="28"/>
      <c r="C20" s="31"/>
      <c r="D20" s="32"/>
      <c r="E20" s="32"/>
      <c r="F20" s="32"/>
    </row>
    <row r="21" spans="2:7" s="29" customFormat="1" ht="12.75" customHeight="1">
      <c r="B21" s="28"/>
      <c r="C21" s="31"/>
      <c r="D21" s="32"/>
      <c r="E21" s="32"/>
      <c r="F21" s="32"/>
    </row>
    <row r="22" spans="2:7">
      <c r="E22" s="110"/>
      <c r="G22" s="253"/>
    </row>
    <row r="23" spans="2:7">
      <c r="E23" s="37"/>
    </row>
    <row r="24" spans="2:7">
      <c r="E24" s="38"/>
    </row>
    <row r="25" spans="2:7" ht="12.75" customHeight="1">
      <c r="C25" s="40"/>
    </row>
    <row r="26" spans="2:7">
      <c r="C26" s="40"/>
    </row>
    <row r="27" spans="2:7">
      <c r="C27" s="40"/>
    </row>
    <row r="28" spans="2:7">
      <c r="C28" s="34"/>
    </row>
    <row r="30" spans="2:7" ht="12.75" customHeight="1"/>
  </sheetData>
  <mergeCells count="1">
    <mergeCell ref="C7:C10"/>
  </mergeCells>
  <printOptions horizontalCentered="1" verticalCentered="1"/>
  <pageMargins left="0.78740157480314965" right="0.78740157480314965" top="0.98425196850393704" bottom="0.98425196850393704" header="0" footer="0"/>
  <pageSetup paperSize="9" scale="8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5"/>
  <dimension ref="C1:Y51"/>
  <sheetViews>
    <sheetView showGridLines="0" showRowColHeaders="0" topLeftCell="A2" workbookViewId="0">
      <selection activeCell="B2" sqref="B2"/>
    </sheetView>
  </sheetViews>
  <sheetFormatPr baseColWidth="10" defaultRowHeight="12.75"/>
  <cols>
    <col min="1" max="1" width="0.42578125" customWidth="1"/>
    <col min="2" max="2" width="2.5703125" customWidth="1"/>
    <col min="3" max="3" width="23.5703125" customWidth="1"/>
    <col min="4" max="4" width="1.42578125" customWidth="1"/>
    <col min="5" max="5" width="105.5703125" customWidth="1"/>
    <col min="7" max="7" width="30.42578125" bestFit="1" customWidth="1"/>
  </cols>
  <sheetData>
    <row r="1" spans="3:25" ht="0.6" customHeight="1"/>
    <row r="2" spans="3:25" ht="21" customHeight="1">
      <c r="E2" s="100" t="s">
        <v>1</v>
      </c>
    </row>
    <row r="3" spans="3:25" ht="15" customHeight="1">
      <c r="E3" s="109" t="str">
        <f>Indice!E3</f>
        <v>Marzo 2024</v>
      </c>
    </row>
    <row r="4" spans="3:25" ht="20.100000000000001" customHeight="1">
      <c r="C4" s="99" t="s">
        <v>67</v>
      </c>
    </row>
    <row r="5" spans="3:25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7" spans="3:25" ht="12.75" customHeight="1">
      <c r="C7" s="312" t="s">
        <v>62</v>
      </c>
      <c r="E7" s="4"/>
    </row>
    <row r="8" spans="3:25">
      <c r="C8" s="312"/>
      <c r="E8" s="4"/>
    </row>
    <row r="9" spans="3:25">
      <c r="C9" s="312"/>
      <c r="E9" s="4"/>
    </row>
    <row r="10" spans="3:25">
      <c r="E10" s="4"/>
    </row>
    <row r="11" spans="3:25">
      <c r="E11" s="4"/>
    </row>
    <row r="12" spans="3:25">
      <c r="E12" s="4"/>
    </row>
    <row r="13" spans="3:25">
      <c r="E13" s="4"/>
    </row>
    <row r="14" spans="3:25">
      <c r="E14" s="4"/>
    </row>
    <row r="15" spans="3:25">
      <c r="E15" s="4"/>
    </row>
    <row r="16" spans="3:25">
      <c r="E16" s="4"/>
    </row>
    <row r="17" spans="5:5">
      <c r="E17" s="4"/>
    </row>
    <row r="18" spans="5:5">
      <c r="E18" s="4"/>
    </row>
    <row r="19" spans="5:5">
      <c r="E19" s="4"/>
    </row>
    <row r="20" spans="5:5">
      <c r="E20" s="4"/>
    </row>
    <row r="21" spans="5:5">
      <c r="E21" s="4"/>
    </row>
    <row r="22" spans="5:5">
      <c r="E22" s="4"/>
    </row>
    <row r="26" spans="5:5">
      <c r="E26" s="41"/>
    </row>
    <row r="40" spans="3:5">
      <c r="E40" s="41"/>
    </row>
    <row r="42" spans="3:5">
      <c r="C42" s="114"/>
    </row>
    <row r="43" spans="3:5">
      <c r="C43" s="114"/>
    </row>
    <row r="44" spans="3:5">
      <c r="C44" s="114"/>
    </row>
    <row r="50" spans="8:20"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</row>
    <row r="51" spans="8:20"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</row>
  </sheetData>
  <mergeCells count="1">
    <mergeCell ref="C7:C9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6"/>
  <dimension ref="C1:Y65"/>
  <sheetViews>
    <sheetView showGridLines="0" showRowColHeaders="0" topLeftCell="A2" workbookViewId="0">
      <selection activeCell="B2" sqref="B2"/>
    </sheetView>
  </sheetViews>
  <sheetFormatPr baseColWidth="10" defaultRowHeight="12.75"/>
  <cols>
    <col min="1" max="1" width="0.42578125" customWidth="1"/>
    <col min="2" max="2" width="2.5703125" customWidth="1"/>
    <col min="3" max="3" width="23.5703125" customWidth="1"/>
    <col min="4" max="4" width="1.42578125" customWidth="1"/>
    <col min="5" max="5" width="105.5703125" customWidth="1"/>
    <col min="7" max="7" width="30.42578125" bestFit="1" customWidth="1"/>
  </cols>
  <sheetData>
    <row r="1" spans="3:25" ht="0.6" customHeight="1"/>
    <row r="2" spans="3:25" ht="21" customHeight="1">
      <c r="E2" s="100" t="s">
        <v>1</v>
      </c>
    </row>
    <row r="3" spans="3:25" ht="15" customHeight="1">
      <c r="E3" s="109" t="str">
        <f>Indice!E3</f>
        <v>Marzo 2024</v>
      </c>
    </row>
    <row r="4" spans="3:25" ht="20.100000000000001" customHeight="1">
      <c r="C4" s="99" t="s">
        <v>67</v>
      </c>
    </row>
    <row r="5" spans="3:25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7" spans="3:25" ht="12.75" customHeight="1">
      <c r="C7" s="312" t="s">
        <v>176</v>
      </c>
      <c r="E7" s="4"/>
    </row>
    <row r="8" spans="3:25">
      <c r="C8" s="312"/>
      <c r="E8" s="4"/>
    </row>
    <row r="9" spans="3:25">
      <c r="C9" s="312"/>
      <c r="E9" s="4"/>
    </row>
    <row r="10" spans="3:25">
      <c r="C10" s="312"/>
      <c r="E10" s="4"/>
    </row>
    <row r="11" spans="3:25">
      <c r="E11" s="4"/>
    </row>
    <row r="12" spans="3:25">
      <c r="E12" s="4"/>
    </row>
    <row r="13" spans="3:25">
      <c r="E13" s="4"/>
    </row>
    <row r="14" spans="3:25">
      <c r="E14" s="4"/>
    </row>
    <row r="15" spans="3:25">
      <c r="E15" s="4"/>
    </row>
    <row r="16" spans="3:25">
      <c r="E16" s="4"/>
    </row>
    <row r="17" spans="3:5">
      <c r="E17" s="4"/>
    </row>
    <row r="18" spans="3:5">
      <c r="E18" s="4"/>
    </row>
    <row r="19" spans="3:5">
      <c r="E19" s="4"/>
    </row>
    <row r="20" spans="3:5">
      <c r="E20" s="4"/>
    </row>
    <row r="21" spans="3:5">
      <c r="E21" s="4"/>
    </row>
    <row r="22" spans="3:5">
      <c r="E22" s="4"/>
    </row>
    <row r="23" spans="3:5">
      <c r="E23" s="41"/>
    </row>
    <row r="25" spans="3:5">
      <c r="C25" s="43"/>
    </row>
    <row r="26" spans="3:5">
      <c r="C26" s="43"/>
    </row>
    <row r="27" spans="3:5">
      <c r="C27" s="43"/>
    </row>
    <row r="33" spans="5:20" ht="12.75" customHeight="1"/>
    <row r="35" spans="5:20">
      <c r="G35" s="46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</row>
    <row r="36" spans="5:20">
      <c r="G36" s="46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</row>
    <row r="37" spans="5:20">
      <c r="G37" s="46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</row>
    <row r="38" spans="5:20">
      <c r="G38" s="46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</row>
    <row r="39" spans="5:20">
      <c r="G39" s="46"/>
    </row>
    <row r="40" spans="5:20">
      <c r="E40" s="41"/>
      <c r="G40" s="46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</row>
    <row r="41" spans="5:20">
      <c r="G41" s="46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</row>
    <row r="42" spans="5:20">
      <c r="G42" s="46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</row>
    <row r="43" spans="5:20">
      <c r="G43" s="46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</row>
    <row r="44" spans="5:20">
      <c r="G44" s="46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</row>
    <row r="45" spans="5:20">
      <c r="G45" s="46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</row>
    <row r="46" spans="5:20">
      <c r="G46" s="46"/>
    </row>
    <row r="47" spans="5:20">
      <c r="G47" s="46"/>
    </row>
    <row r="48" spans="5:20">
      <c r="G48" s="46"/>
    </row>
    <row r="49" spans="5:7">
      <c r="G49" s="46"/>
    </row>
    <row r="50" spans="5:7">
      <c r="G50" s="46"/>
    </row>
    <row r="51" spans="5:7">
      <c r="G51" s="46"/>
    </row>
    <row r="52" spans="5:7">
      <c r="G52" s="46"/>
    </row>
    <row r="53" spans="5:7">
      <c r="G53" s="46"/>
    </row>
    <row r="54" spans="5:7">
      <c r="G54" s="46"/>
    </row>
    <row r="55" spans="5:7">
      <c r="G55" s="46"/>
    </row>
    <row r="56" spans="5:7">
      <c r="G56" s="46"/>
    </row>
    <row r="57" spans="5:7">
      <c r="E57" s="41"/>
      <c r="G57" s="46"/>
    </row>
    <row r="58" spans="5:7">
      <c r="G58" s="46"/>
    </row>
    <row r="59" spans="5:7">
      <c r="G59" s="46"/>
    </row>
    <row r="60" spans="5:7">
      <c r="G60" s="46"/>
    </row>
    <row r="61" spans="5:7">
      <c r="G61" s="46"/>
    </row>
    <row r="62" spans="5:7">
      <c r="G62" s="46"/>
    </row>
    <row r="63" spans="5:7">
      <c r="G63" s="46"/>
    </row>
    <row r="64" spans="5:7">
      <c r="G64" s="46"/>
    </row>
    <row r="65" spans="7:7">
      <c r="G65" s="46"/>
    </row>
  </sheetData>
  <mergeCells count="1">
    <mergeCell ref="C7:C10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7"/>
  <dimension ref="C1:Y44"/>
  <sheetViews>
    <sheetView showGridLines="0" showRowColHeaders="0" topLeftCell="A2" workbookViewId="0">
      <selection activeCell="B2" sqref="B2"/>
    </sheetView>
  </sheetViews>
  <sheetFormatPr baseColWidth="10" defaultRowHeight="12.75"/>
  <cols>
    <col min="1" max="1" width="0.42578125" customWidth="1"/>
    <col min="2" max="2" width="2.5703125" customWidth="1"/>
    <col min="3" max="3" width="23.5703125" customWidth="1"/>
    <col min="4" max="4" width="1.42578125" customWidth="1"/>
    <col min="5" max="5" width="105.5703125" customWidth="1"/>
    <col min="7" max="7" width="30.42578125" bestFit="1" customWidth="1"/>
  </cols>
  <sheetData>
    <row r="1" spans="3:25" ht="0.6" customHeight="1"/>
    <row r="2" spans="3:25" ht="21" customHeight="1">
      <c r="E2" s="100" t="s">
        <v>1</v>
      </c>
    </row>
    <row r="3" spans="3:25" ht="15" customHeight="1">
      <c r="E3" s="109" t="str">
        <f>Indice!E3</f>
        <v>Marzo 2024</v>
      </c>
    </row>
    <row r="4" spans="3:25" ht="20.100000000000001" customHeight="1">
      <c r="C4" s="99" t="s">
        <v>67</v>
      </c>
    </row>
    <row r="5" spans="3:25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7" spans="3:25" ht="12.75" customHeight="1">
      <c r="C7" s="312" t="s">
        <v>55</v>
      </c>
      <c r="E7" s="4"/>
    </row>
    <row r="8" spans="3:25">
      <c r="C8" s="312"/>
      <c r="E8" s="4"/>
    </row>
    <row r="9" spans="3:25">
      <c r="C9" s="114"/>
      <c r="E9" s="4"/>
    </row>
    <row r="10" spans="3:25">
      <c r="E10" s="4"/>
    </row>
    <row r="11" spans="3:25">
      <c r="E11" s="4"/>
    </row>
    <row r="12" spans="3:25">
      <c r="E12" s="4"/>
    </row>
    <row r="13" spans="3:25">
      <c r="E13" s="4"/>
    </row>
    <row r="14" spans="3:25">
      <c r="E14" s="4"/>
    </row>
    <row r="15" spans="3:25">
      <c r="E15" s="4"/>
    </row>
    <row r="16" spans="3:25">
      <c r="E16" s="4"/>
    </row>
    <row r="17" spans="5:11">
      <c r="E17" s="4"/>
    </row>
    <row r="18" spans="5:11">
      <c r="E18" s="4"/>
    </row>
    <row r="19" spans="5:11">
      <c r="E19" s="4"/>
    </row>
    <row r="20" spans="5:11">
      <c r="E20" s="4"/>
    </row>
    <row r="21" spans="5:11">
      <c r="E21" s="4"/>
    </row>
    <row r="22" spans="5:11">
      <c r="E22" s="4"/>
    </row>
    <row r="26" spans="5:11" ht="22.5">
      <c r="E26" s="264" t="s">
        <v>173</v>
      </c>
      <c r="F26" s="265"/>
      <c r="G26" s="265"/>
      <c r="H26" s="265"/>
      <c r="I26" s="265"/>
      <c r="J26" s="265"/>
      <c r="K26" s="265"/>
    </row>
    <row r="40" spans="3:5">
      <c r="E40" s="41"/>
    </row>
    <row r="42" spans="3:5">
      <c r="C42" s="114"/>
    </row>
    <row r="43" spans="3:5">
      <c r="C43" s="114"/>
    </row>
    <row r="44" spans="3:5">
      <c r="C44" s="114"/>
    </row>
  </sheetData>
  <mergeCells count="1">
    <mergeCell ref="C7:C8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8"/>
  <dimension ref="C1:Y44"/>
  <sheetViews>
    <sheetView showGridLines="0" showRowColHeaders="0" topLeftCell="A2" workbookViewId="0">
      <selection activeCell="B2" sqref="B2"/>
    </sheetView>
  </sheetViews>
  <sheetFormatPr baseColWidth="10" defaultRowHeight="12.75"/>
  <cols>
    <col min="1" max="1" width="0.42578125" customWidth="1"/>
    <col min="2" max="2" width="2.5703125" customWidth="1"/>
    <col min="3" max="3" width="23.5703125" customWidth="1"/>
    <col min="4" max="4" width="1.42578125" customWidth="1"/>
    <col min="5" max="5" width="105.5703125" customWidth="1"/>
    <col min="7" max="7" width="30.42578125" bestFit="1" customWidth="1"/>
  </cols>
  <sheetData>
    <row r="1" spans="3:25" ht="0.6" customHeight="1"/>
    <row r="2" spans="3:25" ht="21" customHeight="1">
      <c r="E2" s="100" t="s">
        <v>1</v>
      </c>
    </row>
    <row r="3" spans="3:25" ht="15" customHeight="1">
      <c r="E3" s="109" t="str">
        <f>Indice!E3</f>
        <v>Marzo 2024</v>
      </c>
    </row>
    <row r="4" spans="3:25" ht="20.100000000000001" customHeight="1">
      <c r="C4" s="99" t="s">
        <v>67</v>
      </c>
    </row>
    <row r="5" spans="3:25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7" spans="3:25" ht="12.75" customHeight="1">
      <c r="C7" s="312" t="s">
        <v>61</v>
      </c>
      <c r="E7" s="4"/>
    </row>
    <row r="8" spans="3:25">
      <c r="C8" s="312"/>
      <c r="E8" s="4"/>
    </row>
    <row r="9" spans="3:25">
      <c r="C9" s="114"/>
      <c r="E9" s="4"/>
    </row>
    <row r="10" spans="3:25">
      <c r="E10" s="4"/>
    </row>
    <row r="11" spans="3:25">
      <c r="E11" s="4"/>
    </row>
    <row r="12" spans="3:25">
      <c r="E12" s="4"/>
    </row>
    <row r="13" spans="3:25">
      <c r="E13" s="4"/>
    </row>
    <row r="14" spans="3:25">
      <c r="E14" s="4"/>
    </row>
    <row r="15" spans="3:25">
      <c r="E15" s="4"/>
    </row>
    <row r="16" spans="3:25">
      <c r="E16" s="4"/>
    </row>
    <row r="17" spans="5:5">
      <c r="E17" s="4"/>
    </row>
    <row r="18" spans="5:5">
      <c r="E18" s="4"/>
    </row>
    <row r="19" spans="5:5">
      <c r="E19" s="4"/>
    </row>
    <row r="20" spans="5:5">
      <c r="E20" s="4"/>
    </row>
    <row r="21" spans="5:5">
      <c r="E21" s="4"/>
    </row>
    <row r="22" spans="5:5">
      <c r="E22" s="4"/>
    </row>
    <row r="26" spans="5:5" ht="22.5">
      <c r="E26" s="264" t="s">
        <v>173</v>
      </c>
    </row>
    <row r="40" spans="3:5">
      <c r="E40" s="41"/>
    </row>
    <row r="42" spans="3:5">
      <c r="C42" s="114"/>
    </row>
    <row r="43" spans="3:5">
      <c r="C43" s="114"/>
    </row>
    <row r="44" spans="3:5">
      <c r="C44" s="114"/>
    </row>
  </sheetData>
  <mergeCells count="1">
    <mergeCell ref="C7:C8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B8A6FF07076DA458DD70211006EEBB4" ma:contentTypeVersion="11" ma:contentTypeDescription="Crear nuevo documento." ma:contentTypeScope="" ma:versionID="0513c025a64e9d2787fc2c146f04ed30">
  <xsd:schema xmlns:xsd="http://www.w3.org/2001/XMLSchema" xmlns:xs="http://www.w3.org/2001/XMLSchema" xmlns:p="http://schemas.microsoft.com/office/2006/metadata/properties" xmlns:ns3="fdc812d0-7ad8-4a82-9195-c1c1a8745337" xmlns:ns4="8a808b56-9519-4f3c-a07e-328060d9d6d3" targetNamespace="http://schemas.microsoft.com/office/2006/metadata/properties" ma:root="true" ma:fieldsID="fb87618cb5fba00c03cf8ff8d3915a45" ns3:_="" ns4:_="">
    <xsd:import namespace="fdc812d0-7ad8-4a82-9195-c1c1a8745337"/>
    <xsd:import namespace="8a808b56-9519-4f3c-a07e-328060d9d6d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c812d0-7ad8-4a82-9195-c1c1a87453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808b56-9519-4f3c-a07e-328060d9d6d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D93C2BE-1329-4C25-BD8A-3B9DE7007D0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261CDC8-3AB5-4340-936C-C01F0D779A8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dc812d0-7ad8-4a82-9195-c1c1a8745337"/>
    <ds:schemaRef ds:uri="8a808b56-9519-4f3c-a07e-328060d9d6d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F2918D3-A825-4D28-8B00-5D0085677D3F}">
  <ds:schemaRefs>
    <ds:schemaRef ds:uri="fdc812d0-7ad8-4a82-9195-c1c1a8745337"/>
    <ds:schemaRef ds:uri="http://schemas.microsoft.com/office/2006/metadata/properties"/>
    <ds:schemaRef ds:uri="http://purl.org/dc/terms/"/>
    <ds:schemaRef ds:uri="http://schemas.microsoft.com/office/2006/documentManagement/types"/>
    <ds:schemaRef ds:uri="http://www.w3.org/XML/1998/namespace"/>
    <ds:schemaRef ds:uri="http://purl.org/dc/dcmitype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8a808b56-9519-4f3c-a07e-328060d9d6d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26</vt:i4>
      </vt:variant>
      <vt:variant>
        <vt:lpstr>Rangos con nombre</vt:lpstr>
      </vt:variant>
      <vt:variant>
        <vt:i4>2</vt:i4>
      </vt:variant>
    </vt:vector>
  </HeadingPairs>
  <TitlesOfParts>
    <vt:vector size="28" baseType="lpstr">
      <vt:lpstr>Indice</vt:lpstr>
      <vt:lpstr>P1</vt:lpstr>
      <vt:lpstr>P2</vt:lpstr>
      <vt:lpstr>P3</vt:lpstr>
      <vt:lpstr>P4</vt:lpstr>
      <vt:lpstr>P5</vt:lpstr>
      <vt:lpstr>P6</vt:lpstr>
      <vt:lpstr>P7</vt:lpstr>
      <vt:lpstr>P8</vt:lpstr>
      <vt:lpstr>P9</vt:lpstr>
      <vt:lpstr>P10</vt:lpstr>
      <vt:lpstr>P11</vt:lpstr>
      <vt:lpstr>P12</vt:lpstr>
      <vt:lpstr>P13</vt:lpstr>
      <vt:lpstr>P14_old</vt:lpstr>
      <vt:lpstr>P14</vt:lpstr>
      <vt:lpstr>P15_OLD</vt:lpstr>
      <vt:lpstr>P15</vt:lpstr>
      <vt:lpstr>P16</vt:lpstr>
      <vt:lpstr>Data 1</vt:lpstr>
      <vt:lpstr>Dat_01</vt:lpstr>
      <vt:lpstr>Dat_02</vt:lpstr>
      <vt:lpstr>Data 2</vt:lpstr>
      <vt:lpstr>Data 3</vt:lpstr>
      <vt:lpstr>Data 4</vt:lpstr>
      <vt:lpstr>Data 5</vt:lpstr>
      <vt:lpstr>'P10'!XXXX</vt:lpstr>
      <vt:lpstr>'P13'!XXXX</vt:lpstr>
    </vt:vector>
  </TitlesOfParts>
  <Company>Red Electrica de España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SEVPENMA</dc:creator>
  <cp:lastModifiedBy>De La Fuente Perez, Roberto</cp:lastModifiedBy>
  <dcterms:created xsi:type="dcterms:W3CDTF">2016-08-09T07:04:21Z</dcterms:created>
  <dcterms:modified xsi:type="dcterms:W3CDTF">2024-04-16T10:54:33Z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0x0101005B8A6FF07076DA458DD70211006EEBB4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</Properties>
</file>