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MAR\INF_ELABORADA\"/>
    </mc:Choice>
  </mc:AlternateContent>
  <xr:revisionPtr revIDLastSave="0" documentId="8_{FE962621-E270-4E7C-A885-E3F9FFF69AED}" xr6:coauthVersionLast="47" xr6:coauthVersionMax="47" xr10:uidLastSave="{00000000-0000-0000-0000-000000000000}"/>
  <bookViews>
    <workbookView xWindow="-120" yWindow="-120" windowWidth="29040" windowHeight="15840" tabRatio="832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43" l="1"/>
  <c r="J55" i="43"/>
  <c r="V180" i="44" l="1"/>
  <c r="H70" i="43"/>
  <c r="F70" i="43"/>
  <c r="E397" i="59" l="1"/>
  <c r="E396" i="59"/>
  <c r="E395" i="59"/>
  <c r="E397" i="49" l="1"/>
  <c r="E398" i="49"/>
  <c r="F399" i="49"/>
  <c r="C398" i="49" l="1"/>
  <c r="C399" i="49"/>
  <c r="C397" i="49"/>
  <c r="E398" i="47" l="1"/>
  <c r="G399" i="49" s="1"/>
  <c r="E399" i="49"/>
  <c r="E397" i="47"/>
  <c r="G398" i="49" s="1"/>
  <c r="F398" i="49"/>
  <c r="E396" i="47"/>
  <c r="G397" i="49" s="1"/>
  <c r="F397" i="49"/>
  <c r="I82" i="44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Q262" i="44" l="1"/>
  <c r="W180" i="44"/>
  <c r="C82" i="44" l="1"/>
  <c r="F398" i="47" l="1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G12" i="6" l="1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7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1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2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H211" i="44" l="1"/>
  <c r="G211" i="44"/>
  <c r="I76" i="43" l="1"/>
  <c r="G25" i="6" l="1"/>
  <c r="I25" i="6"/>
  <c r="K25" i="6"/>
  <c r="G76" i="43" l="1"/>
  <c r="I53" i="43" l="1"/>
  <c r="I211" i="44" l="1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C18" i="48" l="1"/>
  <c r="F72" i="43" l="1"/>
  <c r="H96" i="44" l="1"/>
  <c r="B96" i="44"/>
  <c r="K70" i="43" l="1"/>
  <c r="J70" i="43" s="1"/>
  <c r="K71" i="43"/>
  <c r="K72" i="43"/>
  <c r="K73" i="43"/>
  <c r="K74" i="43"/>
  <c r="K7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I54" i="43" l="1"/>
  <c r="I55" i="43"/>
  <c r="I56" i="43"/>
  <c r="I57" i="43"/>
  <c r="I58" i="43"/>
  <c r="I59" i="43"/>
  <c r="I60" i="43"/>
  <c r="I61" i="43"/>
  <c r="I62" i="43"/>
  <c r="I63" i="43"/>
  <c r="I64" i="43"/>
  <c r="B50" i="44" l="1"/>
  <c r="G3" i="59" l="1"/>
  <c r="G4" i="59"/>
  <c r="G6" i="59"/>
  <c r="G7" i="59"/>
  <c r="G8" i="59"/>
  <c r="G10" i="59"/>
  <c r="G11" i="59"/>
  <c r="G12" i="59"/>
  <c r="G14" i="59"/>
  <c r="G15" i="59"/>
  <c r="G18" i="59"/>
  <c r="G19" i="59"/>
  <c r="G23" i="59"/>
  <c r="G24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F308" i="59"/>
  <c r="G311" i="59"/>
  <c r="G319" i="59"/>
  <c r="G327" i="59"/>
  <c r="G332" i="59"/>
  <c r="G335" i="59"/>
  <c r="F2" i="59"/>
  <c r="C4" i="49"/>
  <c r="G27" i="59"/>
  <c r="G44" i="59"/>
  <c r="G47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F290" i="47" l="1"/>
  <c r="F200" i="47"/>
  <c r="F351" i="47"/>
  <c r="F47" i="47"/>
  <c r="F139" i="47"/>
  <c r="F352" i="47"/>
  <c r="F48" i="47"/>
  <c r="F321" i="47"/>
  <c r="F201" i="47"/>
  <c r="F262" i="47"/>
  <c r="F293" i="47"/>
  <c r="F109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G262" i="47"/>
  <c r="I263" i="49" s="1"/>
  <c r="G109" i="47"/>
  <c r="G292" i="47"/>
  <c r="I293" i="49" s="1"/>
  <c r="I46" i="49"/>
  <c r="F362" i="47"/>
  <c r="F358" i="47"/>
  <c r="G354" i="47"/>
  <c r="I355" i="49" s="1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I321" i="49"/>
  <c r="I353" i="49"/>
  <c r="G170" i="47"/>
  <c r="I171" i="49" s="1"/>
  <c r="I107" i="49"/>
  <c r="G78" i="47"/>
  <c r="I322" i="49"/>
  <c r="I141" i="49"/>
  <c r="I77" i="49"/>
  <c r="I169" i="49"/>
  <c r="G48" i="47"/>
  <c r="G201" i="47"/>
  <c r="I202" i="49" s="1"/>
  <c r="G17" i="47"/>
  <c r="I18" i="49" s="1"/>
  <c r="G231" i="47"/>
  <c r="I232" i="49" s="1"/>
  <c r="I200" i="49"/>
  <c r="I168" i="49"/>
  <c r="G139" i="47"/>
  <c r="I140" i="49" s="1"/>
  <c r="I108" i="49"/>
  <c r="I48" i="49"/>
  <c r="G323" i="47"/>
  <c r="I324" i="49" s="1"/>
  <c r="G382" i="47"/>
  <c r="I383" i="49" s="1"/>
  <c r="I110" i="49" l="1"/>
  <c r="I79" i="49"/>
  <c r="I260" i="49"/>
  <c r="I199" i="49"/>
  <c r="I352" i="49"/>
  <c r="I138" i="49"/>
  <c r="I291" i="49"/>
  <c r="I261" i="49"/>
  <c r="I49" i="49"/>
  <c r="I230" i="49"/>
  <c r="F397" i="47"/>
  <c r="F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s="1"/>
  <c r="I4" i="49" l="1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<sst xmlns="http://schemas.openxmlformats.org/spreadsheetml/2006/main" count="2339" uniqueCount="244">
  <si>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</si>
  <si>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</si>
  <si>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</si>
  <si>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</si>
  <si>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</si>
  <si>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</si>
  <si>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</si>
  <si>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</si>
  <si>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</si>
  <si>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</si>
  <si>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</si>
  <si>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</si>
  <si>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</si>
  <si>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</si>
  <si>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</si>
  <si>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</si>
  <si>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</si>
  <si>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</si>
  <si>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</si>
  <si>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</si>
  <si>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</si>
  <si>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</si>
  <si>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</si>
  <si>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</si>
  <si>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</si>
  <si>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</si>
  <si>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</si>
  <si>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</si>
  <si>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</si>
  <si>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</si>
  <si>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</si>
  <si>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</si>
  <si>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</si>
  <si>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</si>
  <si>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</si>
  <si>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</si>
  <si>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</si>
  <si>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</si>
  <si>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</si>
  <si>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</si>
  <si>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</si>
  <si>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</si>
  <si>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</si>
  <si>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</si>
  <si>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</si>
  <si>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</si>
  <si>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</si>
  <si>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</si>
  <si>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</si>
  <si>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</si>
  <si>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</si>
  <si>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</si>
  <si>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</si>
  <si>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</si>
  <si>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</si>
  <si>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</si>
  <si>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</si>
  <si>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</si>
  <si>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</si>
  <si>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</si>
  <si>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</si>
  <si>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</si>
  <si>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</si>
  <si>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</si>
  <si>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</si>
  <si>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</si>
  <si>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</si>
  <si>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</si>
  <si>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</si>
  <si>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</si>
  <si>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</si>
  <si>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</si>
  <si>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</si>
  <si>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</si>
  <si>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</si>
  <si>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</si>
  <si>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</si>
  <si>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</si>
  <si>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</si>
  <si>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</si>
  <si>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</si>
  <si>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</si>
  <si>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</si>
  <si>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</si>
  <si>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</si>
  <si>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</si>
  <si>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</si>
  <si>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</si>
  <si>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</si>
  <si>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</si>
  <si>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</si>
  <si>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</si>
  <si>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</si>
  <si>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</si>
  <si>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</si>
  <si>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</si>
  <si>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</si>
  <si>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</si>
  <si>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</si>
  <si>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</si>
  <si>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</si>
  <si>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</si>
  <si>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</si>
  <si>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</si>
  <si>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</si>
  <si>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</si>
  <si>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</si>
  <si>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</si>
  <si>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</si>
  <si>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</si>
  <si>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</si>
  <si>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</si>
  <si>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</si>
  <si>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</si>
  <si>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</si>
  <si>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</si>
  <si>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</si>
  <si>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</si>
  <si>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</si>
  <si>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</si>
  <si>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</si>
  <si>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</si>
  <si>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</si>
  <si>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</si>
  <si>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</si>
  <si>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</si>
  <si>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</si>
  <si>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</si>
  <si>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</si>
  <si>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</si>
  <si>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</si>
  <si>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</si>
  <si>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</si>
  <si>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</si>
  <si>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</si>
  <si>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</si>
  <si>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</si>
  <si>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</si>
  <si>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</si>
  <si>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</si>
  <si>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</si>
  <si>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</si>
  <si>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</si>
  <si>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</si>
  <si>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</si>
  <si>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</si>
  <si>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</si>
  <si>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</si>
  <si>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</si>
  <si>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</si>
  <si>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</si>
  <si>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</si>
  <si>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</si>
  <si>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</si>
  <si>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</si>
  <si>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</si>
  <si>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</si>
  <si>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</si>
  <si>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</si>
  <si>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</si>
  <si>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</si>
  <si>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</si>
  <si>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</si>
  <si>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</si>
  <si>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</si>
  <si>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</si>
  <si>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</si>
  <si>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</si>
  <si>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</si>
  <si>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</si>
  <si>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</si>
  <si>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</si>
  <si>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</si>
  <si>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</si>
  <si>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</si>
  <si>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</si>
  <si>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</si>
  <si>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</si>
  <si>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</si>
  <si>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</si>
  <si>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</si>
  <si>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</si>
  <si>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</si>
  <si>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</si>
  <si>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</si>
  <si>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</si>
  <si>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</si>
  <si>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</si>
  <si>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</si>
  <si>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</si>
  <si>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Septiembre 2021</t>
  </si>
  <si>
    <t>Octubre 2021</t>
  </si>
  <si>
    <t>Noviembre 2021</t>
  </si>
  <si>
    <t>Diciembre 2021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</si>
  <si>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</si>
  <si>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</si>
  <si>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</si>
  <si>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</si>
  <si>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</si>
  <si>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</si>
  <si>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</si>
  <si>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</si>
  <si>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</si>
  <si>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</si>
  <si>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</si>
  <si>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</si>
  <si>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</si>
  <si>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</si>
  <si>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</si>
  <si>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</si>
  <si>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</si>
  <si>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</si>
  <si>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</si>
  <si>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</si>
  <si>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</si>
  <si>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</si>
  <si>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</si>
  <si>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</si>
  <si>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Noviembre 2022</t>
  </si>
  <si>
    <t>Lunes 21/11/2022 (18:37 h)</t>
  </si>
  <si>
    <t>Diciembre 2022</t>
  </si>
  <si>
    <t>Desconocido</t>
  </si>
  <si>
    <t>Enero 2023</t>
  </si>
  <si>
    <t>27/01/2023</t>
  </si>
  <si>
    <t>Febrero 2023</t>
  </si>
  <si>
    <t>Marzo 2023</t>
  </si>
  <si>
    <t>31/03/2023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</si>
  <si>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ut="04/13/2023 05:44:42"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msgID="4387F1F311EDD9BECD200080EF959D3B"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</si>
  <si>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ut="04/13/2023 05:55:15"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msgID="57BEA74D11EDD9BECD200080EF45FC38"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rows="23" cols="10" /&gt;&lt;esdo ews="" ece="" ptn="" /&gt;&lt;/excel&gt;&lt;pgs&gt;&lt;pg rows="19" cols="9" nrr="1464" nrc="960"&gt;&lt;pg /&gt;&lt;bls&gt;&lt;bl sr="1" sc="1" rfetch="19" cfetch="9" posid="1" darows="0" dacols="1"&gt;&lt;excel&gt;&lt;epo ews="Dat_01" ece="A4" enr="MSTR.Balance_B.C._Mensual_Peninsular"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</si>
  <si>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2023 Marzo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</si>
  <si>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ut="04/13/2023 05:59:29" si="2.000000019f021a0e42bd447c96d9f31ccae6d5e01cfa32cb0f484a41bd6046916c767351fe9cfa78fcddaf35822833ce62c8dd307bc5b2fa82e3ca0ec7bac4f5ccfebc659bee1926d6bfe52cff706e8af5579cb99e97c2fa864385765163404d4e60ba8a82e364346fefa8481672a57f5ddd6ab6822dcfd3b2bd1da852ee501c8aa3926fbc86a8ae80c5e1b0d47b6fb65da4bd055e182ca98e2397b620f4e58a0379.p.3082.0.1.Europe/Madrid.upriv*_1*_pidn2*_40*_session*-lat*_1.00000001d0d8ebbfa4e7f4a743e486a1aaeb02b1bc6025e028110906b292035d3d277e51715362df2542428bdbca48585bff8e12ea9620b4.000000012600e832338ccd1abec0a6c1b37031d5bc6025e0fddee78e03e94b8a167f7a86e460b60b4f4816276bfb55487eb75dcfd310f441.0.1.1.SIOSbi.A04572404A6ABF2446090B938515E87E.0-3082.1.1_-0.1.0_-3082.1.1_5.5.0.*0.00000001d158c48aecaff0aef35a6b71adcd6690c911585acb647acb36f52dc87e1cb06f7acc9dc1.0.23.11*.2*.0400*.31152J.e.000000011938e12e0a8521dd5a9d4e2a06fcdb36c911585a57c4f4794ba281591c71357904c52c93.0.10*.131*.122*.122.0.0" msgID="54B0B37311EDD9C00A500080EF352D9C"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nrr="392" nrc="40"&gt;&lt;pg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</si>
  <si>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10/03/2023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</si>
  <si>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ut="04/13/2023 06:06:27"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msgID="493D166011EDD9C1CD200080EF45FD3A"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rows="22" cols="2" /&gt;&lt;esdo ews="" ece="" ptn="" /&gt;&lt;/excel&gt;&lt;pgs&gt;&lt;pg rows="19" cols="1" nrr="1365" nrc="76"&gt;&lt;pg /&gt;&lt;bls&gt;&lt;bl sr="1" sc="1" rfetch="19" cfetch="1" posid="1" darows="0" dacols="1"&gt;&lt;excel&gt;&lt;epo ews="Dat_01" ece="A66" enr="MSTR.Balance._Día_máx_generación_renovable._Mes" ptn="" qtn="" rows="22" cols="2" /&gt;&lt;esdo ews="" ece="" ptn="" /&gt;&lt;/excel&gt;&lt;gridRng&gt;&lt;sect id="TITLE_AREA" rngprop="1:1:3:1" /&gt;&lt;sect id="ROWHEADERS_AREA" rngprop="4:1:19:1" /&gt;&lt;sect id="COLUMNHEADERS_AREA" rngprop="1:2:3:1" /&gt;&lt;sect id="DATA_AREA" rngprop="4:2:19:1" /&gt;&lt;/gridRng&gt;&lt;shapes /&gt;&lt;/bl&gt;&lt;/bls&gt;&lt;/pg&gt;&lt;/pgs&gt;&lt;/rptloc&gt;&lt;/mi&gt;</t>
  </si>
  <si>
    <t>Balance Máx.Renov.Histórico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</si>
  <si>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ut="04/13/2023 07:07:44"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msgID="520D43D111EDD9C8CD200080EFB5DC39"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rows="22" cols="2" /&gt;&lt;esdo ews="" ece="" ptn="" /&gt;&lt;/excel&gt;&lt;pgs&gt;&lt;pg rows="19" cols="1" nrr="1400" nrc="77"&gt;&lt;pg /&gt;&lt;bls&gt;&lt;bl sr="1" sc="1" rfetch="19" cfetch="1" posid="1" darows="0" dacols="1"&gt;&lt;excel&gt;&lt;epo ews="Dat_01" ece="G66" enr="MSTR.Balance._Día_máx_generación_renovable._Histórico" ptn="" qtn="" rows="22" cols="2" /&gt;&lt;esdo ews="" ece="" ptn="" /&gt;&lt;/excel&gt;&lt;gridRng&gt;&lt;sect id="TITLE_AREA" rngprop="1:1:3:1" /&gt;&lt;sect id="ROWHEADERS_AREA" rngprop="4:1:19:1" /&gt;&lt;sect id="COLUMNHEADERS_AREA" rngprop="1:2:3:1" /&gt;&lt;sect id="DATA_AREA" rngprop="4:2:19:1"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</si>
  <si>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ut="04/13/2023 07:18:17"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msgID="26A01EF111EDD9CACD200080EFC5FC37"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rows="23" cols="26" /&gt;&lt;esdo ews="" ece="" ptn="" /&gt;&lt;/excel&gt;&lt;pgs&gt;&lt;pg rows="19" cols="25" nrr="1406" nrc="1925"&gt;&lt;pg /&gt;&lt;bls&gt;&lt;bl sr="1" sc="1" rfetch="19" cfetch="25" posid="1" darows="0" dacols="1"&gt;&lt;excel&gt;&lt;epo ews="Dat_01" ece="A115" enr="MSTR.Serie_Balance_B.C._Mensual_Peninsular" ptn="" qtn="" rows="23" cols="26" /&gt;&lt;esdo ews="" ece="" ptn="" /&gt;&lt;/excel&gt;&lt;gridRng&gt;&lt;sect id="TITLE_AREA" rngprop="1:1:4:1" /&gt;&lt;sect id="ROWHEADERS_AREA" rngprop="5:1:19:1" /&gt;&lt;sect id="COLUMNHEADERS_AREA" rngprop="1:2:4:25" /&gt;&lt;sect id="DATA_AREA" rngprop="5:2:19:25"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</si>
  <si>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ut="04/13/2023 07:26:14"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msgID="66A7CF5A11EDD9CCCD200080EFE53E3B"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cols="20" /&gt;&lt;esdo ews="" ece="" ptn="" /&gt;&lt;/excel&gt;&lt;pgs&gt;&lt;pg rows="31" cols="19" nrr="2447" nrc="2559"&gt;&lt;pg /&gt;&lt;bls&gt;&lt;bl sr="1" sc="1" rfetch="31" cfetch="19" posid="1" darows="0" dacols="1"&gt;&lt;excel&gt;&lt;epo ews="Dat_01" ece="A175" enr="MSTR.Balance_B.C._Diario_Peninsular" ptn="" qtn="" rows="36" cols="20" /&gt;&lt;esdo ews="" ece="" ptn="" /&gt;&lt;/excel&gt;&lt;gridRng&gt;&lt;sect id="TITLE_AREA" rngprop="1:1:5:1" /&gt;&lt;sect id="ROWHEADERS_AREA" rngprop="6:1:31:1" /&gt;&lt;sect id="COLUMNHEADERS_AREA" rngprop="1:2:5:19" /&gt;&lt;sect id="DATA_AREA" rngprop="6:2:31:19" /&gt;&lt;/gridRng&gt;&lt;shapes /&gt;&lt;/bl&gt;&lt;/bls&gt;&lt;/pg&gt;&lt;/pgs&gt;&lt;/rptloc&gt;&lt;/mi&gt;</t>
  </si>
  <si>
    <t>09/03/2023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</si>
  <si>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ut="04/13/2023 07:29:03"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msgID="DC6E745B11EDD9CCCD200080EFF55C37"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cols="20" /&gt;&lt;esdo ews="" ece="" ptn="" /&gt;&lt;/excel&gt;&lt;pgs&gt;&lt;pg rows="24" cols="19" nrr="1954" nrc="1490"&gt;&lt;pg /&gt;&lt;bls&gt;&lt;bl sr="1" sc="1" rfetch="24" cfetch="19" posid="1" darows="0" dacols="1"&gt;&lt;excel&gt;&lt;epo ews="Dat_01" ece="A215" enr="MSTR.Balance_B.C._Horario_Eólico" ptn="" qtn="" rows="29" cols="20" /&gt;&lt;esdo ews="" ece="" ptn="" /&gt;&lt;/excel&gt;&lt;gridRng&gt;&lt;sect id="TITLE_AREA" rngprop="1:1:5:1" /&gt;&lt;sect id="ROWHEADERS_AREA" rngprop="6:1:24:1" /&gt;&lt;sect id="COLUMNHEADERS_AREA" rngprop="1:2:5:19" /&gt;&lt;sect id="DATA_AREA" rngprop="6:2:24:19"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</si>
  <si>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ut="04/13/2023 07:30:51"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msgID="0D374CA611EDD9CDCD200080EFB5DD3B"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nrr="647" nrc="684"&gt;&lt;pg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</si>
  <si>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4dece12e568d4288ac7cb19c7eceb6ac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</si>
  <si>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ut="04/13/2023 07:33:04" si="2.0000000151fab68e733af576eceb5a91917c5de61d67496fc52ce3cc13a9750d2ac6be82a2f6a9d768e78685e3f28f2a967b4d8928e4f956ebbe20f16f6135a1b51d06a83d7ac61203d3041a295e4ec1bed8b5f02869d6763edae82af2ab170d57cb52f4b802dc906da07c8bb61594259cb46fc23f3bb6534eb412e40e2de5141df145f53c047d1842bf4725ae966204bf972ad9cc3b5a1169f012e49e783116c251.p.3082.0.1.Europe/Madrid.upriv*_1*_pidn2*_40*_session*-lat*_1.00000001e7563a0c42d865a7a1d4eb36e8117533bc6025e0ada8e062a5d1b7d8e3e7d30cb9bfb4bae8c2d284768115f1ae050b0412ebad90.00000001e2191e44cbcdad0230b117a0226a69c5bc6025e0310309bc466a31b4fc763181d3ee5f916dcf3c711a0aadee64a9f9dbec62e21d.0.1.1.BDEbi.D066E1C611E6257C10D00080EF253B44.0-3082.1.1_-0.1.0_-3082.1.1_5.5.0.*0.00000001b6544d74e31de806b83c464ee89cea0dc911585a5c1d3c991fe65003faa4b1e36df0e1b4.0.23.11*.2*.0400*.31152J.e.000000011124e8510ad51980f755b8aa0d08f087c911585a715dec192cdcdc71d2b6c386e50a480a.0.10*.131*.122*.122.0.0" msgID="632EE01A11EDD9CDCD200080EF857C38"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nrr="541" nrc="587"&gt;&lt;pg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</si>
  <si>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Viernes 10/03/2023 (00:55 h)</t>
  </si>
  <si>
    <t>Jueves 09/03/2023 (20:35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</si>
</sst>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80" formatCode="#,##0.000;\(#,##0.000\)"/>
    <numFmt numFmtId="181" formatCode="0.00000_)"/>
    <numFmt numFmtId="182" formatCode="0.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0">
    <xf numFmtId="165" fontId="0" fillId="0" borderId="0"/>
    <xf numFmtId="0" fontId="4" fillId="0" borderId="0"/>
    <xf numFmtId="0" fontId="4" fillId="0" borderId="0"/>
    <xf numFmtId="0" fontId="4" fillId="0" borderId="0"/>
    <xf numFmtId="165" fontId="8" fillId="0" borderId="0"/>
    <xf numFmtId="0" fontId="8" fillId="0" borderId="0"/>
    <xf numFmtId="0" fontId="4" fillId="0" borderId="0"/>
    <xf numFmtId="165" fontId="8" fillId="0" borderId="0"/>
    <xf numFmtId="0" fontId="8" fillId="0" borderId="0"/>
    <xf numFmtId="0" fontId="20" fillId="0" borderId="0"/>
    <xf numFmtId="0" fontId="22" fillId="0" borderId="0" applyNumberFormat="0" applyFont="0" applyBorder="0" applyAlignment="0" applyProtection="0">
      <alignment horizontal="centerContinuous"/>
    </xf>
    <xf numFmtId="0" fontId="4" fillId="0" borderId="0"/>
    <xf numFmtId="0" fontId="3" fillId="0" borderId="0"/>
    <xf numFmtId="9" fontId="8" fillId="0" borderId="0" applyFont="0" applyFill="0" applyBorder="0" applyAlignment="0" applyProtection="0"/>
    <xf numFmtId="0" fontId="2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1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167" fontId="45" fillId="4" borderId="13">
      <alignment horizontal="right" vertical="center"/>
    </xf>
    <xf numFmtId="167" fontId="46" fillId="5" borderId="13">
      <alignment horizontal="right" vertical="center"/>
    </xf>
    <xf numFmtId="165" fontId="47" fillId="6" borderId="13">
      <alignment vertical="center" wrapText="1"/>
    </xf>
    <xf numFmtId="10" fontId="46" fillId="5" borderId="13">
      <alignment horizontal="right" vertical="center"/>
    </xf>
    <xf numFmtId="167" fontId="48" fillId="4" borderId="13">
      <alignment horizontal="right" vertical="center"/>
    </xf>
    <xf numFmtId="10" fontId="48" fillId="4" borderId="13">
      <alignment horizontal="right" vertical="center"/>
    </xf>
    <xf numFmtId="165" fontId="49" fillId="4" borderId="13">
      <alignment horizontal="left" vertical="center" wrapText="1"/>
    </xf>
    <xf numFmtId="165" fontId="47" fillId="6" borderId="13">
      <alignment horizontal="center" vertical="center" wrapText="1"/>
    </xf>
    <xf numFmtId="165" fontId="50" fillId="5" borderId="13">
      <alignment horizontal="left" vertical="center" wrapText="1"/>
    </xf>
    <xf numFmtId="165" fontId="51" fillId="7" borderId="16"/>
    <xf numFmtId="165" fontId="47" fillId="6" borderId="13">
      <alignment horizontal="center" wrapText="1"/>
    </xf>
    <xf numFmtId="165" fontId="47" fillId="6" borderId="16">
      <alignment vertical="center" wrapText="1"/>
    </xf>
    <xf numFmtId="167" fontId="53" fillId="4" borderId="13">
      <alignment horizontal="right" vertical="center"/>
    </xf>
    <xf numFmtId="167" fontId="54" fillId="4" borderId="13">
      <alignment horizontal="right" vertical="center"/>
    </xf>
    <xf numFmtId="165" fontId="47" fillId="5" borderId="13">
      <alignment horizontal="center" wrapText="1"/>
    </xf>
    <xf numFmtId="165" fontId="49" fillId="4" borderId="16">
      <alignment horizontal="left" vertical="center" wrapText="1"/>
    </xf>
    <xf numFmtId="168" fontId="46" fillId="5" borderId="13">
      <alignment horizontal="right" vertical="center"/>
    </xf>
    <xf numFmtId="0" fontId="8" fillId="0" borderId="0"/>
    <xf numFmtId="0" fontId="8" fillId="0" borderId="0"/>
    <xf numFmtId="0" fontId="8" fillId="0" borderId="0"/>
    <xf numFmtId="165" fontId="66" fillId="13" borderId="13">
      <alignment horizontal="center" wrapText="1"/>
    </xf>
    <xf numFmtId="180" fontId="18" fillId="4" borderId="13">
      <alignment horizontal="right" vertical="center"/>
    </xf>
    <xf numFmtId="165" fontId="66" fillId="13" borderId="13">
      <alignment vertical="center" wrapText="1"/>
    </xf>
    <xf numFmtId="165" fontId="67" fillId="4" borderId="13">
      <alignment horizontal="left" vertical="center" wrapText="1"/>
    </xf>
    <xf numFmtId="180" fontId="66" fillId="13" borderId="13">
      <alignment horizontal="right" vertical="center"/>
    </xf>
    <xf numFmtId="165" fontId="66" fillId="13" borderId="13">
      <alignment horizontal="left" vertical="center"/>
    </xf>
    <xf numFmtId="168" fontId="18" fillId="4" borderId="13">
      <alignment horizontal="right" vertical="center"/>
    </xf>
    <xf numFmtId="10" fontId="48" fillId="4" borderId="15">
      <alignment horizontal="right" vertical="center"/>
    </xf>
    <xf numFmtId="0" fontId="2" fillId="0" borderId="0"/>
    <xf numFmtId="165" fontId="70" fillId="14" borderId="13">
      <alignment vertical="center" wrapText="1"/>
    </xf>
    <xf numFmtId="165" fontId="70" fillId="13" borderId="13">
      <alignment horizontal="left" vertical="center"/>
    </xf>
    <xf numFmtId="165" fontId="70" fillId="14" borderId="13">
      <alignment horizontal="center" wrapText="1"/>
    </xf>
    <xf numFmtId="168" fontId="70" fillId="13" borderId="13">
      <alignment horizontal="right" vertical="center"/>
    </xf>
    <xf numFmtId="165" fontId="47" fillId="6" borderId="13">
      <alignment vertical="center" wrapText="1"/>
    </xf>
    <xf numFmtId="165" fontId="47" fillId="6" borderId="13">
      <alignment horizontal="center" wrapText="1"/>
    </xf>
    <xf numFmtId="165" fontId="49" fillId="4" borderId="13">
      <alignment horizontal="left" vertical="center" wrapText="1"/>
    </xf>
    <xf numFmtId="168" fontId="48" fillId="4" borderId="13">
      <alignment horizontal="right" vertical="center"/>
    </xf>
    <xf numFmtId="165" fontId="50" fillId="5" borderId="13">
      <alignment horizontal="left" vertical="center" wrapText="1"/>
    </xf>
    <xf numFmtId="168" fontId="46" fillId="5" borderId="13">
      <alignment horizontal="right" vertical="center"/>
    </xf>
    <xf numFmtId="10" fontId="46" fillId="5" borderId="13">
      <alignment horizontal="right" vertical="center"/>
    </xf>
    <xf numFmtId="0" fontId="1" fillId="0" borderId="0"/>
  </cellStyleXfs>
  <cellXfs count="328">
    <xf numFmtId="165" fontId="0" fillId="0" borderId="0" xfId="0"/>
    <xf numFmtId="0" fontId="5" fillId="0" borderId="0" xfId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6" fillId="0" borderId="0" xfId="3" applyFont="1" applyAlignment="1">
      <alignment horizontal="left"/>
    </xf>
    <xf numFmtId="165" fontId="8" fillId="0" borderId="0" xfId="4"/>
    <xf numFmtId="165" fontId="5" fillId="0" borderId="0" xfId="4" applyFont="1" applyAlignment="1">
      <alignment horizontal="right"/>
    </xf>
    <xf numFmtId="165" fontId="9" fillId="0" borderId="0" xfId="4" applyFont="1"/>
    <xf numFmtId="165" fontId="10" fillId="0" borderId="0" xfId="4" applyFont="1"/>
    <xf numFmtId="165" fontId="11" fillId="0" borderId="0" xfId="4" applyFont="1"/>
    <xf numFmtId="165" fontId="6" fillId="0" borderId="0" xfId="4" applyFont="1"/>
    <xf numFmtId="165" fontId="6" fillId="0" borderId="0" xfId="4" applyFont="1" applyAlignment="1">
      <alignment horizontal="left" vertical="center" indent="1"/>
    </xf>
    <xf numFmtId="165" fontId="9" fillId="0" borderId="0" xfId="4" applyFont="1" applyAlignment="1">
      <alignment horizontal="left" indent="1"/>
    </xf>
    <xf numFmtId="165" fontId="12" fillId="3" borderId="0" xfId="4" applyFont="1" applyFill="1" applyAlignment="1">
      <alignment horizontal="left"/>
    </xf>
    <xf numFmtId="167" fontId="14" fillId="3" borderId="1" xfId="4" applyNumberFormat="1" applyFont="1" applyFill="1" applyBorder="1"/>
    <xf numFmtId="1" fontId="12" fillId="3" borderId="1" xfId="4" applyNumberFormat="1" applyFont="1" applyFill="1" applyBorder="1" applyAlignment="1">
      <alignment horizontal="right" indent="1"/>
    </xf>
    <xf numFmtId="167" fontId="15" fillId="0" borderId="0" xfId="4" applyNumberFormat="1" applyFont="1"/>
    <xf numFmtId="167" fontId="16" fillId="0" borderId="0" xfId="4" applyNumberFormat="1" applyFont="1"/>
    <xf numFmtId="165" fontId="6" fillId="0" borderId="0" xfId="4" applyFont="1" applyAlignment="1">
      <alignment vertical="top" wrapText="1"/>
    </xf>
    <xf numFmtId="168" fontId="4" fillId="0" borderId="0" xfId="4" applyNumberFormat="1" applyFont="1"/>
    <xf numFmtId="165" fontId="7" fillId="0" borderId="0" xfId="4" applyFont="1"/>
    <xf numFmtId="167" fontId="17" fillId="0" borderId="0" xfId="4" applyNumberFormat="1" applyFont="1"/>
    <xf numFmtId="3" fontId="16" fillId="0" borderId="0" xfId="4" applyNumberFormat="1" applyFont="1"/>
    <xf numFmtId="3" fontId="17" fillId="0" borderId="0" xfId="4" applyNumberFormat="1" applyFont="1"/>
    <xf numFmtId="165" fontId="5" fillId="0" borderId="0" xfId="4" applyFont="1"/>
    <xf numFmtId="1" fontId="12" fillId="3" borderId="1" xfId="4" quotePrefix="1" applyNumberFormat="1" applyFont="1" applyFill="1" applyBorder="1" applyAlignment="1">
      <alignment horizontal="right" indent="1"/>
    </xf>
    <xf numFmtId="0" fontId="4" fillId="0" borderId="0" xfId="6"/>
    <xf numFmtId="165" fontId="5" fillId="0" borderId="0" xfId="7" applyFont="1" applyAlignment="1">
      <alignment horizontal="right"/>
    </xf>
    <xf numFmtId="0" fontId="10" fillId="0" borderId="0" xfId="6" applyFont="1"/>
    <xf numFmtId="0" fontId="9" fillId="0" borderId="0" xfId="6" applyFont="1"/>
    <xf numFmtId="0" fontId="6" fillId="0" borderId="0" xfId="6" applyFont="1"/>
    <xf numFmtId="0" fontId="6" fillId="0" borderId="0" xfId="6" applyFont="1" applyAlignment="1">
      <alignment horizontal="left" vertical="center" indent="1"/>
    </xf>
    <xf numFmtId="0" fontId="9" fillId="0" borderId="0" xfId="6" applyFont="1" applyAlignment="1">
      <alignment horizontal="left" indent="1"/>
    </xf>
    <xf numFmtId="0" fontId="7" fillId="0" borderId="0" xfId="6" applyFont="1"/>
    <xf numFmtId="0" fontId="6" fillId="0" borderId="0" xfId="8" applyFont="1" applyAlignment="1">
      <alignment vertical="center"/>
    </xf>
    <xf numFmtId="0" fontId="7" fillId="0" borderId="0" xfId="6" applyFont="1" applyAlignment="1">
      <alignment horizontal="left" vertical="top"/>
    </xf>
    <xf numFmtId="0" fontId="19" fillId="0" borderId="0" xfId="6" applyFont="1"/>
    <xf numFmtId="0" fontId="7" fillId="0" borderId="0" xfId="6" applyFont="1" applyAlignment="1">
      <alignment vertical="center" wrapText="1"/>
    </xf>
    <xf numFmtId="0" fontId="7" fillId="0" borderId="0" xfId="6" applyFont="1" applyAlignment="1">
      <alignment horizontal="justify" vertical="center" wrapText="1"/>
    </xf>
    <xf numFmtId="0" fontId="6" fillId="0" borderId="0" xfId="6" applyFont="1" applyAlignment="1">
      <alignment horizontal="left"/>
    </xf>
    <xf numFmtId="0" fontId="6" fillId="0" borderId="0" xfId="6" applyFont="1" applyAlignment="1">
      <alignment vertical="top" wrapText="1"/>
    </xf>
    <xf numFmtId="165" fontId="18" fillId="0" borderId="0" xfId="7" applyFont="1" applyAlignment="1">
      <alignment horizontal="left" readingOrder="1"/>
    </xf>
    <xf numFmtId="0" fontId="0" fillId="0" borderId="0" xfId="0" applyNumberFormat="1"/>
    <xf numFmtId="0" fontId="6" fillId="0" borderId="0" xfId="2" applyFont="1" applyAlignment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1" fillId="0" borderId="0" xfId="0" applyNumberFormat="1" applyFont="1"/>
    <xf numFmtId="165" fontId="0" fillId="0" borderId="0" xfId="0" applyAlignment="1">
      <alignment wrapText="1"/>
    </xf>
    <xf numFmtId="0" fontId="23" fillId="0" borderId="0" xfId="11" applyFont="1"/>
    <xf numFmtId="1" fontId="24" fillId="0" borderId="0" xfId="11" applyNumberFormat="1" applyFont="1"/>
    <xf numFmtId="0" fontId="25" fillId="0" borderId="0" xfId="11" applyFont="1"/>
    <xf numFmtId="0" fontId="26" fillId="0" borderId="0" xfId="11" applyFont="1"/>
    <xf numFmtId="1" fontId="23" fillId="0" borderId="0" xfId="11" applyNumberFormat="1" applyFont="1"/>
    <xf numFmtId="168" fontId="23" fillId="0" borderId="0" xfId="11" applyNumberFormat="1" applyFont="1"/>
    <xf numFmtId="173" fontId="23" fillId="0" borderId="0" xfId="11" applyNumberFormat="1" applyFont="1"/>
    <xf numFmtId="4" fontId="23" fillId="0" borderId="0" xfId="11" applyNumberFormat="1" applyFont="1"/>
    <xf numFmtId="171" fontId="23" fillId="0" borderId="0" xfId="11" applyNumberFormat="1" applyFont="1"/>
    <xf numFmtId="1" fontId="27" fillId="0" borderId="0" xfId="11" applyNumberFormat="1" applyFont="1"/>
    <xf numFmtId="170" fontId="27" fillId="0" borderId="0" xfId="11" applyNumberFormat="1" applyFont="1"/>
    <xf numFmtId="171" fontId="27" fillId="0" borderId="0" xfId="11" applyNumberFormat="1" applyFont="1"/>
    <xf numFmtId="0" fontId="27" fillId="0" borderId="0" xfId="11" applyFont="1" applyAlignment="1">
      <alignment horizontal="right"/>
    </xf>
    <xf numFmtId="172" fontId="27" fillId="0" borderId="0" xfId="11" applyNumberFormat="1" applyFont="1"/>
    <xf numFmtId="176" fontId="23" fillId="0" borderId="0" xfId="11" applyNumberFormat="1" applyFont="1"/>
    <xf numFmtId="0" fontId="28" fillId="0" borderId="0" xfId="12" applyFont="1" applyAlignment="1">
      <alignment horizontal="left" vertical="top" wrapText="1"/>
    </xf>
    <xf numFmtId="0" fontId="29" fillId="0" borderId="0" xfId="11" applyFont="1"/>
    <xf numFmtId="171" fontId="29" fillId="0" borderId="0" xfId="11" applyNumberFormat="1" applyFont="1"/>
    <xf numFmtId="175" fontId="29" fillId="0" borderId="0" xfId="11" applyNumberFormat="1" applyFont="1" applyAlignment="1">
      <alignment horizontal="right"/>
    </xf>
    <xf numFmtId="0" fontId="8" fillId="0" borderId="0" xfId="8"/>
    <xf numFmtId="0" fontId="31" fillId="0" borderId="0" xfId="8" applyFont="1"/>
    <xf numFmtId="0" fontId="32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32" fillId="0" borderId="0" xfId="8" applyFont="1" applyAlignment="1">
      <alignment horizontal="left" indent="1"/>
    </xf>
    <xf numFmtId="0" fontId="6" fillId="2" borderId="0" xfId="8" applyFont="1" applyFill="1" applyAlignment="1">
      <alignment horizontal="left"/>
    </xf>
    <xf numFmtId="0" fontId="20" fillId="0" borderId="0" xfId="14" applyAlignment="1">
      <alignment horizontal="center"/>
    </xf>
    <xf numFmtId="0" fontId="20" fillId="0" borderId="0" xfId="14" applyAlignment="1">
      <alignment horizontal="right"/>
    </xf>
    <xf numFmtId="171" fontId="20" fillId="0" borderId="0" xfId="14" applyNumberFormat="1"/>
    <xf numFmtId="0" fontId="32" fillId="2" borderId="0" xfId="8" applyFont="1" applyFill="1" applyAlignment="1">
      <alignment horizontal="left" indent="1"/>
    </xf>
    <xf numFmtId="3" fontId="20" fillId="0" borderId="0" xfId="8" applyNumberFormat="1" applyFont="1"/>
    <xf numFmtId="0" fontId="20" fillId="0" borderId="0" xfId="8" applyFont="1"/>
    <xf numFmtId="0" fontId="8" fillId="2" borderId="0" xfId="8" applyFill="1"/>
    <xf numFmtId="0" fontId="33" fillId="0" borderId="0" xfId="8" applyFont="1"/>
    <xf numFmtId="1" fontId="33" fillId="0" borderId="0" xfId="8" applyNumberFormat="1" applyFont="1"/>
    <xf numFmtId="0" fontId="6" fillId="0" borderId="0" xfId="8" applyFont="1" applyAlignment="1">
      <alignment vertical="top" wrapText="1"/>
    </xf>
    <xf numFmtId="1" fontId="35" fillId="2" borderId="6" xfId="4" applyNumberFormat="1" applyFont="1" applyFill="1" applyBorder="1" applyAlignment="1">
      <alignment horizontal="right" indent="1"/>
    </xf>
    <xf numFmtId="165" fontId="17" fillId="2" borderId="0" xfId="4" applyFont="1" applyFill="1" applyAlignment="1">
      <alignment horizontal="left"/>
    </xf>
    <xf numFmtId="3" fontId="17" fillId="2" borderId="0" xfId="4" applyNumberFormat="1" applyFont="1" applyFill="1" applyAlignment="1">
      <alignment horizontal="right" indent="1"/>
    </xf>
    <xf numFmtId="167" fontId="17" fillId="2" borderId="0" xfId="4" applyNumberFormat="1" applyFont="1" applyFill="1" applyAlignment="1">
      <alignment horizontal="right" indent="1"/>
    </xf>
    <xf numFmtId="167" fontId="35" fillId="2" borderId="2" xfId="4" applyNumberFormat="1" applyFont="1" applyFill="1" applyBorder="1"/>
    <xf numFmtId="3" fontId="35" fillId="2" borderId="2" xfId="4" applyNumberFormat="1" applyFont="1" applyFill="1" applyBorder="1" applyAlignment="1">
      <alignment horizontal="right" indent="1"/>
    </xf>
    <xf numFmtId="167" fontId="35" fillId="2" borderId="2" xfId="4" applyNumberFormat="1" applyFont="1" applyFill="1" applyBorder="1" applyAlignment="1">
      <alignment horizontal="right" indent="1"/>
    </xf>
    <xf numFmtId="167" fontId="17" fillId="2" borderId="0" xfId="4" applyNumberFormat="1" applyFont="1" applyFill="1" applyAlignment="1">
      <alignment horizontal="left"/>
    </xf>
    <xf numFmtId="3" fontId="17" fillId="2" borderId="2" xfId="4" applyNumberFormat="1" applyFont="1" applyFill="1" applyBorder="1" applyAlignment="1">
      <alignment horizontal="right" indent="1"/>
    </xf>
    <xf numFmtId="167" fontId="17" fillId="2" borderId="2" xfId="4" applyNumberFormat="1" applyFont="1" applyFill="1" applyBorder="1" applyAlignment="1">
      <alignment horizontal="right" indent="1"/>
    </xf>
    <xf numFmtId="167" fontId="35" fillId="2" borderId="3" xfId="4" applyNumberFormat="1" applyFont="1" applyFill="1" applyBorder="1"/>
    <xf numFmtId="3" fontId="35" fillId="2" borderId="4" xfId="4" applyNumberFormat="1" applyFont="1" applyFill="1" applyBorder="1" applyAlignment="1">
      <alignment horizontal="right" indent="1"/>
    </xf>
    <xf numFmtId="167" fontId="35" fillId="2" borderId="4" xfId="4" applyNumberFormat="1" applyFont="1" applyFill="1" applyBorder="1" applyAlignment="1">
      <alignment horizontal="right" indent="1"/>
    </xf>
    <xf numFmtId="165" fontId="38" fillId="0" borderId="0" xfId="0" applyFont="1"/>
    <xf numFmtId="0" fontId="38" fillId="0" borderId="0" xfId="1" applyFont="1" applyAlignment="1">
      <alignment horizontal="right"/>
    </xf>
    <xf numFmtId="165" fontId="38" fillId="0" borderId="0" xfId="0" quotePrefix="1" applyFont="1" applyAlignment="1">
      <alignment horizontal="right"/>
    </xf>
    <xf numFmtId="165" fontId="35" fillId="0" borderId="0" xfId="0" applyFont="1"/>
    <xf numFmtId="165" fontId="17" fillId="2" borderId="6" xfId="0" applyFont="1" applyFill="1" applyBorder="1" applyAlignment="1">
      <alignment horizontal="left"/>
    </xf>
    <xf numFmtId="165" fontId="17" fillId="0" borderId="0" xfId="0" applyFont="1"/>
    <xf numFmtId="0" fontId="17" fillId="2" borderId="0" xfId="0" applyNumberFormat="1" applyFont="1" applyFill="1" applyAlignment="1">
      <alignment horizontal="left"/>
    </xf>
    <xf numFmtId="167" fontId="17" fillId="2" borderId="0" xfId="9" applyNumberFormat="1" applyFont="1" applyFill="1" applyAlignment="1">
      <alignment horizontal="right" indent="1"/>
    </xf>
    <xf numFmtId="165" fontId="35" fillId="2" borderId="6" xfId="0" applyFont="1" applyFill="1" applyBorder="1" applyAlignment="1">
      <alignment horizontal="left"/>
    </xf>
    <xf numFmtId="167" fontId="35" fillId="2" borderId="6" xfId="9" applyNumberFormat="1" applyFont="1" applyFill="1" applyBorder="1" applyAlignment="1">
      <alignment horizontal="right" indent="1"/>
    </xf>
    <xf numFmtId="165" fontId="38" fillId="0" borderId="0" xfId="0" applyFont="1" applyAlignment="1">
      <alignment horizontal="right"/>
    </xf>
    <xf numFmtId="165" fontId="17" fillId="0" borderId="0" xfId="7" applyFont="1" applyAlignment="1">
      <alignment horizontal="left" readingOrder="1"/>
    </xf>
    <xf numFmtId="0" fontId="35" fillId="2" borderId="0" xfId="10" applyNumberFormat="1" applyFont="1" applyFill="1" applyBorder="1" applyAlignment="1">
      <alignment vertical="center"/>
    </xf>
    <xf numFmtId="165" fontId="35" fillId="0" borderId="0" xfId="0" applyFont="1" applyAlignment="1">
      <alignment horizontal="left" vertical="center" wrapText="1" readingOrder="1"/>
    </xf>
    <xf numFmtId="165" fontId="35" fillId="0" borderId="9" xfId="0" applyFont="1" applyBorder="1" applyAlignment="1">
      <alignment horizontal="left" vertical="center" wrapText="1" readingOrder="1"/>
    </xf>
    <xf numFmtId="0" fontId="35" fillId="0" borderId="0" xfId="2" applyFont="1" applyAlignment="1">
      <alignment vertical="top" wrapText="1"/>
    </xf>
    <xf numFmtId="165" fontId="17" fillId="0" borderId="1" xfId="0" applyFont="1" applyBorder="1"/>
    <xf numFmtId="165" fontId="35" fillId="2" borderId="0" xfId="0" applyFont="1" applyFill="1"/>
    <xf numFmtId="165" fontId="35" fillId="2" borderId="1" xfId="0" applyFont="1" applyFill="1" applyBorder="1"/>
    <xf numFmtId="165" fontId="35" fillId="2" borderId="1" xfId="0" applyFont="1" applyFill="1" applyBorder="1" applyAlignment="1">
      <alignment horizontal="right"/>
    </xf>
    <xf numFmtId="165" fontId="35" fillId="2" borderId="1" xfId="0" applyFont="1" applyFill="1" applyBorder="1" applyAlignment="1">
      <alignment horizontal="right" wrapText="1"/>
    </xf>
    <xf numFmtId="165" fontId="17" fillId="2" borderId="0" xfId="0" applyFont="1" applyFill="1"/>
    <xf numFmtId="3" fontId="17" fillId="2" borderId="0" xfId="0" applyNumberFormat="1" applyFont="1" applyFill="1" applyAlignment="1">
      <alignment horizontal="right" vertical="center"/>
    </xf>
    <xf numFmtId="3" fontId="35" fillId="2" borderId="1" xfId="0" applyNumberFormat="1" applyFont="1" applyFill="1" applyBorder="1"/>
    <xf numFmtId="3" fontId="17" fillId="2" borderId="0" xfId="9" applyNumberFormat="1" applyFont="1" applyFill="1" applyAlignment="1">
      <alignment horizontal="right" indent="1"/>
    </xf>
    <xf numFmtId="3" fontId="35" fillId="2" borderId="6" xfId="9" applyNumberFormat="1" applyFont="1" applyFill="1" applyBorder="1" applyAlignment="1">
      <alignment horizontal="right" indent="1"/>
    </xf>
    <xf numFmtId="169" fontId="17" fillId="0" borderId="0" xfId="0" applyNumberFormat="1" applyFont="1"/>
    <xf numFmtId="0" fontId="35" fillId="0" borderId="0" xfId="6" applyFont="1" applyAlignment="1">
      <alignment vertical="top" wrapText="1"/>
    </xf>
    <xf numFmtId="165" fontId="17" fillId="2" borderId="0" xfId="0" applyFont="1" applyFill="1" applyAlignment="1">
      <alignment horizontal="left"/>
    </xf>
    <xf numFmtId="0" fontId="17" fillId="0" borderId="0" xfId="6" applyFont="1" applyAlignment="1">
      <alignment horizontal="left" vertical="top" wrapText="1"/>
    </xf>
    <xf numFmtId="0" fontId="30" fillId="0" borderId="0" xfId="11" applyFont="1" applyAlignment="1">
      <alignment horizontal="right"/>
    </xf>
    <xf numFmtId="0" fontId="8" fillId="0" borderId="0" xfId="16"/>
    <xf numFmtId="0" fontId="20" fillId="0" borderId="0" xfId="16" applyFont="1"/>
    <xf numFmtId="0" fontId="31" fillId="0" borderId="0" xfId="16" applyFont="1"/>
    <xf numFmtId="0" fontId="32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32" fillId="2" borderId="0" xfId="16" applyFont="1" applyFill="1" applyAlignment="1">
      <alignment horizontal="left" indent="1"/>
    </xf>
    <xf numFmtId="0" fontId="40" fillId="2" borderId="0" xfId="16" applyFont="1" applyFill="1" applyAlignment="1">
      <alignment horizontal="right" vertical="center"/>
    </xf>
    <xf numFmtId="0" fontId="35" fillId="2" borderId="0" xfId="17" applyFont="1" applyFill="1" applyBorder="1" applyAlignment="1" applyProtection="1">
      <alignment horizontal="left"/>
    </xf>
    <xf numFmtId="0" fontId="42" fillId="0" borderId="0" xfId="16" applyFont="1" applyAlignment="1">
      <alignment horizontal="right"/>
    </xf>
    <xf numFmtId="0" fontId="23" fillId="0" borderId="0" xfId="11" applyFont="1" applyAlignment="1">
      <alignment horizontal="right"/>
    </xf>
    <xf numFmtId="0" fontId="23" fillId="0" borderId="0" xfId="11" applyFont="1" applyAlignment="1">
      <alignment horizontal="left"/>
    </xf>
    <xf numFmtId="3" fontId="23" fillId="0" borderId="0" xfId="11" applyNumberFormat="1" applyFont="1"/>
    <xf numFmtId="165" fontId="35" fillId="0" borderId="0" xfId="0" quotePrefix="1" applyFont="1"/>
    <xf numFmtId="177" fontId="17" fillId="2" borderId="0" xfId="13" applyNumberFormat="1" applyFont="1" applyFill="1" applyAlignment="1" applyProtection="1">
      <alignment horizontal="right" vertical="center"/>
    </xf>
    <xf numFmtId="177" fontId="35" fillId="2" borderId="1" xfId="13" applyNumberFormat="1" applyFont="1" applyFill="1" applyBorder="1" applyAlignment="1" applyProtection="1">
      <alignment horizontal="right"/>
    </xf>
    <xf numFmtId="0" fontId="35" fillId="0" borderId="5" xfId="11" applyFont="1" applyBorder="1" applyAlignment="1">
      <alignment horizontal="center"/>
    </xf>
    <xf numFmtId="0" fontId="35" fillId="0" borderId="5" xfId="11" applyFont="1" applyBorder="1" applyAlignment="1">
      <alignment horizontal="right"/>
    </xf>
    <xf numFmtId="0" fontId="17" fillId="0" borderId="0" xfId="11" applyFont="1"/>
    <xf numFmtId="0" fontId="35" fillId="0" borderId="4" xfId="11" applyFont="1" applyBorder="1" applyAlignment="1">
      <alignment horizontal="center"/>
    </xf>
    <xf numFmtId="0" fontId="35" fillId="0" borderId="4" xfId="11" applyFont="1" applyBorder="1" applyAlignment="1">
      <alignment horizontal="right"/>
    </xf>
    <xf numFmtId="3" fontId="17" fillId="0" borderId="0" xfId="11" applyNumberFormat="1" applyFont="1" applyAlignment="1">
      <alignment horizontal="right"/>
    </xf>
    <xf numFmtId="175" fontId="17" fillId="0" borderId="0" xfId="11" applyNumberFormat="1" applyFont="1" applyAlignment="1">
      <alignment horizontal="right"/>
    </xf>
    <xf numFmtId="171" fontId="17" fillId="0" borderId="0" xfId="11" applyNumberFormat="1" applyFont="1"/>
    <xf numFmtId="1" fontId="17" fillId="0" borderId="0" xfId="12" applyNumberFormat="1" applyFont="1"/>
    <xf numFmtId="174" fontId="17" fillId="0" borderId="0" xfId="11" quotePrefix="1" applyNumberFormat="1" applyFont="1" applyAlignment="1">
      <alignment horizontal="left"/>
    </xf>
    <xf numFmtId="165" fontId="44" fillId="0" borderId="0" xfId="4" applyFont="1" applyAlignment="1">
      <alignment horizontal="left" vertical="center" indent="1"/>
    </xf>
    <xf numFmtId="0" fontId="17" fillId="0" borderId="0" xfId="6" applyFont="1"/>
    <xf numFmtId="165" fontId="17" fillId="0" borderId="0" xfId="0" quotePrefix="1" applyFont="1"/>
    <xf numFmtId="0" fontId="17" fillId="0" borderId="0" xfId="0" applyNumberFormat="1" applyFont="1" applyAlignment="1">
      <alignment horizontal="left"/>
    </xf>
    <xf numFmtId="167" fontId="17" fillId="0" borderId="0" xfId="9" applyNumberFormat="1" applyFont="1" applyAlignment="1">
      <alignment horizontal="right" indent="1"/>
    </xf>
    <xf numFmtId="165" fontId="17" fillId="0" borderId="6" xfId="0" applyFont="1" applyBorder="1" applyAlignment="1">
      <alignment horizontal="left"/>
    </xf>
    <xf numFmtId="1" fontId="35" fillId="0" borderId="6" xfId="4" applyNumberFormat="1" applyFont="1" applyBorder="1" applyAlignment="1">
      <alignment horizontal="right" indent="1"/>
    </xf>
    <xf numFmtId="0" fontId="17" fillId="0" borderId="7" xfId="0" applyNumberFormat="1" applyFont="1" applyBorder="1" applyAlignment="1">
      <alignment horizontal="left"/>
    </xf>
    <xf numFmtId="167" fontId="17" fillId="0" borderId="7" xfId="9" applyNumberFormat="1" applyFont="1" applyBorder="1" applyAlignment="1">
      <alignment horizontal="right" indent="1"/>
    </xf>
    <xf numFmtId="1" fontId="17" fillId="2" borderId="0" xfId="4" applyNumberFormat="1" applyFont="1" applyFill="1" applyAlignment="1">
      <alignment horizontal="right" indent="1"/>
    </xf>
    <xf numFmtId="165" fontId="47" fillId="6" borderId="13" xfId="21" applyAlignment="1">
      <alignment vertical="center"/>
    </xf>
    <xf numFmtId="165" fontId="47" fillId="6" borderId="13" xfId="26" quotePrefix="1" applyAlignment="1">
      <alignment horizontal="center" vertical="center"/>
    </xf>
    <xf numFmtId="165" fontId="47" fillId="6" borderId="13" xfId="26" applyAlignment="1">
      <alignment horizontal="center" vertical="center"/>
    </xf>
    <xf numFmtId="167" fontId="48" fillId="4" borderId="13" xfId="23">
      <alignment horizontal="right" vertical="center"/>
    </xf>
    <xf numFmtId="165" fontId="47" fillId="6" borderId="16" xfId="30" applyAlignment="1">
      <alignment vertical="center"/>
    </xf>
    <xf numFmtId="167" fontId="52" fillId="0" borderId="0" xfId="4" applyNumberFormat="1" applyFont="1"/>
    <xf numFmtId="177" fontId="52" fillId="0" borderId="0" xfId="13" applyNumberFormat="1" applyFont="1" applyFill="1" applyBorder="1" applyProtection="1"/>
    <xf numFmtId="178" fontId="17" fillId="2" borderId="0" xfId="18" applyNumberFormat="1" applyFont="1" applyFill="1" applyBorder="1" applyAlignment="1" applyProtection="1">
      <alignment horizontal="right" indent="1"/>
    </xf>
    <xf numFmtId="0" fontId="55" fillId="0" borderId="0" xfId="6" applyFont="1"/>
    <xf numFmtId="165" fontId="56" fillId="0" borderId="0" xfId="0" applyFont="1" applyAlignment="1">
      <alignment horizontal="center"/>
    </xf>
    <xf numFmtId="165" fontId="57" fillId="0" borderId="0" xfId="0" applyFont="1" applyAlignment="1">
      <alignment horizontal="center"/>
    </xf>
    <xf numFmtId="165" fontId="58" fillId="4" borderId="13" xfId="25" quotePrefix="1" applyFont="1" applyAlignment="1">
      <alignment horizontal="left" vertical="center"/>
    </xf>
    <xf numFmtId="167" fontId="59" fillId="0" borderId="0" xfId="0" applyNumberFormat="1" applyFont="1"/>
    <xf numFmtId="165" fontId="57" fillId="0" borderId="0" xfId="0" applyFont="1"/>
    <xf numFmtId="165" fontId="60" fillId="5" borderId="13" xfId="27" quotePrefix="1" applyFont="1" applyAlignment="1">
      <alignment horizontal="left" vertical="center"/>
    </xf>
    <xf numFmtId="167" fontId="61" fillId="5" borderId="13" xfId="20" applyFont="1">
      <alignment horizontal="right" vertical="center"/>
    </xf>
    <xf numFmtId="165" fontId="62" fillId="8" borderId="17" xfId="0" applyFont="1" applyFill="1" applyBorder="1" applyAlignment="1">
      <alignment horizontal="center"/>
    </xf>
    <xf numFmtId="165" fontId="59" fillId="0" borderId="0" xfId="0" applyFont="1"/>
    <xf numFmtId="171" fontId="59" fillId="0" borderId="0" xfId="0" applyNumberFormat="1" applyFont="1"/>
    <xf numFmtId="165" fontId="47" fillId="5" borderId="13" xfId="33" quotePrefix="1" applyAlignment="1">
      <alignment horizontal="center"/>
    </xf>
    <xf numFmtId="165" fontId="47" fillId="5" borderId="13" xfId="33" applyAlignment="1">
      <alignment horizontal="center"/>
    </xf>
    <xf numFmtId="165" fontId="63" fillId="9" borderId="18" xfId="33" applyFont="1" applyFill="1" applyBorder="1" applyAlignment="1">
      <alignment horizontal="center"/>
    </xf>
    <xf numFmtId="165" fontId="64" fillId="8" borderId="0" xfId="0" applyFont="1" applyFill="1"/>
    <xf numFmtId="169" fontId="64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7" fillId="10" borderId="13" xfId="29" quotePrefix="1" applyFill="1" applyAlignment="1">
      <alignment horizontal="center"/>
    </xf>
    <xf numFmtId="3" fontId="59" fillId="0" borderId="0" xfId="0" applyNumberFormat="1" applyFont="1"/>
    <xf numFmtId="0" fontId="17" fillId="2" borderId="7" xfId="0" applyNumberFormat="1" applyFont="1" applyFill="1" applyBorder="1" applyAlignment="1">
      <alignment horizontal="left"/>
    </xf>
    <xf numFmtId="167" fontId="17" fillId="2" borderId="7" xfId="9" applyNumberFormat="1" applyFont="1" applyFill="1" applyBorder="1" applyAlignment="1">
      <alignment horizontal="right" indent="1"/>
    </xf>
    <xf numFmtId="0" fontId="65" fillId="0" borderId="0" xfId="6" applyFont="1"/>
    <xf numFmtId="0" fontId="17" fillId="0" borderId="0" xfId="0" applyNumberFormat="1" applyFont="1" applyAlignment="1">
      <alignment horizontal="center"/>
    </xf>
    <xf numFmtId="165" fontId="35" fillId="2" borderId="19" xfId="0" quotePrefix="1" applyFont="1" applyFill="1" applyBorder="1"/>
    <xf numFmtId="0" fontId="17" fillId="2" borderId="19" xfId="0" applyNumberFormat="1" applyFont="1" applyFill="1" applyBorder="1" applyAlignment="1">
      <alignment horizontal="center"/>
    </xf>
    <xf numFmtId="165" fontId="17" fillId="0" borderId="0" xfId="0" applyFont="1" applyAlignment="1">
      <alignment horizontal="center"/>
    </xf>
    <xf numFmtId="3" fontId="17" fillId="2" borderId="0" xfId="0" applyNumberFormat="1" applyFont="1" applyFill="1"/>
    <xf numFmtId="165" fontId="17" fillId="2" borderId="7" xfId="0" applyFont="1" applyFill="1" applyBorder="1"/>
    <xf numFmtId="3" fontId="17" fillId="2" borderId="7" xfId="0" applyNumberFormat="1" applyFont="1" applyFill="1" applyBorder="1"/>
    <xf numFmtId="165" fontId="17" fillId="2" borderId="20" xfId="0" applyFont="1" applyFill="1" applyBorder="1"/>
    <xf numFmtId="3" fontId="17" fillId="2" borderId="20" xfId="0" applyNumberFormat="1" applyFont="1" applyFill="1" applyBorder="1"/>
    <xf numFmtId="169" fontId="17" fillId="2" borderId="20" xfId="0" applyNumberFormat="1" applyFont="1" applyFill="1" applyBorder="1"/>
    <xf numFmtId="165" fontId="17" fillId="0" borderId="0" xfId="0" applyFont="1" applyAlignment="1">
      <alignment horizontal="left" indent="1"/>
    </xf>
    <xf numFmtId="169" fontId="17" fillId="0" borderId="0" xfId="0" applyNumberFormat="1" applyFont="1" applyAlignment="1">
      <alignment horizontal="center"/>
    </xf>
    <xf numFmtId="165" fontId="17" fillId="0" borderId="0" xfId="0" applyFont="1" applyAlignment="1">
      <alignment horizontal="right"/>
    </xf>
    <xf numFmtId="14" fontId="17" fillId="2" borderId="0" xfId="0" applyNumberFormat="1" applyFont="1" applyFill="1"/>
    <xf numFmtId="167" fontId="17" fillId="2" borderId="0" xfId="0" applyNumberFormat="1" applyFont="1" applyFill="1"/>
    <xf numFmtId="165" fontId="17" fillId="2" borderId="0" xfId="0" applyFont="1" applyFill="1" applyAlignment="1">
      <alignment horizontal="left" indent="1"/>
    </xf>
    <xf numFmtId="169" fontId="17" fillId="2" borderId="7" xfId="0" applyNumberFormat="1" applyFont="1" applyFill="1" applyBorder="1"/>
    <xf numFmtId="165" fontId="17" fillId="2" borderId="19" xfId="0" quotePrefix="1" applyFont="1" applyFill="1" applyBorder="1"/>
    <xf numFmtId="0" fontId="17" fillId="2" borderId="19" xfId="0" applyNumberFormat="1" applyFont="1" applyFill="1" applyBorder="1"/>
    <xf numFmtId="0" fontId="17" fillId="2" borderId="19" xfId="0" quotePrefix="1" applyNumberFormat="1" applyFont="1" applyFill="1" applyBorder="1"/>
    <xf numFmtId="171" fontId="17" fillId="2" borderId="7" xfId="13" applyNumberFormat="1" applyFont="1" applyFill="1" applyBorder="1"/>
    <xf numFmtId="0" fontId="17" fillId="0" borderId="0" xfId="0" applyNumberFormat="1" applyFont="1"/>
    <xf numFmtId="0" fontId="17" fillId="2" borderId="3" xfId="11" applyFont="1" applyFill="1" applyBorder="1" applyAlignment="1">
      <alignment horizontal="center"/>
    </xf>
    <xf numFmtId="0" fontId="17" fillId="2" borderId="3" xfId="11" applyFont="1" applyFill="1" applyBorder="1" applyAlignment="1">
      <alignment horizontal="right"/>
    </xf>
    <xf numFmtId="0" fontId="17" fillId="2" borderId="3" xfId="11" applyFont="1" applyFill="1" applyBorder="1" applyAlignment="1">
      <alignment horizontal="right" wrapText="1"/>
    </xf>
    <xf numFmtId="0" fontId="17" fillId="0" borderId="0" xfId="11" applyFont="1" applyAlignment="1">
      <alignment horizontal="right"/>
    </xf>
    <xf numFmtId="170" fontId="17" fillId="0" borderId="0" xfId="11" applyNumberFormat="1" applyFont="1" applyAlignment="1">
      <alignment horizontal="right"/>
    </xf>
    <xf numFmtId="0" fontId="17" fillId="2" borderId="0" xfId="11" applyFont="1" applyFill="1"/>
    <xf numFmtId="172" fontId="17" fillId="2" borderId="0" xfId="11" applyNumberFormat="1" applyFont="1" applyFill="1"/>
    <xf numFmtId="3" fontId="17" fillId="2" borderId="0" xfId="11" applyNumberFormat="1" applyFont="1" applyFill="1"/>
    <xf numFmtId="0" fontId="17" fillId="0" borderId="0" xfId="3" applyFont="1"/>
    <xf numFmtId="170" fontId="17" fillId="0" borderId="0" xfId="11" applyNumberFormat="1" applyFont="1"/>
    <xf numFmtId="0" fontId="17" fillId="2" borderId="11" xfId="11" applyFont="1" applyFill="1" applyBorder="1"/>
    <xf numFmtId="172" fontId="17" fillId="2" borderId="11" xfId="11" applyNumberFormat="1" applyFont="1" applyFill="1" applyBorder="1"/>
    <xf numFmtId="0" fontId="17" fillId="2" borderId="4" xfId="11" applyFont="1" applyFill="1" applyBorder="1"/>
    <xf numFmtId="3" fontId="17" fillId="0" borderId="0" xfId="11" applyNumberFormat="1" applyFont="1"/>
    <xf numFmtId="1" fontId="17" fillId="0" borderId="0" xfId="11" applyNumberFormat="1" applyFont="1"/>
    <xf numFmtId="17" fontId="17" fillId="2" borderId="3" xfId="11" quotePrefix="1" applyNumberFormat="1" applyFont="1" applyFill="1" applyBorder="1" applyAlignment="1">
      <alignment horizontal="right"/>
    </xf>
    <xf numFmtId="0" fontId="7" fillId="11" borderId="0" xfId="6" applyFont="1" applyFill="1"/>
    <xf numFmtId="0" fontId="9" fillId="11" borderId="0" xfId="6" applyFont="1" applyFill="1"/>
    <xf numFmtId="169" fontId="57" fillId="0" borderId="0" xfId="0" applyNumberFormat="1" applyFont="1"/>
    <xf numFmtId="3" fontId="35" fillId="0" borderId="1" xfId="0" applyNumberFormat="1" applyFont="1" applyBorder="1"/>
    <xf numFmtId="3" fontId="17" fillId="0" borderId="1" xfId="0" applyNumberFormat="1" applyFont="1" applyBorder="1"/>
    <xf numFmtId="3" fontId="17" fillId="12" borderId="0" xfId="0" applyNumberFormat="1" applyFont="1" applyFill="1" applyAlignment="1">
      <alignment horizontal="right" vertical="center"/>
    </xf>
    <xf numFmtId="177" fontId="17" fillId="12" borderId="0" xfId="13" applyNumberFormat="1" applyFont="1" applyFill="1" applyAlignment="1" applyProtection="1">
      <alignment horizontal="right" vertical="center"/>
    </xf>
    <xf numFmtId="177" fontId="35" fillId="12" borderId="1" xfId="13" applyNumberFormat="1" applyFont="1" applyFill="1" applyBorder="1" applyAlignment="1" applyProtection="1">
      <alignment horizontal="right"/>
    </xf>
    <xf numFmtId="165" fontId="66" fillId="13" borderId="13" xfId="41" applyAlignment="1">
      <alignment vertical="center"/>
    </xf>
    <xf numFmtId="165" fontId="66" fillId="13" borderId="13" xfId="39" quotePrefix="1" applyAlignment="1">
      <alignment horizontal="center"/>
    </xf>
    <xf numFmtId="165" fontId="66" fillId="13" borderId="13" xfId="39" applyAlignment="1">
      <alignment horizontal="center"/>
    </xf>
    <xf numFmtId="165" fontId="67" fillId="4" borderId="13" xfId="42" quotePrefix="1" applyAlignment="1">
      <alignment horizontal="left" vertical="center"/>
    </xf>
    <xf numFmtId="0" fontId="17" fillId="0" borderId="0" xfId="4" applyNumberFormat="1" applyFont="1" applyAlignment="1">
      <alignment horizontal="left" wrapText="1"/>
    </xf>
    <xf numFmtId="171" fontId="17" fillId="0" borderId="9" xfId="0" applyNumberFormat="1" applyFont="1" applyBorder="1" applyAlignment="1">
      <alignment horizontal="right" vertical="center" wrapText="1" readingOrder="1"/>
    </xf>
    <xf numFmtId="171" fontId="55" fillId="11" borderId="0" xfId="0" applyNumberFormat="1" applyFont="1" applyFill="1" applyAlignment="1">
      <alignment horizontal="right" vertical="center" wrapText="1"/>
    </xf>
    <xf numFmtId="165" fontId="55" fillId="11" borderId="0" xfId="0" applyFont="1" applyFill="1" applyAlignment="1">
      <alignment horizontal="right" vertical="center" wrapText="1"/>
    </xf>
    <xf numFmtId="171" fontId="17" fillId="11" borderId="9" xfId="0" applyNumberFormat="1" applyFont="1" applyFill="1" applyBorder="1" applyAlignment="1">
      <alignment horizontal="right" vertical="center" wrapText="1"/>
    </xf>
    <xf numFmtId="165" fontId="17" fillId="11" borderId="10" xfId="0" applyFont="1" applyFill="1" applyBorder="1" applyAlignment="1">
      <alignment horizontal="right" vertical="center" wrapText="1"/>
    </xf>
    <xf numFmtId="3" fontId="55" fillId="11" borderId="0" xfId="0" applyNumberFormat="1" applyFont="1" applyFill="1" applyAlignment="1">
      <alignment horizontal="right" vertical="center" wrapText="1"/>
    </xf>
    <xf numFmtId="0" fontId="55" fillId="0" borderId="0" xfId="6" applyFont="1" applyAlignment="1">
      <alignment horizontal="left" vertical="top" wrapText="1"/>
    </xf>
    <xf numFmtId="165" fontId="35" fillId="0" borderId="0" xfId="7" applyFont="1" applyAlignment="1">
      <alignment horizontal="left" readingOrder="1"/>
    </xf>
    <xf numFmtId="0" fontId="2" fillId="0" borderId="0" xfId="47" applyAlignment="1">
      <alignment horizontal="center" vertical="center" wrapText="1"/>
    </xf>
    <xf numFmtId="0" fontId="2" fillId="0" borderId="0" xfId="47"/>
    <xf numFmtId="14" fontId="2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2" fillId="0" borderId="0" xfId="47" applyNumberFormat="1"/>
    <xf numFmtId="1" fontId="2" fillId="0" borderId="0" xfId="47" applyNumberFormat="1"/>
    <xf numFmtId="181" fontId="17" fillId="0" borderId="0" xfId="0" applyNumberFormat="1" applyFont="1"/>
    <xf numFmtId="1" fontId="65" fillId="0" borderId="0" xfId="12" applyNumberFormat="1" applyFont="1"/>
    <xf numFmtId="0" fontId="17" fillId="0" borderId="0" xfId="4" applyNumberFormat="1" applyFont="1" applyAlignment="1">
      <alignment horizontal="justify"/>
    </xf>
    <xf numFmtId="3" fontId="68" fillId="0" borderId="0" xfId="47" applyNumberFormat="1" applyFont="1" applyAlignment="1">
      <alignment horizontal="right" vertical="center"/>
    </xf>
    <xf numFmtId="0" fontId="17" fillId="0" borderId="0" xfId="4" applyNumberFormat="1" applyFont="1" applyAlignment="1">
      <alignment wrapText="1"/>
    </xf>
    <xf numFmtId="0" fontId="17" fillId="0" borderId="0" xfId="4" applyNumberFormat="1" applyFont="1"/>
    <xf numFmtId="171" fontId="17" fillId="2" borderId="7" xfId="0" applyNumberFormat="1" applyFont="1" applyFill="1" applyBorder="1"/>
    <xf numFmtId="3" fontId="17" fillId="11" borderId="0" xfId="0" applyNumberFormat="1" applyFont="1" applyFill="1" applyAlignment="1">
      <alignment horizontal="right" vertical="center" wrapText="1"/>
    </xf>
    <xf numFmtId="165" fontId="17" fillId="11" borderId="8" xfId="0" applyFont="1" applyFill="1" applyBorder="1" applyAlignment="1">
      <alignment horizontal="right" vertical="center" wrapText="1"/>
    </xf>
    <xf numFmtId="165" fontId="70" fillId="14" borderId="13" xfId="48" applyAlignment="1">
      <alignment vertical="center"/>
    </xf>
    <xf numFmtId="165" fontId="70" fillId="14" borderId="13" xfId="50" quotePrefix="1" applyAlignment="1">
      <alignment horizontal="center"/>
    </xf>
    <xf numFmtId="165" fontId="70" fillId="14" borderId="13" xfId="50" applyAlignment="1">
      <alignment horizontal="center"/>
    </xf>
    <xf numFmtId="165" fontId="49" fillId="4" borderId="13" xfId="54" quotePrefix="1" applyAlignment="1">
      <alignment horizontal="left" vertical="center"/>
    </xf>
    <xf numFmtId="165" fontId="50" fillId="5" borderId="13" xfId="56" quotePrefix="1" applyAlignment="1">
      <alignment horizontal="left" vertical="center"/>
    </xf>
    <xf numFmtId="165" fontId="47" fillId="6" borderId="13" xfId="53" applyAlignment="1">
      <alignment horizontal="center"/>
    </xf>
    <xf numFmtId="165" fontId="49" fillId="4" borderId="13" xfId="54" applyAlignment="1">
      <alignment horizontal="left" vertical="center"/>
    </xf>
    <xf numFmtId="165" fontId="35" fillId="2" borderId="0" xfId="0" quotePrefix="1" applyFont="1" applyFill="1"/>
    <xf numFmtId="0" fontId="17" fillId="2" borderId="0" xfId="0" applyNumberFormat="1" applyFont="1" applyFill="1" applyAlignment="1">
      <alignment horizontal="center"/>
    </xf>
    <xf numFmtId="169" fontId="17" fillId="2" borderId="0" xfId="0" applyNumberFormat="1" applyFont="1" applyFill="1"/>
    <xf numFmtId="171" fontId="17" fillId="2" borderId="0" xfId="0" applyNumberFormat="1" applyFont="1" applyFill="1"/>
    <xf numFmtId="182" fontId="0" fillId="0" borderId="0" xfId="0" applyNumberFormat="1"/>
    <xf numFmtId="168" fontId="48" fillId="4" borderId="13" xfId="55" applyAlignment="1">
      <alignment horizontal="right" vertical="center"/>
    </xf>
    <xf numFmtId="10" fontId="48" fillId="4" borderId="13" xfId="24" applyAlignment="1">
      <alignment horizontal="right" vertical="center"/>
    </xf>
    <xf numFmtId="168" fontId="46" fillId="5" borderId="13" xfId="57" applyAlignment="1">
      <alignment horizontal="right" vertical="center"/>
    </xf>
    <xf numFmtId="10" fontId="46" fillId="5" borderId="13" xfId="58" applyAlignment="1">
      <alignment horizontal="right" vertical="center"/>
    </xf>
    <xf numFmtId="168" fontId="18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7" fontId="48" fillId="4" borderId="13" xfId="23" applyAlignment="1">
      <alignment horizontal="right" vertical="center"/>
    </xf>
    <xf numFmtId="167" fontId="46" fillId="5" borderId="13" xfId="20" applyAlignment="1">
      <alignment horizontal="right" vertical="center"/>
    </xf>
    <xf numFmtId="180" fontId="18" fillId="4" borderId="13" xfId="40" applyAlignment="1">
      <alignment horizontal="right" vertical="center"/>
    </xf>
    <xf numFmtId="165" fontId="66" fillId="13" borderId="13" xfId="44" quotePrefix="1" applyAlignment="1">
      <alignment horizontal="left" vertical="center"/>
    </xf>
    <xf numFmtId="165" fontId="66" fillId="13" borderId="13" xfId="44" applyAlignment="1">
      <alignment horizontal="left" vertical="center"/>
    </xf>
    <xf numFmtId="180" fontId="66" fillId="13" borderId="13" xfId="43" applyAlignment="1">
      <alignment horizontal="right" vertical="center"/>
    </xf>
    <xf numFmtId="165" fontId="47" fillId="6" borderId="13" xfId="53" quotePrefix="1" applyAlignment="1">
      <alignment horizontal="center"/>
    </xf>
    <xf numFmtId="165" fontId="35" fillId="0" borderId="0" xfId="4" applyFont="1" applyAlignment="1">
      <alignment horizontal="left" vertical="top" wrapText="1"/>
    </xf>
    <xf numFmtId="165" fontId="13" fillId="3" borderId="2" xfId="4" quotePrefix="1" applyFont="1" applyFill="1" applyBorder="1" applyAlignment="1">
      <alignment horizontal="right" indent="1"/>
    </xf>
    <xf numFmtId="0" fontId="13" fillId="3" borderId="2" xfId="4" applyNumberFormat="1" applyFont="1" applyFill="1" applyBorder="1" applyAlignment="1">
      <alignment horizontal="right" indent="1"/>
    </xf>
    <xf numFmtId="165" fontId="13" fillId="3" borderId="2" xfId="4" applyFont="1" applyFill="1" applyBorder="1" applyAlignment="1">
      <alignment horizontal="right" indent="1"/>
    </xf>
    <xf numFmtId="0" fontId="17" fillId="0" borderId="0" xfId="4" applyNumberFormat="1" applyFont="1" applyAlignment="1">
      <alignment horizontal="left" wrapText="1"/>
    </xf>
    <xf numFmtId="0" fontId="17" fillId="0" borderId="0" xfId="4" applyNumberFormat="1" applyFont="1" applyAlignment="1">
      <alignment horizontal="justify"/>
    </xf>
    <xf numFmtId="0" fontId="17" fillId="0" borderId="5" xfId="4" applyNumberFormat="1" applyFont="1" applyBorder="1" applyAlignment="1">
      <alignment horizontal="justify" wrapText="1"/>
    </xf>
    <xf numFmtId="0" fontId="17" fillId="0" borderId="5" xfId="4" applyNumberFormat="1" applyFont="1" applyBorder="1" applyAlignment="1">
      <alignment horizontal="justify"/>
    </xf>
    <xf numFmtId="0" fontId="17" fillId="0" borderId="0" xfId="4" applyNumberFormat="1" applyFont="1" applyAlignment="1">
      <alignment horizontal="left"/>
    </xf>
    <xf numFmtId="0" fontId="35" fillId="0" borderId="0" xfId="6" applyFont="1" applyAlignment="1">
      <alignment horizontal="left" vertical="top" wrapText="1"/>
    </xf>
    <xf numFmtId="0" fontId="35" fillId="0" borderId="0" xfId="2" applyFont="1" applyAlignment="1">
      <alignment horizontal="left" vertical="top" wrapText="1"/>
    </xf>
    <xf numFmtId="165" fontId="35" fillId="2" borderId="0" xfId="10" quotePrefix="1" applyNumberFormat="1" applyFont="1" applyFill="1" applyBorder="1" applyAlignment="1">
      <alignment horizontal="center" vertical="center"/>
    </xf>
    <xf numFmtId="0" fontId="35" fillId="2" borderId="8" xfId="10" applyNumberFormat="1" applyFont="1" applyFill="1" applyBorder="1" applyAlignment="1">
      <alignment horizontal="center" vertical="center"/>
    </xf>
    <xf numFmtId="0" fontId="35" fillId="2" borderId="0" xfId="10" applyNumberFormat="1" applyFont="1" applyFill="1" applyBorder="1" applyAlignment="1">
      <alignment horizontal="center" vertical="center"/>
    </xf>
    <xf numFmtId="165" fontId="17" fillId="2" borderId="20" xfId="0" applyFont="1" applyFill="1" applyBorder="1" applyAlignment="1">
      <alignment horizontal="center" wrapText="1"/>
    </xf>
    <xf numFmtId="165" fontId="17" fillId="2" borderId="7" xfId="0" applyFont="1" applyFill="1" applyBorder="1" applyAlignment="1">
      <alignment horizontal="center" wrapText="1"/>
    </xf>
    <xf numFmtId="165" fontId="47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7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7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7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7" fillId="4" borderId="22" xfId="42" quotePrefix="1" applyBorder="1" applyAlignment="1">
      <alignment horizontal="left" vertical="center"/>
    </xf>
    <xf numFmtId="165" fontId="47" fillId="10" borderId="15" xfId="29" applyFill="1" applyBorder="1" applyAlignment="1">
      <alignment horizontal="center"/>
    </xf>
    <xf numFmtId="165" fontId="47" fillId="10" borderId="14" xfId="29" applyFill="1" applyBorder="1" applyAlignment="1">
      <alignment horizontal="center"/>
    </xf>
    <xf numFmtId="165" fontId="35" fillId="2" borderId="12" xfId="0" applyFont="1" applyFill="1" applyBorder="1" applyAlignment="1">
      <alignment horizontal="center"/>
    </xf>
    <xf numFmtId="0" fontId="35" fillId="0" borderId="3" xfId="11" applyFont="1" applyBorder="1" applyAlignment="1">
      <alignment horizontal="center"/>
    </xf>
  </cellXfs>
  <cellStyles count="60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11" xfId="59" xr:uid="{58FEF1AE-EFAA-4806-BFE1-A7F55B564B3A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AACA8"/>
      <color rgb="FFDFA7A3"/>
      <color rgb="FF000000"/>
      <color rgb="FFED7D31"/>
      <color rgb="FF004563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20487804878048779"/>
                  <c:y val="9.2885389326334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5284552845528454"/>
                  <c:y val="0.19869281045751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2.9177381600321914</c:v>
                </c:pt>
                <c:pt idx="1">
                  <c:v>6.233532037286281</c:v>
                </c:pt>
                <c:pt idx="2">
                  <c:v>2.8229427617758778</c:v>
                </c:pt>
                <c:pt idx="3">
                  <c:v>21.511986683465175</c:v>
                </c:pt>
                <c:pt idx="4">
                  <c:v>4.8984960423328836</c:v>
                </c:pt>
                <c:pt idx="5">
                  <c:v>6.9628439611742572E-3</c:v>
                </c:pt>
                <c:pt idx="6">
                  <c:v>0.33910232460647893</c:v>
                </c:pt>
                <c:pt idx="7">
                  <c:v>0.11528323817603328</c:v>
                </c:pt>
                <c:pt idx="8">
                  <c:v>25.848133669293038</c:v>
                </c:pt>
                <c:pt idx="9">
                  <c:v>14.970204753230732</c:v>
                </c:pt>
                <c:pt idx="10">
                  <c:v>17.365361965752093</c:v>
                </c:pt>
                <c:pt idx="11">
                  <c:v>2.0179223903794954</c:v>
                </c:pt>
                <c:pt idx="12">
                  <c:v>0.9523331297085319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273.84815268400001</c:v>
                </c:pt>
                <c:pt idx="1">
                  <c:v>336.71262419200002</c:v>
                </c:pt>
                <c:pt idx="2">
                  <c:v>299.88005130400001</c:v>
                </c:pt>
                <c:pt idx="3">
                  <c:v>270.92395723800001</c:v>
                </c:pt>
                <c:pt idx="4">
                  <c:v>216.61761902000001</c:v>
                </c:pt>
                <c:pt idx="5">
                  <c:v>339.37215041600001</c:v>
                </c:pt>
                <c:pt idx="6">
                  <c:v>304.810324294</c:v>
                </c:pt>
                <c:pt idx="7">
                  <c:v>385.66142858699999</c:v>
                </c:pt>
                <c:pt idx="8">
                  <c:v>361.663865692</c:v>
                </c:pt>
                <c:pt idx="9">
                  <c:v>485.35906038799999</c:v>
                </c:pt>
                <c:pt idx="10">
                  <c:v>542.79743612200002</c:v>
                </c:pt>
                <c:pt idx="11">
                  <c:v>260.87120307999999</c:v>
                </c:pt>
                <c:pt idx="12">
                  <c:v>540.07979424799998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4766.6900519999999</c:v>
                </c:pt>
                <c:pt idx="1">
                  <c:v>4414.7154469999996</c:v>
                </c:pt>
                <c:pt idx="2">
                  <c:v>4066.3553609999999</c:v>
                </c:pt>
                <c:pt idx="3">
                  <c:v>4459.4591659999996</c:v>
                </c:pt>
                <c:pt idx="4">
                  <c:v>5073.1524980000004</c:v>
                </c:pt>
                <c:pt idx="5">
                  <c:v>5122.0469300000004</c:v>
                </c:pt>
                <c:pt idx="6">
                  <c:v>4847.367123</c:v>
                </c:pt>
                <c:pt idx="7">
                  <c:v>4021.440771</c:v>
                </c:pt>
                <c:pt idx="8">
                  <c:v>4231.5772440000001</c:v>
                </c:pt>
                <c:pt idx="9">
                  <c:v>5161.2124510000003</c:v>
                </c:pt>
                <c:pt idx="10">
                  <c:v>5086.7635890000001</c:v>
                </c:pt>
                <c:pt idx="11">
                  <c:v>4597.9597160000003</c:v>
                </c:pt>
                <c:pt idx="12">
                  <c:v>5102.2896650000002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705.89499799999999</c:v>
                </c:pt>
                <c:pt idx="1">
                  <c:v>691.61008400000003</c:v>
                </c:pt>
                <c:pt idx="2">
                  <c:v>528.18479500000001</c:v>
                </c:pt>
                <c:pt idx="3">
                  <c:v>804.07860300000004</c:v>
                </c:pt>
                <c:pt idx="4">
                  <c:v>832.04332899999997</c:v>
                </c:pt>
                <c:pt idx="5">
                  <c:v>814.32721900000001</c:v>
                </c:pt>
                <c:pt idx="6">
                  <c:v>632.670525</c:v>
                </c:pt>
                <c:pt idx="7">
                  <c:v>381.58525800000001</c:v>
                </c:pt>
                <c:pt idx="8">
                  <c:v>322.05787199999997</c:v>
                </c:pt>
                <c:pt idx="9">
                  <c:v>694.29977599999995</c:v>
                </c:pt>
                <c:pt idx="10">
                  <c:v>296.93498</c:v>
                </c:pt>
                <c:pt idx="11">
                  <c:v>418.656857</c:v>
                </c:pt>
                <c:pt idx="12">
                  <c:v>424.61757399999999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3253.6807650000001</c:v>
                </c:pt>
                <c:pt idx="1">
                  <c:v>2574.0641529999998</c:v>
                </c:pt>
                <c:pt idx="2">
                  <c:v>3092.6268949999999</c:v>
                </c:pt>
                <c:pt idx="3">
                  <c:v>5827.7655100000002</c:v>
                </c:pt>
                <c:pt idx="4">
                  <c:v>7767.9818580000001</c:v>
                </c:pt>
                <c:pt idx="5">
                  <c:v>7355.8591020000003</c:v>
                </c:pt>
                <c:pt idx="6">
                  <c:v>7042.528448</c:v>
                </c:pt>
                <c:pt idx="7">
                  <c:v>6464.1513779999996</c:v>
                </c:pt>
                <c:pt idx="8">
                  <c:v>4128.1831039999997</c:v>
                </c:pt>
                <c:pt idx="9">
                  <c:v>3769.7460030000002</c:v>
                </c:pt>
                <c:pt idx="10">
                  <c:v>2192.7146849999999</c:v>
                </c:pt>
                <c:pt idx="11">
                  <c:v>3827.8458970000002</c:v>
                </c:pt>
                <c:pt idx="12">
                  <c:v>2596.673096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2213.0625329999998</c:v>
                </c:pt>
                <c:pt idx="1">
                  <c:v>1707.8027689999999</c:v>
                </c:pt>
                <c:pt idx="2">
                  <c:v>1868.697737</c:v>
                </c:pt>
                <c:pt idx="3">
                  <c:v>1465.8471500000001</c:v>
                </c:pt>
                <c:pt idx="4">
                  <c:v>1052.5662259999999</c:v>
                </c:pt>
                <c:pt idx="5">
                  <c:v>779.35966299999995</c:v>
                </c:pt>
                <c:pt idx="6">
                  <c:v>737.15349700000002</c:v>
                </c:pt>
                <c:pt idx="7">
                  <c:v>1100.1734710000001</c:v>
                </c:pt>
                <c:pt idx="8">
                  <c:v>1450.809587</c:v>
                </c:pt>
                <c:pt idx="9">
                  <c:v>1095.547366</c:v>
                </c:pt>
                <c:pt idx="10">
                  <c:v>1208.936085</c:v>
                </c:pt>
                <c:pt idx="11">
                  <c:v>1699.2487839999999</c:v>
                </c:pt>
                <c:pt idx="12">
                  <c:v>1694.13301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173.90460849999999</c:v>
                </c:pt>
                <c:pt idx="1">
                  <c:v>163.84968900000001</c:v>
                </c:pt>
                <c:pt idx="2">
                  <c:v>158.10162349999999</c:v>
                </c:pt>
                <c:pt idx="3">
                  <c:v>142.17442550000001</c:v>
                </c:pt>
                <c:pt idx="4">
                  <c:v>164.320076</c:v>
                </c:pt>
                <c:pt idx="5">
                  <c:v>150.58758700000001</c:v>
                </c:pt>
                <c:pt idx="6">
                  <c:v>125.723592</c:v>
                </c:pt>
                <c:pt idx="7">
                  <c:v>143.37030100000001</c:v>
                </c:pt>
                <c:pt idx="8">
                  <c:v>116.98180050000001</c:v>
                </c:pt>
                <c:pt idx="9">
                  <c:v>123.7646755</c:v>
                </c:pt>
                <c:pt idx="10">
                  <c:v>95.565625499999996</c:v>
                </c:pt>
                <c:pt idx="11">
                  <c:v>101.400882</c:v>
                </c:pt>
                <c:pt idx="12">
                  <c:v>110.4263425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185.10878299999999</c:v>
                </c:pt>
                <c:pt idx="1">
                  <c:v>210.87724</c:v>
                </c:pt>
                <c:pt idx="2">
                  <c:v>181.54143500000001</c:v>
                </c:pt>
                <c:pt idx="3">
                  <c:v>100.40978299999999</c:v>
                </c:pt>
                <c:pt idx="4">
                  <c:v>62.852412999999999</c:v>
                </c:pt>
                <c:pt idx="5">
                  <c:v>150.749279</c:v>
                </c:pt>
                <c:pt idx="6">
                  <c:v>335.52214199999997</c:v>
                </c:pt>
                <c:pt idx="7">
                  <c:v>391.56401</c:v>
                </c:pt>
                <c:pt idx="8">
                  <c:v>409.97294199999999</c:v>
                </c:pt>
                <c:pt idx="9">
                  <c:v>386.65187099999997</c:v>
                </c:pt>
                <c:pt idx="10">
                  <c:v>345.56345799999997</c:v>
                </c:pt>
                <c:pt idx="11">
                  <c:v>178.319478</c:v>
                </c:pt>
                <c:pt idx="12">
                  <c:v>285.38542200000001</c:v>
                </c:pt>
                <c:pt idx="13">
                  <c:v>253.69801899999999</c:v>
                </c:pt>
                <c:pt idx="14">
                  <c:v>90.665316000000004</c:v>
                </c:pt>
                <c:pt idx="15">
                  <c:v>230.406139</c:v>
                </c:pt>
                <c:pt idx="16">
                  <c:v>279.33156600000001</c:v>
                </c:pt>
                <c:pt idx="17">
                  <c:v>180.95620499999998</c:v>
                </c:pt>
                <c:pt idx="18">
                  <c:v>87.045945000000003</c:v>
                </c:pt>
                <c:pt idx="19">
                  <c:v>70.674600999999996</c:v>
                </c:pt>
                <c:pt idx="20">
                  <c:v>55.528963000000005</c:v>
                </c:pt>
                <c:pt idx="21">
                  <c:v>123.831396</c:v>
                </c:pt>
                <c:pt idx="22">
                  <c:v>202.489126</c:v>
                </c:pt>
                <c:pt idx="23">
                  <c:v>251.95039000000003</c:v>
                </c:pt>
                <c:pt idx="24">
                  <c:v>161.919456</c:v>
                </c:pt>
                <c:pt idx="25">
                  <c:v>252.54104699999999</c:v>
                </c:pt>
                <c:pt idx="26">
                  <c:v>163.91375600000001</c:v>
                </c:pt>
                <c:pt idx="27">
                  <c:v>105.192367</c:v>
                </c:pt>
                <c:pt idx="28">
                  <c:v>205.62376399999999</c:v>
                </c:pt>
                <c:pt idx="29">
                  <c:v>254.87414799999999</c:v>
                </c:pt>
                <c:pt idx="30">
                  <c:v>366.33163000000002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21.91328851247048</c:v>
                </c:pt>
                <c:pt idx="1">
                  <c:v>24.675911444148834</c:v>
                </c:pt>
                <c:pt idx="2">
                  <c:v>21.937503843938938</c:v>
                </c:pt>
                <c:pt idx="3">
                  <c:v>13.978661182250358</c:v>
                </c:pt>
                <c:pt idx="4">
                  <c:v>9.3306636183061809</c:v>
                </c:pt>
                <c:pt idx="5">
                  <c:v>19.440059108987928</c:v>
                </c:pt>
                <c:pt idx="6">
                  <c:v>42.875025284685748</c:v>
                </c:pt>
                <c:pt idx="7">
                  <c:v>47.845035836009373</c:v>
                </c:pt>
                <c:pt idx="8">
                  <c:v>51.088403062095821</c:v>
                </c:pt>
                <c:pt idx="9">
                  <c:v>47.161685551097428</c:v>
                </c:pt>
                <c:pt idx="10">
                  <c:v>46.28407509410907</c:v>
                </c:pt>
                <c:pt idx="11">
                  <c:v>26.229243747475866</c:v>
                </c:pt>
                <c:pt idx="12">
                  <c:v>38.886380684836467</c:v>
                </c:pt>
                <c:pt idx="13">
                  <c:v>32.526375622247109</c:v>
                </c:pt>
                <c:pt idx="14">
                  <c:v>12.487453063674375</c:v>
                </c:pt>
                <c:pt idx="15">
                  <c:v>30.625201651823403</c:v>
                </c:pt>
                <c:pt idx="16">
                  <c:v>36.832584371457266</c:v>
                </c:pt>
                <c:pt idx="17">
                  <c:v>27.303145155613535</c:v>
                </c:pt>
                <c:pt idx="18">
                  <c:v>13.300435872561678</c:v>
                </c:pt>
                <c:pt idx="19">
                  <c:v>10.062139099460754</c:v>
                </c:pt>
                <c:pt idx="20">
                  <c:v>8.1177339702284907</c:v>
                </c:pt>
                <c:pt idx="21">
                  <c:v>17.870208782209847</c:v>
                </c:pt>
                <c:pt idx="22">
                  <c:v>28.183814464861847</c:v>
                </c:pt>
                <c:pt idx="23">
                  <c:v>34.838116916928399</c:v>
                </c:pt>
                <c:pt idx="24">
                  <c:v>25.368728157132058</c:v>
                </c:pt>
                <c:pt idx="25">
                  <c:v>38.152612553951869</c:v>
                </c:pt>
                <c:pt idx="26">
                  <c:v>22.508486651142004</c:v>
                </c:pt>
                <c:pt idx="27">
                  <c:v>14.662203999803245</c:v>
                </c:pt>
                <c:pt idx="28">
                  <c:v>28.33347810302536</c:v>
                </c:pt>
                <c:pt idx="29">
                  <c:v>34.807357931124919</c:v>
                </c:pt>
                <c:pt idx="30">
                  <c:v>48.142647355984039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9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</c:lvl>
                <c:lvl>
                  <c:pt idx="0">
                    <c:v>2022</c:v>
                  </c:pt>
                  <c:pt idx="306">
                    <c:v>2023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123.057188</c:v>
                </c:pt>
                <c:pt idx="1">
                  <c:v>183.63743299999999</c:v>
                </c:pt>
                <c:pt idx="2">
                  <c:v>179.32466500000001</c:v>
                </c:pt>
                <c:pt idx="3">
                  <c:v>292.31094100000001</c:v>
                </c:pt>
                <c:pt idx="4">
                  <c:v>162.934877</c:v>
                </c:pt>
                <c:pt idx="5">
                  <c:v>130.44913199999999</c:v>
                </c:pt>
                <c:pt idx="6">
                  <c:v>102.770679</c:v>
                </c:pt>
                <c:pt idx="7">
                  <c:v>168.05848699999999</c:v>
                </c:pt>
                <c:pt idx="8">
                  <c:v>159.07691999999997</c:v>
                </c:pt>
                <c:pt idx="9">
                  <c:v>200.95546599999997</c:v>
                </c:pt>
                <c:pt idx="10">
                  <c:v>249.45703199999997</c:v>
                </c:pt>
                <c:pt idx="11">
                  <c:v>232.19109800000001</c:v>
                </c:pt>
                <c:pt idx="12">
                  <c:v>162.96980499999998</c:v>
                </c:pt>
                <c:pt idx="13">
                  <c:v>357.43958999999995</c:v>
                </c:pt>
                <c:pt idx="14">
                  <c:v>324.42632000000003</c:v>
                </c:pt>
                <c:pt idx="15">
                  <c:v>205.35807499999999</c:v>
                </c:pt>
                <c:pt idx="16">
                  <c:v>392.84091699999999</c:v>
                </c:pt>
                <c:pt idx="17">
                  <c:v>202.779516</c:v>
                </c:pt>
                <c:pt idx="18">
                  <c:v>138.54991699999999</c:v>
                </c:pt>
                <c:pt idx="19">
                  <c:v>238.598704</c:v>
                </c:pt>
                <c:pt idx="20">
                  <c:v>284.60412500000001</c:v>
                </c:pt>
                <c:pt idx="21">
                  <c:v>306.63833500000004</c:v>
                </c:pt>
                <c:pt idx="22">
                  <c:v>278.91939000000002</c:v>
                </c:pt>
                <c:pt idx="23">
                  <c:v>226.11690900000002</c:v>
                </c:pt>
                <c:pt idx="24">
                  <c:v>186.887046</c:v>
                </c:pt>
                <c:pt idx="25">
                  <c:v>115.53608800000001</c:v>
                </c:pt>
                <c:pt idx="26">
                  <c:v>115.393586</c:v>
                </c:pt>
                <c:pt idx="27">
                  <c:v>172.72798699999998</c:v>
                </c:pt>
                <c:pt idx="28">
                  <c:v>64.641690999999994</c:v>
                </c:pt>
                <c:pt idx="29">
                  <c:v>184.66582099999999</c:v>
                </c:pt>
                <c:pt idx="30">
                  <c:v>308.63385</c:v>
                </c:pt>
                <c:pt idx="31">
                  <c:v>327.848207</c:v>
                </c:pt>
                <c:pt idx="32">
                  <c:v>259.57246299999997</c:v>
                </c:pt>
                <c:pt idx="33">
                  <c:v>247.549204</c:v>
                </c:pt>
                <c:pt idx="34">
                  <c:v>298.96183399999995</c:v>
                </c:pt>
                <c:pt idx="35">
                  <c:v>180.01677100000001</c:v>
                </c:pt>
                <c:pt idx="36">
                  <c:v>140.25377900000001</c:v>
                </c:pt>
                <c:pt idx="37">
                  <c:v>291.23127199999999</c:v>
                </c:pt>
                <c:pt idx="38">
                  <c:v>340.73509499999994</c:v>
                </c:pt>
                <c:pt idx="39">
                  <c:v>143.24871599999997</c:v>
                </c:pt>
                <c:pt idx="40">
                  <c:v>188.628028</c:v>
                </c:pt>
                <c:pt idx="41">
                  <c:v>342.304621</c:v>
                </c:pt>
                <c:pt idx="42">
                  <c:v>172.513589</c:v>
                </c:pt>
                <c:pt idx="43">
                  <c:v>115.37458000000001</c:v>
                </c:pt>
                <c:pt idx="44">
                  <c:v>111.75668899999999</c:v>
                </c:pt>
                <c:pt idx="45">
                  <c:v>61.966009</c:v>
                </c:pt>
                <c:pt idx="46">
                  <c:v>139.814052</c:v>
                </c:pt>
                <c:pt idx="47">
                  <c:v>123.50425800000001</c:v>
                </c:pt>
                <c:pt idx="48">
                  <c:v>169.95030299999999</c:v>
                </c:pt>
                <c:pt idx="49">
                  <c:v>242.46552300000002</c:v>
                </c:pt>
                <c:pt idx="50">
                  <c:v>341.66328000000004</c:v>
                </c:pt>
                <c:pt idx="51">
                  <c:v>218.94234700000001</c:v>
                </c:pt>
                <c:pt idx="52">
                  <c:v>178.854511</c:v>
                </c:pt>
                <c:pt idx="53">
                  <c:v>347.51635900000002</c:v>
                </c:pt>
                <c:pt idx="54">
                  <c:v>169.876394</c:v>
                </c:pt>
                <c:pt idx="55">
                  <c:v>33.183509000000001</c:v>
                </c:pt>
                <c:pt idx="56">
                  <c:v>64.831130000000002</c:v>
                </c:pt>
                <c:pt idx="57">
                  <c:v>42.717091000000003</c:v>
                </c:pt>
                <c:pt idx="58">
                  <c:v>83.537083999999993</c:v>
                </c:pt>
                <c:pt idx="59">
                  <c:v>76.722093000000001</c:v>
                </c:pt>
                <c:pt idx="60">
                  <c:v>120.190377</c:v>
                </c:pt>
                <c:pt idx="61">
                  <c:v>96.096043000000009</c:v>
                </c:pt>
                <c:pt idx="62">
                  <c:v>153.68695399999999</c:v>
                </c:pt>
                <c:pt idx="63">
                  <c:v>180.77779100000001</c:v>
                </c:pt>
                <c:pt idx="64">
                  <c:v>173.42337899999998</c:v>
                </c:pt>
                <c:pt idx="65">
                  <c:v>199.22137399999997</c:v>
                </c:pt>
                <c:pt idx="66">
                  <c:v>227.35883799999999</c:v>
                </c:pt>
                <c:pt idx="67">
                  <c:v>149.83393599999999</c:v>
                </c:pt>
                <c:pt idx="68">
                  <c:v>96.709090000000018</c:v>
                </c:pt>
                <c:pt idx="69">
                  <c:v>59.726545000000002</c:v>
                </c:pt>
                <c:pt idx="70">
                  <c:v>78.450383000000002</c:v>
                </c:pt>
                <c:pt idx="71">
                  <c:v>124.94933900000001</c:v>
                </c:pt>
                <c:pt idx="72">
                  <c:v>131.41055</c:v>
                </c:pt>
                <c:pt idx="73">
                  <c:v>50.087851999999998</c:v>
                </c:pt>
                <c:pt idx="74">
                  <c:v>107.47035799999999</c:v>
                </c:pt>
                <c:pt idx="75">
                  <c:v>199.488371</c:v>
                </c:pt>
                <c:pt idx="76">
                  <c:v>122.860922</c:v>
                </c:pt>
                <c:pt idx="77">
                  <c:v>106.023805</c:v>
                </c:pt>
                <c:pt idx="78">
                  <c:v>111.492901</c:v>
                </c:pt>
                <c:pt idx="79">
                  <c:v>188.84224700000001</c:v>
                </c:pt>
                <c:pt idx="80">
                  <c:v>205.51184000000001</c:v>
                </c:pt>
                <c:pt idx="81">
                  <c:v>170.17882799999998</c:v>
                </c:pt>
                <c:pt idx="82">
                  <c:v>151.68245899999999</c:v>
                </c:pt>
                <c:pt idx="83">
                  <c:v>167.328675</c:v>
                </c:pt>
                <c:pt idx="84">
                  <c:v>194.85888699999998</c:v>
                </c:pt>
                <c:pt idx="85">
                  <c:v>233.46403899999999</c:v>
                </c:pt>
                <c:pt idx="86">
                  <c:v>251.71131899999997</c:v>
                </c:pt>
                <c:pt idx="87">
                  <c:v>223.382599</c:v>
                </c:pt>
                <c:pt idx="88">
                  <c:v>142.279313</c:v>
                </c:pt>
                <c:pt idx="89">
                  <c:v>146.91013100000004</c:v>
                </c:pt>
                <c:pt idx="90">
                  <c:v>102.34970799999999</c:v>
                </c:pt>
                <c:pt idx="91">
                  <c:v>50.245027999999998</c:v>
                </c:pt>
                <c:pt idx="92">
                  <c:v>114.469402</c:v>
                </c:pt>
                <c:pt idx="93">
                  <c:v>69.91986</c:v>
                </c:pt>
                <c:pt idx="94">
                  <c:v>74.851303000000001</c:v>
                </c:pt>
                <c:pt idx="95">
                  <c:v>81.655464999999992</c:v>
                </c:pt>
                <c:pt idx="96">
                  <c:v>74.862791000000001</c:v>
                </c:pt>
                <c:pt idx="97">
                  <c:v>89.282972000000001</c:v>
                </c:pt>
                <c:pt idx="98">
                  <c:v>83.434060000000002</c:v>
                </c:pt>
                <c:pt idx="99">
                  <c:v>176.10880899999998</c:v>
                </c:pt>
                <c:pt idx="100">
                  <c:v>160.51319900000001</c:v>
                </c:pt>
                <c:pt idx="101">
                  <c:v>125.335545</c:v>
                </c:pt>
                <c:pt idx="102">
                  <c:v>174.54805300000001</c:v>
                </c:pt>
                <c:pt idx="103">
                  <c:v>201.030113</c:v>
                </c:pt>
                <c:pt idx="104">
                  <c:v>162.22419699999998</c:v>
                </c:pt>
                <c:pt idx="105">
                  <c:v>85.426520000000011</c:v>
                </c:pt>
                <c:pt idx="106">
                  <c:v>96.34526799999999</c:v>
                </c:pt>
                <c:pt idx="107">
                  <c:v>102.009258</c:v>
                </c:pt>
                <c:pt idx="108">
                  <c:v>122.272419</c:v>
                </c:pt>
                <c:pt idx="109">
                  <c:v>183.020456</c:v>
                </c:pt>
                <c:pt idx="110">
                  <c:v>209.81896399999997</c:v>
                </c:pt>
                <c:pt idx="111">
                  <c:v>110.232758</c:v>
                </c:pt>
                <c:pt idx="112">
                  <c:v>91.480260000000001</c:v>
                </c:pt>
                <c:pt idx="113">
                  <c:v>80.341551999999993</c:v>
                </c:pt>
                <c:pt idx="114">
                  <c:v>115.55071599999999</c:v>
                </c:pt>
                <c:pt idx="115">
                  <c:v>143.14941099999999</c:v>
                </c:pt>
                <c:pt idx="116">
                  <c:v>111.75493</c:v>
                </c:pt>
                <c:pt idx="117">
                  <c:v>120.82771200000001</c:v>
                </c:pt>
                <c:pt idx="118">
                  <c:v>189.780372</c:v>
                </c:pt>
                <c:pt idx="119">
                  <c:v>77.617750999999998</c:v>
                </c:pt>
                <c:pt idx="120">
                  <c:v>109.25360099999999</c:v>
                </c:pt>
                <c:pt idx="121">
                  <c:v>136.04589899999999</c:v>
                </c:pt>
                <c:pt idx="122">
                  <c:v>112.46213200000001</c:v>
                </c:pt>
                <c:pt idx="123">
                  <c:v>135.74050900000003</c:v>
                </c:pt>
                <c:pt idx="124">
                  <c:v>163.06785500000001</c:v>
                </c:pt>
                <c:pt idx="125">
                  <c:v>148.15029000000001</c:v>
                </c:pt>
                <c:pt idx="126">
                  <c:v>217.51361900000001</c:v>
                </c:pt>
                <c:pt idx="127">
                  <c:v>231.80355300000002</c:v>
                </c:pt>
                <c:pt idx="128">
                  <c:v>261.86247800000001</c:v>
                </c:pt>
                <c:pt idx="129">
                  <c:v>212.02170900000002</c:v>
                </c:pt>
                <c:pt idx="130">
                  <c:v>140.391536</c:v>
                </c:pt>
                <c:pt idx="131">
                  <c:v>103.92292900000001</c:v>
                </c:pt>
                <c:pt idx="132">
                  <c:v>111.934833</c:v>
                </c:pt>
                <c:pt idx="133">
                  <c:v>107.252905</c:v>
                </c:pt>
                <c:pt idx="134">
                  <c:v>100.43901600000001</c:v>
                </c:pt>
                <c:pt idx="135">
                  <c:v>113.177183</c:v>
                </c:pt>
                <c:pt idx="136">
                  <c:v>154.335047</c:v>
                </c:pt>
                <c:pt idx="137">
                  <c:v>90.584125</c:v>
                </c:pt>
                <c:pt idx="138">
                  <c:v>108.232456</c:v>
                </c:pt>
                <c:pt idx="139">
                  <c:v>148.63630300000003</c:v>
                </c:pt>
                <c:pt idx="140">
                  <c:v>165.83232000000001</c:v>
                </c:pt>
                <c:pt idx="141">
                  <c:v>109.047916</c:v>
                </c:pt>
                <c:pt idx="142">
                  <c:v>149.48635200000001</c:v>
                </c:pt>
                <c:pt idx="143">
                  <c:v>161.73373900000001</c:v>
                </c:pt>
                <c:pt idx="144">
                  <c:v>117.076713</c:v>
                </c:pt>
                <c:pt idx="145">
                  <c:v>83.899998000000011</c:v>
                </c:pt>
                <c:pt idx="146">
                  <c:v>145.89831000000001</c:v>
                </c:pt>
                <c:pt idx="147">
                  <c:v>170.62404800000002</c:v>
                </c:pt>
                <c:pt idx="148">
                  <c:v>124.62874099999999</c:v>
                </c:pt>
                <c:pt idx="149">
                  <c:v>77.391759999999991</c:v>
                </c:pt>
                <c:pt idx="150">
                  <c:v>113.881663</c:v>
                </c:pt>
                <c:pt idx="151">
                  <c:v>190.36264299999999</c:v>
                </c:pt>
                <c:pt idx="152">
                  <c:v>136.96624800000001</c:v>
                </c:pt>
                <c:pt idx="153">
                  <c:v>120.03133199999999</c:v>
                </c:pt>
                <c:pt idx="154">
                  <c:v>96.841761000000005</c:v>
                </c:pt>
                <c:pt idx="155">
                  <c:v>122.55999300000001</c:v>
                </c:pt>
                <c:pt idx="156">
                  <c:v>168.50408899999996</c:v>
                </c:pt>
                <c:pt idx="157">
                  <c:v>207.40774199999998</c:v>
                </c:pt>
                <c:pt idx="158">
                  <c:v>158.106167</c:v>
                </c:pt>
                <c:pt idx="159">
                  <c:v>125.122156</c:v>
                </c:pt>
                <c:pt idx="160">
                  <c:v>109.745394</c:v>
                </c:pt>
                <c:pt idx="161">
                  <c:v>150.27318</c:v>
                </c:pt>
                <c:pt idx="162">
                  <c:v>123.34613800000001</c:v>
                </c:pt>
                <c:pt idx="163">
                  <c:v>98.319980999999999</c:v>
                </c:pt>
                <c:pt idx="164">
                  <c:v>71.153600999999995</c:v>
                </c:pt>
                <c:pt idx="165">
                  <c:v>180.625709</c:v>
                </c:pt>
                <c:pt idx="166">
                  <c:v>145.15525299999999</c:v>
                </c:pt>
                <c:pt idx="167">
                  <c:v>114.14062799999999</c:v>
                </c:pt>
                <c:pt idx="168">
                  <c:v>170.17956799999999</c:v>
                </c:pt>
                <c:pt idx="169">
                  <c:v>172.56950699999999</c:v>
                </c:pt>
                <c:pt idx="170">
                  <c:v>195.56314800000001</c:v>
                </c:pt>
                <c:pt idx="171">
                  <c:v>147.95750400000003</c:v>
                </c:pt>
                <c:pt idx="172">
                  <c:v>81.895615000000006</c:v>
                </c:pt>
                <c:pt idx="173">
                  <c:v>118.66739</c:v>
                </c:pt>
                <c:pt idx="174">
                  <c:v>181.23080400000001</c:v>
                </c:pt>
                <c:pt idx="175">
                  <c:v>120.39143900000001</c:v>
                </c:pt>
                <c:pt idx="176">
                  <c:v>96.681647999999996</c:v>
                </c:pt>
                <c:pt idx="177">
                  <c:v>138.73853399999999</c:v>
                </c:pt>
                <c:pt idx="178">
                  <c:v>190.44914700000001</c:v>
                </c:pt>
                <c:pt idx="179">
                  <c:v>101.58896</c:v>
                </c:pt>
                <c:pt idx="180">
                  <c:v>106.655355</c:v>
                </c:pt>
                <c:pt idx="181">
                  <c:v>132.63740100000001</c:v>
                </c:pt>
                <c:pt idx="182">
                  <c:v>57.528455999999998</c:v>
                </c:pt>
                <c:pt idx="183">
                  <c:v>93.785667999999987</c:v>
                </c:pt>
                <c:pt idx="184">
                  <c:v>59.910747000000001</c:v>
                </c:pt>
                <c:pt idx="185">
                  <c:v>100.177401</c:v>
                </c:pt>
                <c:pt idx="186">
                  <c:v>108.84054699999999</c:v>
                </c:pt>
                <c:pt idx="187">
                  <c:v>142.42251199999998</c:v>
                </c:pt>
                <c:pt idx="188">
                  <c:v>157.90947</c:v>
                </c:pt>
                <c:pt idx="189">
                  <c:v>156.59273800000003</c:v>
                </c:pt>
                <c:pt idx="190">
                  <c:v>140.72837200000001</c:v>
                </c:pt>
                <c:pt idx="191">
                  <c:v>82.522603000000004</c:v>
                </c:pt>
                <c:pt idx="192">
                  <c:v>61.904378999999999</c:v>
                </c:pt>
                <c:pt idx="193">
                  <c:v>41.055430999999999</c:v>
                </c:pt>
                <c:pt idx="194">
                  <c:v>103.55985099999999</c:v>
                </c:pt>
                <c:pt idx="195">
                  <c:v>194.291451</c:v>
                </c:pt>
                <c:pt idx="196">
                  <c:v>262.27591100000001</c:v>
                </c:pt>
                <c:pt idx="197">
                  <c:v>135.933469</c:v>
                </c:pt>
                <c:pt idx="198">
                  <c:v>55.376486</c:v>
                </c:pt>
                <c:pt idx="199">
                  <c:v>152.129333</c:v>
                </c:pt>
                <c:pt idx="200">
                  <c:v>180.006652</c:v>
                </c:pt>
                <c:pt idx="201">
                  <c:v>119.38686</c:v>
                </c:pt>
                <c:pt idx="202">
                  <c:v>80.284176000000002</c:v>
                </c:pt>
                <c:pt idx="203">
                  <c:v>100.68425500000001</c:v>
                </c:pt>
                <c:pt idx="204">
                  <c:v>99.861514999999997</c:v>
                </c:pt>
                <c:pt idx="205">
                  <c:v>46.924219000000001</c:v>
                </c:pt>
                <c:pt idx="206">
                  <c:v>84.220392000000004</c:v>
                </c:pt>
                <c:pt idx="207">
                  <c:v>166.849581</c:v>
                </c:pt>
                <c:pt idx="208">
                  <c:v>171.752227</c:v>
                </c:pt>
                <c:pt idx="209">
                  <c:v>157.930612</c:v>
                </c:pt>
                <c:pt idx="210">
                  <c:v>218.09418299999999</c:v>
                </c:pt>
                <c:pt idx="211">
                  <c:v>240.312376</c:v>
                </c:pt>
                <c:pt idx="212">
                  <c:v>260.01438000000002</c:v>
                </c:pt>
                <c:pt idx="213">
                  <c:v>206.73972700000002</c:v>
                </c:pt>
                <c:pt idx="214">
                  <c:v>68.157820000000001</c:v>
                </c:pt>
                <c:pt idx="215">
                  <c:v>84.827850000000012</c:v>
                </c:pt>
                <c:pt idx="216">
                  <c:v>42.34686</c:v>
                </c:pt>
                <c:pt idx="217">
                  <c:v>45.187612999999999</c:v>
                </c:pt>
                <c:pt idx="218">
                  <c:v>89.617435999999998</c:v>
                </c:pt>
                <c:pt idx="219">
                  <c:v>166.288185</c:v>
                </c:pt>
                <c:pt idx="220">
                  <c:v>84.157702999999998</c:v>
                </c:pt>
                <c:pt idx="221">
                  <c:v>136.86946900000001</c:v>
                </c:pt>
                <c:pt idx="222">
                  <c:v>96.913735000000003</c:v>
                </c:pt>
                <c:pt idx="223">
                  <c:v>52.378706000000001</c:v>
                </c:pt>
                <c:pt idx="224">
                  <c:v>45.632053999999997</c:v>
                </c:pt>
                <c:pt idx="225">
                  <c:v>58.151752000000002</c:v>
                </c:pt>
                <c:pt idx="226">
                  <c:v>60.684504999999994</c:v>
                </c:pt>
                <c:pt idx="227">
                  <c:v>97.734698000000009</c:v>
                </c:pt>
                <c:pt idx="228">
                  <c:v>117.647707</c:v>
                </c:pt>
                <c:pt idx="229">
                  <c:v>218.295952</c:v>
                </c:pt>
                <c:pt idx="230">
                  <c:v>194.237313</c:v>
                </c:pt>
                <c:pt idx="231">
                  <c:v>240.233575</c:v>
                </c:pt>
                <c:pt idx="232">
                  <c:v>282.31645600000002</c:v>
                </c:pt>
                <c:pt idx="233">
                  <c:v>304.08560599999998</c:v>
                </c:pt>
                <c:pt idx="234">
                  <c:v>261.77979699999997</c:v>
                </c:pt>
                <c:pt idx="235">
                  <c:v>255.167382</c:v>
                </c:pt>
                <c:pt idx="236">
                  <c:v>310.99159399999996</c:v>
                </c:pt>
                <c:pt idx="237">
                  <c:v>137.67570499999999</c:v>
                </c:pt>
                <c:pt idx="238">
                  <c:v>245.04426999999998</c:v>
                </c:pt>
                <c:pt idx="239">
                  <c:v>176.95528200000001</c:v>
                </c:pt>
                <c:pt idx="240">
                  <c:v>308.35868299999998</c:v>
                </c:pt>
                <c:pt idx="241">
                  <c:v>242.42630799999998</c:v>
                </c:pt>
                <c:pt idx="242">
                  <c:v>249.27938900000001</c:v>
                </c:pt>
                <c:pt idx="243">
                  <c:v>121.63611900000001</c:v>
                </c:pt>
                <c:pt idx="244">
                  <c:v>224.822834</c:v>
                </c:pt>
                <c:pt idx="245">
                  <c:v>70.170743000000002</c:v>
                </c:pt>
                <c:pt idx="246">
                  <c:v>71.457005000000009</c:v>
                </c:pt>
                <c:pt idx="247">
                  <c:v>231.38691999999998</c:v>
                </c:pt>
                <c:pt idx="248">
                  <c:v>238.310788</c:v>
                </c:pt>
                <c:pt idx="249">
                  <c:v>116.458411</c:v>
                </c:pt>
                <c:pt idx="250">
                  <c:v>143.598421</c:v>
                </c:pt>
                <c:pt idx="251">
                  <c:v>175.58613699999998</c:v>
                </c:pt>
                <c:pt idx="252">
                  <c:v>236.40917400000001</c:v>
                </c:pt>
                <c:pt idx="253">
                  <c:v>141.31734700000001</c:v>
                </c:pt>
                <c:pt idx="254">
                  <c:v>72.62004300000001</c:v>
                </c:pt>
                <c:pt idx="255">
                  <c:v>180.31422000000001</c:v>
                </c:pt>
                <c:pt idx="256">
                  <c:v>250.85841200000002</c:v>
                </c:pt>
                <c:pt idx="257">
                  <c:v>146.40452999999999</c:v>
                </c:pt>
                <c:pt idx="258">
                  <c:v>187.88806599999998</c:v>
                </c:pt>
                <c:pt idx="259">
                  <c:v>347.40481499999999</c:v>
                </c:pt>
                <c:pt idx="260">
                  <c:v>390.32456800000006</c:v>
                </c:pt>
                <c:pt idx="261">
                  <c:v>381.04947599999997</c:v>
                </c:pt>
                <c:pt idx="262">
                  <c:v>251.99728400000001</c:v>
                </c:pt>
                <c:pt idx="263">
                  <c:v>333.36039299999999</c:v>
                </c:pt>
                <c:pt idx="264">
                  <c:v>241.09797899999998</c:v>
                </c:pt>
                <c:pt idx="265">
                  <c:v>407.85496799999999</c:v>
                </c:pt>
                <c:pt idx="266">
                  <c:v>414.99536000000001</c:v>
                </c:pt>
                <c:pt idx="267">
                  <c:v>355.88722300000001</c:v>
                </c:pt>
                <c:pt idx="268">
                  <c:v>176.51325399999999</c:v>
                </c:pt>
                <c:pt idx="269">
                  <c:v>211.48422299999999</c:v>
                </c:pt>
                <c:pt idx="270">
                  <c:v>136.00557100000003</c:v>
                </c:pt>
                <c:pt idx="271">
                  <c:v>120.032995</c:v>
                </c:pt>
                <c:pt idx="272">
                  <c:v>314.44708200000002</c:v>
                </c:pt>
                <c:pt idx="273">
                  <c:v>185.577268</c:v>
                </c:pt>
                <c:pt idx="274">
                  <c:v>56.087430999999995</c:v>
                </c:pt>
                <c:pt idx="275">
                  <c:v>155.51592400000001</c:v>
                </c:pt>
                <c:pt idx="276">
                  <c:v>79.309539999999998</c:v>
                </c:pt>
                <c:pt idx="277">
                  <c:v>66.065465000000003</c:v>
                </c:pt>
                <c:pt idx="278">
                  <c:v>52.733902999999998</c:v>
                </c:pt>
                <c:pt idx="279">
                  <c:v>129.03537</c:v>
                </c:pt>
                <c:pt idx="280">
                  <c:v>29.19745</c:v>
                </c:pt>
                <c:pt idx="281">
                  <c:v>42.074311999999999</c:v>
                </c:pt>
                <c:pt idx="282">
                  <c:v>177.85029500000002</c:v>
                </c:pt>
                <c:pt idx="283">
                  <c:v>177.99697800000001</c:v>
                </c:pt>
                <c:pt idx="284">
                  <c:v>250.71846599999998</c:v>
                </c:pt>
                <c:pt idx="285">
                  <c:v>140.70574400000001</c:v>
                </c:pt>
                <c:pt idx="286">
                  <c:v>342.91842599999995</c:v>
                </c:pt>
                <c:pt idx="287">
                  <c:v>284.62500399999999</c:v>
                </c:pt>
                <c:pt idx="288">
                  <c:v>242.85371399999997</c:v>
                </c:pt>
                <c:pt idx="289">
                  <c:v>189.29763200000002</c:v>
                </c:pt>
                <c:pt idx="290">
                  <c:v>139.29695000000001</c:v>
                </c:pt>
                <c:pt idx="291">
                  <c:v>58.272860000000001</c:v>
                </c:pt>
                <c:pt idx="292">
                  <c:v>184.77290500000001</c:v>
                </c:pt>
                <c:pt idx="293">
                  <c:v>251.02272099999999</c:v>
                </c:pt>
                <c:pt idx="294">
                  <c:v>282.68027000000001</c:v>
                </c:pt>
                <c:pt idx="295">
                  <c:v>318.93247100000002</c:v>
                </c:pt>
                <c:pt idx="296">
                  <c:v>298.58869300000003</c:v>
                </c:pt>
                <c:pt idx="297">
                  <c:v>260.80894499999999</c:v>
                </c:pt>
                <c:pt idx="298">
                  <c:v>173.15036499999999</c:v>
                </c:pt>
                <c:pt idx="299">
                  <c:v>170.104896</c:v>
                </c:pt>
                <c:pt idx="300">
                  <c:v>56.187546000000005</c:v>
                </c:pt>
                <c:pt idx="301">
                  <c:v>66.703605999999994</c:v>
                </c:pt>
                <c:pt idx="302">
                  <c:v>197.49954099999999</c:v>
                </c:pt>
                <c:pt idx="303">
                  <c:v>236.67452700000001</c:v>
                </c:pt>
                <c:pt idx="304">
                  <c:v>314.25134100000002</c:v>
                </c:pt>
                <c:pt idx="305">
                  <c:v>168.41647399999999</c:v>
                </c:pt>
                <c:pt idx="306">
                  <c:v>160.74035500000002</c:v>
                </c:pt>
                <c:pt idx="307">
                  <c:v>96.925343999999996</c:v>
                </c:pt>
                <c:pt idx="308">
                  <c:v>69.066684999999993</c:v>
                </c:pt>
                <c:pt idx="309">
                  <c:v>65.583619000000013</c:v>
                </c:pt>
                <c:pt idx="310">
                  <c:v>43.716430000000003</c:v>
                </c:pt>
                <c:pt idx="311">
                  <c:v>84.449770999999998</c:v>
                </c:pt>
                <c:pt idx="312">
                  <c:v>304.76858799999997</c:v>
                </c:pt>
                <c:pt idx="313">
                  <c:v>374.16975099999996</c:v>
                </c:pt>
                <c:pt idx="314">
                  <c:v>299.28514799999999</c:v>
                </c:pt>
                <c:pt idx="315">
                  <c:v>208.77197900000002</c:v>
                </c:pt>
                <c:pt idx="316">
                  <c:v>197.841407</c:v>
                </c:pt>
                <c:pt idx="317">
                  <c:v>148.08566300000001</c:v>
                </c:pt>
                <c:pt idx="318">
                  <c:v>150.78561199999999</c:v>
                </c:pt>
                <c:pt idx="319">
                  <c:v>180.41785200000001</c:v>
                </c:pt>
                <c:pt idx="320">
                  <c:v>286.81993900000003</c:v>
                </c:pt>
                <c:pt idx="321">
                  <c:v>399.84736099999998</c:v>
                </c:pt>
                <c:pt idx="322">
                  <c:v>390.29002499999996</c:v>
                </c:pt>
                <c:pt idx="323">
                  <c:v>357.23409500000002</c:v>
                </c:pt>
                <c:pt idx="324">
                  <c:v>371.18025699999998</c:v>
                </c:pt>
                <c:pt idx="325">
                  <c:v>271.777537</c:v>
                </c:pt>
                <c:pt idx="326">
                  <c:v>270.58414300000004</c:v>
                </c:pt>
                <c:pt idx="327">
                  <c:v>289.40138899999999</c:v>
                </c:pt>
                <c:pt idx="328">
                  <c:v>311.13271600000002</c:v>
                </c:pt>
                <c:pt idx="329">
                  <c:v>235.06735400000002</c:v>
                </c:pt>
                <c:pt idx="330">
                  <c:v>220.71728899999999</c:v>
                </c:pt>
                <c:pt idx="331">
                  <c:v>314.252881</c:v>
                </c:pt>
                <c:pt idx="332">
                  <c:v>340.78106700000001</c:v>
                </c:pt>
                <c:pt idx="333">
                  <c:v>304.65080499999999</c:v>
                </c:pt>
                <c:pt idx="334">
                  <c:v>230.596518</c:v>
                </c:pt>
                <c:pt idx="335">
                  <c:v>154.80910599999999</c:v>
                </c:pt>
                <c:pt idx="336">
                  <c:v>209.45663300000001</c:v>
                </c:pt>
                <c:pt idx="337">
                  <c:v>214.64264900000001</c:v>
                </c:pt>
                <c:pt idx="338">
                  <c:v>113.42716800000001</c:v>
                </c:pt>
                <c:pt idx="339">
                  <c:v>61.905279</c:v>
                </c:pt>
                <c:pt idx="340">
                  <c:v>185.92172600000004</c:v>
                </c:pt>
                <c:pt idx="341">
                  <c:v>282.15542199999999</c:v>
                </c:pt>
                <c:pt idx="342">
                  <c:v>276.02817499999998</c:v>
                </c:pt>
                <c:pt idx="343">
                  <c:v>188.073455</c:v>
                </c:pt>
                <c:pt idx="344">
                  <c:v>171.14663300000001</c:v>
                </c:pt>
                <c:pt idx="345">
                  <c:v>137.65219399999998</c:v>
                </c:pt>
                <c:pt idx="346">
                  <c:v>127.740013</c:v>
                </c:pt>
                <c:pt idx="347">
                  <c:v>157.16737400000002</c:v>
                </c:pt>
                <c:pt idx="348">
                  <c:v>147.338525</c:v>
                </c:pt>
                <c:pt idx="349">
                  <c:v>153.447981</c:v>
                </c:pt>
                <c:pt idx="350">
                  <c:v>216.746195</c:v>
                </c:pt>
                <c:pt idx="351">
                  <c:v>116.477103</c:v>
                </c:pt>
                <c:pt idx="352">
                  <c:v>59.148474999999998</c:v>
                </c:pt>
                <c:pt idx="353">
                  <c:v>134.68049600000001</c:v>
                </c:pt>
                <c:pt idx="354">
                  <c:v>108.841819</c:v>
                </c:pt>
                <c:pt idx="355">
                  <c:v>119.38858400000001</c:v>
                </c:pt>
                <c:pt idx="356">
                  <c:v>140.74793299999999</c:v>
                </c:pt>
                <c:pt idx="357">
                  <c:v>71.339642999999995</c:v>
                </c:pt>
                <c:pt idx="358">
                  <c:v>61.400863000000001</c:v>
                </c:pt>
                <c:pt idx="359">
                  <c:v>148.429001</c:v>
                </c:pt>
                <c:pt idx="360">
                  <c:v>73.126816999999988</c:v>
                </c:pt>
                <c:pt idx="361">
                  <c:v>106.41919600000001</c:v>
                </c:pt>
                <c:pt idx="362">
                  <c:v>347.21406000000002</c:v>
                </c:pt>
                <c:pt idx="363">
                  <c:v>398.66948500000001</c:v>
                </c:pt>
                <c:pt idx="364">
                  <c:v>322.19555200000002</c:v>
                </c:pt>
                <c:pt idx="365">
                  <c:v>185.28804300000002</c:v>
                </c:pt>
                <c:pt idx="366">
                  <c:v>212.990036</c:v>
                </c:pt>
                <c:pt idx="367">
                  <c:v>186.01996800000001</c:v>
                </c:pt>
                <c:pt idx="368">
                  <c:v>100.40978299999999</c:v>
                </c:pt>
                <c:pt idx="369">
                  <c:v>62.852412999999999</c:v>
                </c:pt>
                <c:pt idx="370">
                  <c:v>150.749279</c:v>
                </c:pt>
                <c:pt idx="371">
                  <c:v>337.190359</c:v>
                </c:pt>
                <c:pt idx="372">
                  <c:v>391.80294300000003</c:v>
                </c:pt>
                <c:pt idx="373">
                  <c:v>411.10376299999996</c:v>
                </c:pt>
                <c:pt idx="374">
                  <c:v>388.84942599999999</c:v>
                </c:pt>
                <c:pt idx="375">
                  <c:v>345.66956799999997</c:v>
                </c:pt>
                <c:pt idx="376">
                  <c:v>178.32768299999998</c:v>
                </c:pt>
                <c:pt idx="377">
                  <c:v>287.67311899999999</c:v>
                </c:pt>
                <c:pt idx="378">
                  <c:v>257.504839</c:v>
                </c:pt>
                <c:pt idx="379">
                  <c:v>90.665316000000004</c:v>
                </c:pt>
                <c:pt idx="380">
                  <c:v>230.406139</c:v>
                </c:pt>
                <c:pt idx="381">
                  <c:v>279.34986599999996</c:v>
                </c:pt>
                <c:pt idx="382">
                  <c:v>180.96497999999997</c:v>
                </c:pt>
                <c:pt idx="383">
                  <c:v>87.045945000000003</c:v>
                </c:pt>
                <c:pt idx="384">
                  <c:v>70.674600999999996</c:v>
                </c:pt>
                <c:pt idx="385">
                  <c:v>55.528963000000005</c:v>
                </c:pt>
                <c:pt idx="386">
                  <c:v>123.83628299999999</c:v>
                </c:pt>
                <c:pt idx="387">
                  <c:v>202.52402599999999</c:v>
                </c:pt>
                <c:pt idx="388">
                  <c:v>251.95039000000003</c:v>
                </c:pt>
                <c:pt idx="389">
                  <c:v>161.91980600000002</c:v>
                </c:pt>
                <c:pt idx="390">
                  <c:v>252.65611799999999</c:v>
                </c:pt>
                <c:pt idx="391">
                  <c:v>166.89284499999999</c:v>
                </c:pt>
                <c:pt idx="392">
                  <c:v>105.192367</c:v>
                </c:pt>
                <c:pt idx="393">
                  <c:v>205.732089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</c:lvl>
                <c:lvl>
                  <c:pt idx="0">
                    <c:v>2022</c:v>
                  </c:pt>
                  <c:pt idx="306">
                    <c:v>2023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207.20888707498128</c:v>
                </c:pt>
                <c:pt idx="1">
                  <c:v>207.20888707498128</c:v>
                </c:pt>
                <c:pt idx="2">
                  <c:v>207.20888707498128</c:v>
                </c:pt>
                <c:pt idx="3">
                  <c:v>207.20888707498128</c:v>
                </c:pt>
                <c:pt idx="4">
                  <c:v>207.20888707498128</c:v>
                </c:pt>
                <c:pt idx="5">
                  <c:v>207.20888707498128</c:v>
                </c:pt>
                <c:pt idx="6">
                  <c:v>207.20888707498128</c:v>
                </c:pt>
                <c:pt idx="7">
                  <c:v>207.20888707498128</c:v>
                </c:pt>
                <c:pt idx="8">
                  <c:v>207.20888707498128</c:v>
                </c:pt>
                <c:pt idx="9">
                  <c:v>207.20888707498128</c:v>
                </c:pt>
                <c:pt idx="10">
                  <c:v>207.20888707498128</c:v>
                </c:pt>
                <c:pt idx="11">
                  <c:v>207.20888707498128</c:v>
                </c:pt>
                <c:pt idx="12">
                  <c:v>207.20888707498128</c:v>
                </c:pt>
                <c:pt idx="13">
                  <c:v>207.20888707498128</c:v>
                </c:pt>
                <c:pt idx="14">
                  <c:v>207.20888707498128</c:v>
                </c:pt>
                <c:pt idx="15">
                  <c:v>207.20888707498128</c:v>
                </c:pt>
                <c:pt idx="16">
                  <c:v>207.20888707498128</c:v>
                </c:pt>
                <c:pt idx="17">
                  <c:v>207.20888707498128</c:v>
                </c:pt>
                <c:pt idx="18">
                  <c:v>207.20888707498128</c:v>
                </c:pt>
                <c:pt idx="19">
                  <c:v>207.20888707498128</c:v>
                </c:pt>
                <c:pt idx="20">
                  <c:v>207.20888707498128</c:v>
                </c:pt>
                <c:pt idx="21">
                  <c:v>207.20888707498128</c:v>
                </c:pt>
                <c:pt idx="22">
                  <c:v>207.20888707498128</c:v>
                </c:pt>
                <c:pt idx="23">
                  <c:v>207.20888707498128</c:v>
                </c:pt>
                <c:pt idx="24">
                  <c:v>207.20888707498128</c:v>
                </c:pt>
                <c:pt idx="25">
                  <c:v>207.20888707498128</c:v>
                </c:pt>
                <c:pt idx="26">
                  <c:v>207.20888707498128</c:v>
                </c:pt>
                <c:pt idx="27">
                  <c:v>207.20888707498128</c:v>
                </c:pt>
                <c:pt idx="28">
                  <c:v>207.20888707498128</c:v>
                </c:pt>
                <c:pt idx="29">
                  <c:v>207.20888707498128</c:v>
                </c:pt>
                <c:pt idx="30">
                  <c:v>207.20888707498128</c:v>
                </c:pt>
                <c:pt idx="31">
                  <c:v>173.72968452717382</c:v>
                </c:pt>
                <c:pt idx="32">
                  <c:v>173.72968452717382</c:v>
                </c:pt>
                <c:pt idx="33">
                  <c:v>173.72968452717382</c:v>
                </c:pt>
                <c:pt idx="34">
                  <c:v>173.72968452717382</c:v>
                </c:pt>
                <c:pt idx="35">
                  <c:v>173.72968452717382</c:v>
                </c:pt>
                <c:pt idx="36">
                  <c:v>173.72968452717382</c:v>
                </c:pt>
                <c:pt idx="37">
                  <c:v>173.72968452717382</c:v>
                </c:pt>
                <c:pt idx="38">
                  <c:v>173.72968452717382</c:v>
                </c:pt>
                <c:pt idx="39">
                  <c:v>173.72968452717382</c:v>
                </c:pt>
                <c:pt idx="40">
                  <c:v>173.72968452717382</c:v>
                </c:pt>
                <c:pt idx="41">
                  <c:v>173.72968452717382</c:v>
                </c:pt>
                <c:pt idx="42">
                  <c:v>173.72968452717382</c:v>
                </c:pt>
                <c:pt idx="43">
                  <c:v>173.72968452717382</c:v>
                </c:pt>
                <c:pt idx="44">
                  <c:v>173.72968452717382</c:v>
                </c:pt>
                <c:pt idx="45">
                  <c:v>173.72968452717382</c:v>
                </c:pt>
                <c:pt idx="46">
                  <c:v>173.72968452717382</c:v>
                </c:pt>
                <c:pt idx="47">
                  <c:v>173.72968452717382</c:v>
                </c:pt>
                <c:pt idx="48">
                  <c:v>173.72968452717382</c:v>
                </c:pt>
                <c:pt idx="49">
                  <c:v>173.72968452717382</c:v>
                </c:pt>
                <c:pt idx="50">
                  <c:v>173.72968452717382</c:v>
                </c:pt>
                <c:pt idx="51">
                  <c:v>173.72968452717382</c:v>
                </c:pt>
                <c:pt idx="52">
                  <c:v>173.72968452717382</c:v>
                </c:pt>
                <c:pt idx="53">
                  <c:v>173.72968452717382</c:v>
                </c:pt>
                <c:pt idx="54">
                  <c:v>173.72968452717382</c:v>
                </c:pt>
                <c:pt idx="55">
                  <c:v>173.72968452717382</c:v>
                </c:pt>
                <c:pt idx="56">
                  <c:v>173.72968452717382</c:v>
                </c:pt>
                <c:pt idx="57">
                  <c:v>173.72968452717382</c:v>
                </c:pt>
                <c:pt idx="58">
                  <c:v>173.72968452717382</c:v>
                </c:pt>
                <c:pt idx="59">
                  <c:v>173.72968452717382</c:v>
                </c:pt>
                <c:pt idx="60">
                  <c:v>173.72968452717382</c:v>
                </c:pt>
                <c:pt idx="61">
                  <c:v>155.4601248026691</c:v>
                </c:pt>
                <c:pt idx="62">
                  <c:v>155.4601248026691</c:v>
                </c:pt>
                <c:pt idx="63">
                  <c:v>155.4601248026691</c:v>
                </c:pt>
                <c:pt idx="64">
                  <c:v>155.4601248026691</c:v>
                </c:pt>
                <c:pt idx="65">
                  <c:v>155.4601248026691</c:v>
                </c:pt>
                <c:pt idx="66">
                  <c:v>155.4601248026691</c:v>
                </c:pt>
                <c:pt idx="67">
                  <c:v>155.4601248026691</c:v>
                </c:pt>
                <c:pt idx="68">
                  <c:v>155.4601248026691</c:v>
                </c:pt>
                <c:pt idx="69">
                  <c:v>155.4601248026691</c:v>
                </c:pt>
                <c:pt idx="70">
                  <c:v>155.4601248026691</c:v>
                </c:pt>
                <c:pt idx="71">
                  <c:v>155.4601248026691</c:v>
                </c:pt>
                <c:pt idx="72">
                  <c:v>155.4601248026691</c:v>
                </c:pt>
                <c:pt idx="73">
                  <c:v>155.4601248026691</c:v>
                </c:pt>
                <c:pt idx="74">
                  <c:v>155.4601248026691</c:v>
                </c:pt>
                <c:pt idx="75">
                  <c:v>155.4601248026691</c:v>
                </c:pt>
                <c:pt idx="76">
                  <c:v>155.4601248026691</c:v>
                </c:pt>
                <c:pt idx="77">
                  <c:v>155.4601248026691</c:v>
                </c:pt>
                <c:pt idx="78">
                  <c:v>155.4601248026691</c:v>
                </c:pt>
                <c:pt idx="79">
                  <c:v>155.4601248026691</c:v>
                </c:pt>
                <c:pt idx="80">
                  <c:v>155.4601248026691</c:v>
                </c:pt>
                <c:pt idx="81">
                  <c:v>155.4601248026691</c:v>
                </c:pt>
                <c:pt idx="82">
                  <c:v>155.4601248026691</c:v>
                </c:pt>
                <c:pt idx="83">
                  <c:v>155.4601248026691</c:v>
                </c:pt>
                <c:pt idx="84">
                  <c:v>155.4601248026691</c:v>
                </c:pt>
                <c:pt idx="85">
                  <c:v>155.4601248026691</c:v>
                </c:pt>
                <c:pt idx="86">
                  <c:v>155.4601248026691</c:v>
                </c:pt>
                <c:pt idx="87">
                  <c:v>155.4601248026691</c:v>
                </c:pt>
                <c:pt idx="88">
                  <c:v>155.4601248026691</c:v>
                </c:pt>
                <c:pt idx="89">
                  <c:v>155.4601248026691</c:v>
                </c:pt>
                <c:pt idx="90">
                  <c:v>155.4601248026691</c:v>
                </c:pt>
                <c:pt idx="91">
                  <c:v>155.4601248026691</c:v>
                </c:pt>
                <c:pt idx="92">
                  <c:v>160.64212896275805</c:v>
                </c:pt>
                <c:pt idx="93">
                  <c:v>129.06134561510228</c:v>
                </c:pt>
                <c:pt idx="94">
                  <c:v>129.06134561510228</c:v>
                </c:pt>
                <c:pt idx="95">
                  <c:v>129.06134561510228</c:v>
                </c:pt>
                <c:pt idx="96">
                  <c:v>129.06134561510228</c:v>
                </c:pt>
                <c:pt idx="97">
                  <c:v>129.06134561510228</c:v>
                </c:pt>
                <c:pt idx="98">
                  <c:v>129.06134561510228</c:v>
                </c:pt>
                <c:pt idx="99">
                  <c:v>129.06134561510228</c:v>
                </c:pt>
                <c:pt idx="100">
                  <c:v>129.06134561510228</c:v>
                </c:pt>
                <c:pt idx="101">
                  <c:v>129.06134561510228</c:v>
                </c:pt>
                <c:pt idx="102">
                  <c:v>129.06134561510228</c:v>
                </c:pt>
                <c:pt idx="103">
                  <c:v>129.06134561510228</c:v>
                </c:pt>
                <c:pt idx="104">
                  <c:v>129.06134561510228</c:v>
                </c:pt>
                <c:pt idx="105">
                  <c:v>129.06134561510228</c:v>
                </c:pt>
                <c:pt idx="106">
                  <c:v>129.06134561510228</c:v>
                </c:pt>
                <c:pt idx="107">
                  <c:v>129.06134561510228</c:v>
                </c:pt>
                <c:pt idx="108">
                  <c:v>129.06134561510228</c:v>
                </c:pt>
                <c:pt idx="109">
                  <c:v>129.06134561510228</c:v>
                </c:pt>
                <c:pt idx="110">
                  <c:v>129.06134561510228</c:v>
                </c:pt>
                <c:pt idx="111">
                  <c:v>129.06134561510228</c:v>
                </c:pt>
                <c:pt idx="112">
                  <c:v>129.06134561510228</c:v>
                </c:pt>
                <c:pt idx="113">
                  <c:v>129.06134561510228</c:v>
                </c:pt>
                <c:pt idx="114">
                  <c:v>129.06134561510228</c:v>
                </c:pt>
                <c:pt idx="115">
                  <c:v>129.06134561510228</c:v>
                </c:pt>
                <c:pt idx="116">
                  <c:v>129.06134561510228</c:v>
                </c:pt>
                <c:pt idx="117">
                  <c:v>129.06134561510228</c:v>
                </c:pt>
                <c:pt idx="118">
                  <c:v>129.06134561510228</c:v>
                </c:pt>
                <c:pt idx="119">
                  <c:v>129.06134561510228</c:v>
                </c:pt>
                <c:pt idx="120">
                  <c:v>129.06134561510228</c:v>
                </c:pt>
                <c:pt idx="121">
                  <c:v>129.06134561510228</c:v>
                </c:pt>
                <c:pt idx="122">
                  <c:v>127.62290388186472</c:v>
                </c:pt>
                <c:pt idx="123">
                  <c:v>127.62290388186472</c:v>
                </c:pt>
                <c:pt idx="124">
                  <c:v>127.62290388186472</c:v>
                </c:pt>
                <c:pt idx="125">
                  <c:v>127.62290388186472</c:v>
                </c:pt>
                <c:pt idx="126">
                  <c:v>127.62290388186472</c:v>
                </c:pt>
                <c:pt idx="127">
                  <c:v>127.62290388186472</c:v>
                </c:pt>
                <c:pt idx="128">
                  <c:v>127.62290388186472</c:v>
                </c:pt>
                <c:pt idx="129">
                  <c:v>127.62290388186472</c:v>
                </c:pt>
                <c:pt idx="130">
                  <c:v>127.62290388186472</c:v>
                </c:pt>
                <c:pt idx="131">
                  <c:v>127.62290388186472</c:v>
                </c:pt>
                <c:pt idx="132">
                  <c:v>127.62290388186472</c:v>
                </c:pt>
                <c:pt idx="133">
                  <c:v>127.62290388186472</c:v>
                </c:pt>
                <c:pt idx="134">
                  <c:v>127.62290388186472</c:v>
                </c:pt>
                <c:pt idx="135">
                  <c:v>127.62290388186472</c:v>
                </c:pt>
                <c:pt idx="136">
                  <c:v>127.62290388186472</c:v>
                </c:pt>
                <c:pt idx="137">
                  <c:v>127.62290388186472</c:v>
                </c:pt>
                <c:pt idx="138">
                  <c:v>127.62290388186472</c:v>
                </c:pt>
                <c:pt idx="139">
                  <c:v>127.62290388186472</c:v>
                </c:pt>
                <c:pt idx="140">
                  <c:v>127.62290388186472</c:v>
                </c:pt>
                <c:pt idx="141">
                  <c:v>127.62290388186472</c:v>
                </c:pt>
                <c:pt idx="142">
                  <c:v>127.62290388186472</c:v>
                </c:pt>
                <c:pt idx="143">
                  <c:v>127.62290388186472</c:v>
                </c:pt>
                <c:pt idx="144">
                  <c:v>127.62290388186472</c:v>
                </c:pt>
                <c:pt idx="145">
                  <c:v>127.62290388186472</c:v>
                </c:pt>
                <c:pt idx="146">
                  <c:v>127.62290388186472</c:v>
                </c:pt>
                <c:pt idx="147">
                  <c:v>127.62290388186472</c:v>
                </c:pt>
                <c:pt idx="148">
                  <c:v>127.62290388186472</c:v>
                </c:pt>
                <c:pt idx="149">
                  <c:v>127.62290388186472</c:v>
                </c:pt>
                <c:pt idx="150">
                  <c:v>127.62290388186472</c:v>
                </c:pt>
                <c:pt idx="151">
                  <c:v>127.62290388186472</c:v>
                </c:pt>
                <c:pt idx="152">
                  <c:v>127.62290388186472</c:v>
                </c:pt>
                <c:pt idx="153">
                  <c:v>124.66445420087554</c:v>
                </c:pt>
                <c:pt idx="154">
                  <c:v>124.66445420087554</c:v>
                </c:pt>
                <c:pt idx="155">
                  <c:v>124.66445420087554</c:v>
                </c:pt>
                <c:pt idx="156">
                  <c:v>124.66445420087554</c:v>
                </c:pt>
                <c:pt idx="157">
                  <c:v>124.66445420087554</c:v>
                </c:pt>
                <c:pt idx="158">
                  <c:v>124.66445420087554</c:v>
                </c:pt>
                <c:pt idx="159">
                  <c:v>124.66445420087554</c:v>
                </c:pt>
                <c:pt idx="160">
                  <c:v>124.66445420087554</c:v>
                </c:pt>
                <c:pt idx="161">
                  <c:v>124.66445420087554</c:v>
                </c:pt>
                <c:pt idx="162">
                  <c:v>124.66445420087554</c:v>
                </c:pt>
                <c:pt idx="163">
                  <c:v>124.66445420087554</c:v>
                </c:pt>
                <c:pt idx="164">
                  <c:v>124.66445420087554</c:v>
                </c:pt>
                <c:pt idx="165">
                  <c:v>124.66445420087554</c:v>
                </c:pt>
                <c:pt idx="166">
                  <c:v>124.66445420087554</c:v>
                </c:pt>
                <c:pt idx="167">
                  <c:v>124.66445420087554</c:v>
                </c:pt>
                <c:pt idx="168">
                  <c:v>124.66445420087554</c:v>
                </c:pt>
                <c:pt idx="169">
                  <c:v>124.66445420087554</c:v>
                </c:pt>
                <c:pt idx="170">
                  <c:v>124.66445420087554</c:v>
                </c:pt>
                <c:pt idx="171">
                  <c:v>124.66445420087554</c:v>
                </c:pt>
                <c:pt idx="172">
                  <c:v>124.66445420087554</c:v>
                </c:pt>
                <c:pt idx="173">
                  <c:v>124.66445420087554</c:v>
                </c:pt>
                <c:pt idx="174">
                  <c:v>124.66445420087554</c:v>
                </c:pt>
                <c:pt idx="175">
                  <c:v>124.66445420087554</c:v>
                </c:pt>
                <c:pt idx="176">
                  <c:v>124.66445420087554</c:v>
                </c:pt>
                <c:pt idx="177">
                  <c:v>124.66445420087554</c:v>
                </c:pt>
                <c:pt idx="178">
                  <c:v>124.66445420087554</c:v>
                </c:pt>
                <c:pt idx="179">
                  <c:v>124.66445420087554</c:v>
                </c:pt>
                <c:pt idx="180">
                  <c:v>124.66445420087554</c:v>
                </c:pt>
                <c:pt idx="181">
                  <c:v>124.66445420087554</c:v>
                </c:pt>
                <c:pt idx="182">
                  <c:v>124.66445420087554</c:v>
                </c:pt>
                <c:pt idx="183">
                  <c:v>124.66445420087554</c:v>
                </c:pt>
                <c:pt idx="184">
                  <c:v>122.74138643029524</c:v>
                </c:pt>
                <c:pt idx="185">
                  <c:v>122.74138643029524</c:v>
                </c:pt>
                <c:pt idx="186">
                  <c:v>122.74138643029524</c:v>
                </c:pt>
                <c:pt idx="187">
                  <c:v>122.74138643029524</c:v>
                </c:pt>
                <c:pt idx="188">
                  <c:v>122.74138643029524</c:v>
                </c:pt>
                <c:pt idx="189">
                  <c:v>122.74138643029524</c:v>
                </c:pt>
                <c:pt idx="190">
                  <c:v>122.74138643029524</c:v>
                </c:pt>
                <c:pt idx="191">
                  <c:v>122.74138643029524</c:v>
                </c:pt>
                <c:pt idx="192">
                  <c:v>122.74138643029524</c:v>
                </c:pt>
                <c:pt idx="193">
                  <c:v>122.74138643029524</c:v>
                </c:pt>
                <c:pt idx="194">
                  <c:v>122.74138643029524</c:v>
                </c:pt>
                <c:pt idx="195">
                  <c:v>122.74138643029524</c:v>
                </c:pt>
                <c:pt idx="196">
                  <c:v>122.74138643029524</c:v>
                </c:pt>
                <c:pt idx="197">
                  <c:v>122.74138643029524</c:v>
                </c:pt>
                <c:pt idx="198">
                  <c:v>122.74138643029524</c:v>
                </c:pt>
                <c:pt idx="199">
                  <c:v>122.74138643029524</c:v>
                </c:pt>
                <c:pt idx="200">
                  <c:v>122.74138643029524</c:v>
                </c:pt>
                <c:pt idx="201">
                  <c:v>122.74138643029524</c:v>
                </c:pt>
                <c:pt idx="202">
                  <c:v>122.74138643029524</c:v>
                </c:pt>
                <c:pt idx="203">
                  <c:v>122.74138643029524</c:v>
                </c:pt>
                <c:pt idx="204">
                  <c:v>122.74138643029524</c:v>
                </c:pt>
                <c:pt idx="205">
                  <c:v>122.74138643029524</c:v>
                </c:pt>
                <c:pt idx="206">
                  <c:v>122.74138643029524</c:v>
                </c:pt>
                <c:pt idx="207">
                  <c:v>122.74138643029524</c:v>
                </c:pt>
                <c:pt idx="208">
                  <c:v>122.74138643029524</c:v>
                </c:pt>
                <c:pt idx="209">
                  <c:v>122.74138643029524</c:v>
                </c:pt>
                <c:pt idx="210">
                  <c:v>122.74138643029524</c:v>
                </c:pt>
                <c:pt idx="211">
                  <c:v>122.74138643029524</c:v>
                </c:pt>
                <c:pt idx="212">
                  <c:v>122.74138643029524</c:v>
                </c:pt>
                <c:pt idx="213">
                  <c:v>122.74138643029524</c:v>
                </c:pt>
                <c:pt idx="214">
                  <c:v>143.28247918530749</c:v>
                </c:pt>
                <c:pt idx="215">
                  <c:v>143.28247918530749</c:v>
                </c:pt>
                <c:pt idx="216">
                  <c:v>143.28247918530749</c:v>
                </c:pt>
                <c:pt idx="217">
                  <c:v>143.28247918530749</c:v>
                </c:pt>
                <c:pt idx="218">
                  <c:v>143.28247918530749</c:v>
                </c:pt>
                <c:pt idx="219">
                  <c:v>143.28247918530749</c:v>
                </c:pt>
                <c:pt idx="220">
                  <c:v>143.28247918530749</c:v>
                </c:pt>
                <c:pt idx="221">
                  <c:v>143.28247918530749</c:v>
                </c:pt>
                <c:pt idx="222">
                  <c:v>143.28247918530749</c:v>
                </c:pt>
                <c:pt idx="223">
                  <c:v>143.28247918530749</c:v>
                </c:pt>
                <c:pt idx="224">
                  <c:v>143.28247918530749</c:v>
                </c:pt>
                <c:pt idx="225">
                  <c:v>143.28247918530749</c:v>
                </c:pt>
                <c:pt idx="226">
                  <c:v>143.28247918530749</c:v>
                </c:pt>
                <c:pt idx="227">
                  <c:v>143.28247918530749</c:v>
                </c:pt>
                <c:pt idx="228">
                  <c:v>143.28247918530749</c:v>
                </c:pt>
                <c:pt idx="229">
                  <c:v>143.28247918530749</c:v>
                </c:pt>
                <c:pt idx="230">
                  <c:v>143.28247918530749</c:v>
                </c:pt>
                <c:pt idx="231">
                  <c:v>143.28247918530749</c:v>
                </c:pt>
                <c:pt idx="232">
                  <c:v>143.28247918530749</c:v>
                </c:pt>
                <c:pt idx="233">
                  <c:v>143.28247918530749</c:v>
                </c:pt>
                <c:pt idx="234">
                  <c:v>143.28247918530749</c:v>
                </c:pt>
                <c:pt idx="235">
                  <c:v>143.28247918530749</c:v>
                </c:pt>
                <c:pt idx="236">
                  <c:v>143.28247918530749</c:v>
                </c:pt>
                <c:pt idx="237">
                  <c:v>143.28247918530749</c:v>
                </c:pt>
                <c:pt idx="238">
                  <c:v>143.28247918530749</c:v>
                </c:pt>
                <c:pt idx="239">
                  <c:v>143.28247918530749</c:v>
                </c:pt>
                <c:pt idx="240">
                  <c:v>143.28247918530749</c:v>
                </c:pt>
                <c:pt idx="241">
                  <c:v>143.28247918530749</c:v>
                </c:pt>
                <c:pt idx="242">
                  <c:v>143.28247918530749</c:v>
                </c:pt>
                <c:pt idx="243">
                  <c:v>143.28247918530749</c:v>
                </c:pt>
                <c:pt idx="244">
                  <c:v>143.28247918530749</c:v>
                </c:pt>
                <c:pt idx="245">
                  <c:v>195.50002638702176</c:v>
                </c:pt>
                <c:pt idx="246">
                  <c:v>195.50002638702176</c:v>
                </c:pt>
                <c:pt idx="247">
                  <c:v>195.50002638702176</c:v>
                </c:pt>
                <c:pt idx="248">
                  <c:v>195.50002638702176</c:v>
                </c:pt>
                <c:pt idx="249">
                  <c:v>195.50002638702176</c:v>
                </c:pt>
                <c:pt idx="250">
                  <c:v>195.50002638702176</c:v>
                </c:pt>
                <c:pt idx="251">
                  <c:v>195.50002638702176</c:v>
                </c:pt>
                <c:pt idx="252">
                  <c:v>195.50002638702176</c:v>
                </c:pt>
                <c:pt idx="253">
                  <c:v>195.50002638702176</c:v>
                </c:pt>
                <c:pt idx="254">
                  <c:v>195.50002638702176</c:v>
                </c:pt>
                <c:pt idx="255">
                  <c:v>195.50002638702176</c:v>
                </c:pt>
                <c:pt idx="256">
                  <c:v>195.50002638702176</c:v>
                </c:pt>
                <c:pt idx="257">
                  <c:v>195.50002638702176</c:v>
                </c:pt>
                <c:pt idx="258">
                  <c:v>195.50002638702176</c:v>
                </c:pt>
                <c:pt idx="259">
                  <c:v>195.50002638702176</c:v>
                </c:pt>
                <c:pt idx="260">
                  <c:v>195.50002638702176</c:v>
                </c:pt>
                <c:pt idx="261">
                  <c:v>195.50002638702176</c:v>
                </c:pt>
                <c:pt idx="262">
                  <c:v>195.50002638702176</c:v>
                </c:pt>
                <c:pt idx="263">
                  <c:v>195.50002638702176</c:v>
                </c:pt>
                <c:pt idx="264">
                  <c:v>195.50002638702176</c:v>
                </c:pt>
                <c:pt idx="265">
                  <c:v>195.50002638702176</c:v>
                </c:pt>
                <c:pt idx="266">
                  <c:v>195.50002638702176</c:v>
                </c:pt>
                <c:pt idx="267">
                  <c:v>195.50002638702176</c:v>
                </c:pt>
                <c:pt idx="268">
                  <c:v>195.50002638702176</c:v>
                </c:pt>
                <c:pt idx="269">
                  <c:v>195.50002638702176</c:v>
                </c:pt>
                <c:pt idx="270">
                  <c:v>195.50002638702176</c:v>
                </c:pt>
                <c:pt idx="271">
                  <c:v>195.50002638702176</c:v>
                </c:pt>
                <c:pt idx="272">
                  <c:v>195.50002638702176</c:v>
                </c:pt>
                <c:pt idx="273">
                  <c:v>195.50002638702176</c:v>
                </c:pt>
                <c:pt idx="274">
                  <c:v>195.50002638702176</c:v>
                </c:pt>
                <c:pt idx="275">
                  <c:v>189.19357392292429</c:v>
                </c:pt>
                <c:pt idx="276">
                  <c:v>190.91252881099228</c:v>
                </c:pt>
                <c:pt idx="277">
                  <c:v>190.91252881099228</c:v>
                </c:pt>
                <c:pt idx="278">
                  <c:v>190.91252881099228</c:v>
                </c:pt>
                <c:pt idx="279">
                  <c:v>190.91252881099228</c:v>
                </c:pt>
                <c:pt idx="280">
                  <c:v>190.91252881099228</c:v>
                </c:pt>
                <c:pt idx="281">
                  <c:v>190.91252881099228</c:v>
                </c:pt>
                <c:pt idx="282">
                  <c:v>190.91252881099228</c:v>
                </c:pt>
                <c:pt idx="283">
                  <c:v>190.91252881099228</c:v>
                </c:pt>
                <c:pt idx="284">
                  <c:v>190.91252881099228</c:v>
                </c:pt>
                <c:pt idx="285">
                  <c:v>190.91252881099228</c:v>
                </c:pt>
                <c:pt idx="286">
                  <c:v>190.91252881099228</c:v>
                </c:pt>
                <c:pt idx="287">
                  <c:v>190.91252881099228</c:v>
                </c:pt>
                <c:pt idx="288">
                  <c:v>190.91252881099228</c:v>
                </c:pt>
                <c:pt idx="289">
                  <c:v>190.91252881099228</c:v>
                </c:pt>
                <c:pt idx="290">
                  <c:v>190.91252881099228</c:v>
                </c:pt>
                <c:pt idx="291">
                  <c:v>190.91252881099228</c:v>
                </c:pt>
                <c:pt idx="292">
                  <c:v>190.91252881099228</c:v>
                </c:pt>
                <c:pt idx="293">
                  <c:v>190.91252881099228</c:v>
                </c:pt>
                <c:pt idx="294">
                  <c:v>190.91252881099228</c:v>
                </c:pt>
                <c:pt idx="295">
                  <c:v>190.91252881099228</c:v>
                </c:pt>
                <c:pt idx="296">
                  <c:v>190.91252881099228</c:v>
                </c:pt>
                <c:pt idx="297">
                  <c:v>190.91252881099228</c:v>
                </c:pt>
                <c:pt idx="298">
                  <c:v>190.91252881099228</c:v>
                </c:pt>
                <c:pt idx="299">
                  <c:v>190.91252881099228</c:v>
                </c:pt>
                <c:pt idx="300">
                  <c:v>190.91252881099228</c:v>
                </c:pt>
                <c:pt idx="301">
                  <c:v>190.91252881099228</c:v>
                </c:pt>
                <c:pt idx="302">
                  <c:v>190.91252881099228</c:v>
                </c:pt>
                <c:pt idx="303">
                  <c:v>190.91252881099228</c:v>
                </c:pt>
                <c:pt idx="304">
                  <c:v>190.91252881099228</c:v>
                </c:pt>
                <c:pt idx="305">
                  <c:v>190.91252881099228</c:v>
                </c:pt>
                <c:pt idx="306">
                  <c:v>224.60211030124373</c:v>
                </c:pt>
                <c:pt idx="307">
                  <c:v>224.60211030124373</c:v>
                </c:pt>
                <c:pt idx="308">
                  <c:v>224.60211030124373</c:v>
                </c:pt>
                <c:pt idx="309">
                  <c:v>224.60211030124373</c:v>
                </c:pt>
                <c:pt idx="310">
                  <c:v>224.60211030124373</c:v>
                </c:pt>
                <c:pt idx="311">
                  <c:v>224.60211030124373</c:v>
                </c:pt>
                <c:pt idx="312">
                  <c:v>224.60211030124373</c:v>
                </c:pt>
                <c:pt idx="313">
                  <c:v>224.60211030124373</c:v>
                </c:pt>
                <c:pt idx="314">
                  <c:v>224.60211030124373</c:v>
                </c:pt>
                <c:pt idx="315">
                  <c:v>224.60211030124373</c:v>
                </c:pt>
                <c:pt idx="316">
                  <c:v>224.60211030124373</c:v>
                </c:pt>
                <c:pt idx="317">
                  <c:v>224.60211030124373</c:v>
                </c:pt>
                <c:pt idx="318">
                  <c:v>224.60211030124373</c:v>
                </c:pt>
                <c:pt idx="319">
                  <c:v>224.60211030124373</c:v>
                </c:pt>
                <c:pt idx="320">
                  <c:v>224.60211030124373</c:v>
                </c:pt>
                <c:pt idx="321">
                  <c:v>224.60211030124373</c:v>
                </c:pt>
                <c:pt idx="322">
                  <c:v>224.60211030124373</c:v>
                </c:pt>
                <c:pt idx="323">
                  <c:v>224.60211030124373</c:v>
                </c:pt>
                <c:pt idx="324">
                  <c:v>224.60211030124373</c:v>
                </c:pt>
                <c:pt idx="325">
                  <c:v>224.60211030124373</c:v>
                </c:pt>
                <c:pt idx="326">
                  <c:v>224.60211030124373</c:v>
                </c:pt>
                <c:pt idx="327">
                  <c:v>224.60211030124373</c:v>
                </c:pt>
                <c:pt idx="328">
                  <c:v>224.60211030124373</c:v>
                </c:pt>
                <c:pt idx="329">
                  <c:v>224.60211030124373</c:v>
                </c:pt>
                <c:pt idx="330">
                  <c:v>224.60211030124373</c:v>
                </c:pt>
                <c:pt idx="331">
                  <c:v>224.60211030124373</c:v>
                </c:pt>
                <c:pt idx="332">
                  <c:v>224.60211030124373</c:v>
                </c:pt>
                <c:pt idx="333">
                  <c:v>224.60211030124373</c:v>
                </c:pt>
                <c:pt idx="334">
                  <c:v>224.60211030124373</c:v>
                </c:pt>
                <c:pt idx="335">
                  <c:v>224.60211030124373</c:v>
                </c:pt>
                <c:pt idx="336">
                  <c:v>224.60211030124373</c:v>
                </c:pt>
                <c:pt idx="337">
                  <c:v>227.83027735414711</c:v>
                </c:pt>
                <c:pt idx="338">
                  <c:v>227.83027735414711</c:v>
                </c:pt>
                <c:pt idx="339">
                  <c:v>227.83027735414711</c:v>
                </c:pt>
                <c:pt idx="340">
                  <c:v>227.83027735414711</c:v>
                </c:pt>
                <c:pt idx="341">
                  <c:v>227.83027735414711</c:v>
                </c:pt>
                <c:pt idx="342">
                  <c:v>227.83027735414711</c:v>
                </c:pt>
                <c:pt idx="343">
                  <c:v>227.83027735414711</c:v>
                </c:pt>
                <c:pt idx="344">
                  <c:v>227.83027735414711</c:v>
                </c:pt>
                <c:pt idx="345">
                  <c:v>227.83027735414711</c:v>
                </c:pt>
                <c:pt idx="346">
                  <c:v>227.83027735414711</c:v>
                </c:pt>
                <c:pt idx="347">
                  <c:v>227.83027735414711</c:v>
                </c:pt>
                <c:pt idx="348">
                  <c:v>227.83027735414711</c:v>
                </c:pt>
                <c:pt idx="349">
                  <c:v>227.83027735414711</c:v>
                </c:pt>
                <c:pt idx="350">
                  <c:v>227.83027735414711</c:v>
                </c:pt>
                <c:pt idx="351">
                  <c:v>227.83027735414711</c:v>
                </c:pt>
                <c:pt idx="352">
                  <c:v>227.83027735414711</c:v>
                </c:pt>
                <c:pt idx="353">
                  <c:v>227.83027735414711</c:v>
                </c:pt>
                <c:pt idx="354">
                  <c:v>227.83027735414711</c:v>
                </c:pt>
                <c:pt idx="355">
                  <c:v>227.83027735414711</c:v>
                </c:pt>
                <c:pt idx="356">
                  <c:v>227.83027735414711</c:v>
                </c:pt>
                <c:pt idx="357">
                  <c:v>227.83027735414711</c:v>
                </c:pt>
                <c:pt idx="358">
                  <c:v>227.83027735414711</c:v>
                </c:pt>
                <c:pt idx="359">
                  <c:v>227.83027735414711</c:v>
                </c:pt>
                <c:pt idx="360">
                  <c:v>227.83027735414711</c:v>
                </c:pt>
                <c:pt idx="361">
                  <c:v>227.83027735414711</c:v>
                </c:pt>
                <c:pt idx="362">
                  <c:v>227.83027735414711</c:v>
                </c:pt>
                <c:pt idx="363">
                  <c:v>227.83027735414711</c:v>
                </c:pt>
                <c:pt idx="364">
                  <c:v>227.83027735414711</c:v>
                </c:pt>
                <c:pt idx="365">
                  <c:v>222.39420268941305</c:v>
                </c:pt>
                <c:pt idx="366">
                  <c:v>222.39420268941305</c:v>
                </c:pt>
                <c:pt idx="367">
                  <c:v>222.39420268941305</c:v>
                </c:pt>
                <c:pt idx="368">
                  <c:v>222.39420268941305</c:v>
                </c:pt>
                <c:pt idx="369">
                  <c:v>222.39420268941305</c:v>
                </c:pt>
                <c:pt idx="370">
                  <c:v>222.39420268941305</c:v>
                </c:pt>
                <c:pt idx="371">
                  <c:v>222.39420268941305</c:v>
                </c:pt>
                <c:pt idx="372">
                  <c:v>222.39420268941305</c:v>
                </c:pt>
                <c:pt idx="373">
                  <c:v>222.39420268941305</c:v>
                </c:pt>
                <c:pt idx="374">
                  <c:v>222.39420268941305</c:v>
                </c:pt>
                <c:pt idx="375">
                  <c:v>222.39420268941305</c:v>
                </c:pt>
                <c:pt idx="376">
                  <c:v>222.39420268941305</c:v>
                </c:pt>
                <c:pt idx="377">
                  <c:v>222.39420268941305</c:v>
                </c:pt>
                <c:pt idx="378">
                  <c:v>222.39420268941305</c:v>
                </c:pt>
                <c:pt idx="379">
                  <c:v>222.39420268941305</c:v>
                </c:pt>
                <c:pt idx="380">
                  <c:v>222.39420268941305</c:v>
                </c:pt>
                <c:pt idx="381">
                  <c:v>222.39420268941305</c:v>
                </c:pt>
                <c:pt idx="382">
                  <c:v>222.39420268941305</c:v>
                </c:pt>
                <c:pt idx="383">
                  <c:v>222.39420268941305</c:v>
                </c:pt>
                <c:pt idx="384">
                  <c:v>222.39420268941305</c:v>
                </c:pt>
                <c:pt idx="385">
                  <c:v>222.39420268941305</c:v>
                </c:pt>
                <c:pt idx="386">
                  <c:v>222.39420268941305</c:v>
                </c:pt>
                <c:pt idx="387">
                  <c:v>222.39420268941305</c:v>
                </c:pt>
                <c:pt idx="388">
                  <c:v>222.39420268941305</c:v>
                </c:pt>
                <c:pt idx="389">
                  <c:v>222.39420268941305</c:v>
                </c:pt>
                <c:pt idx="390">
                  <c:v>222.39420268941305</c:v>
                </c:pt>
                <c:pt idx="391">
                  <c:v>222.39420268941305</c:v>
                </c:pt>
                <c:pt idx="392">
                  <c:v>222.39420268941305</c:v>
                </c:pt>
                <c:pt idx="393">
                  <c:v>222.39420268941305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123.057188</c:v>
                </c:pt>
                <c:pt idx="1">
                  <c:v>183.63743299999999</c:v>
                </c:pt>
                <c:pt idx="2">
                  <c:v>179.32466500000001</c:v>
                </c:pt>
                <c:pt idx="3">
                  <c:v>207.20888707498128</c:v>
                </c:pt>
                <c:pt idx="4">
                  <c:v>162.934877</c:v>
                </c:pt>
                <c:pt idx="5">
                  <c:v>130.44913199999999</c:v>
                </c:pt>
                <c:pt idx="6">
                  <c:v>102.770679</c:v>
                </c:pt>
                <c:pt idx="7">
                  <c:v>168.05848699999999</c:v>
                </c:pt>
                <c:pt idx="8">
                  <c:v>159.07691999999997</c:v>
                </c:pt>
                <c:pt idx="9">
                  <c:v>200.95546599999997</c:v>
                </c:pt>
                <c:pt idx="10">
                  <c:v>207.20888707498128</c:v>
                </c:pt>
                <c:pt idx="11">
                  <c:v>207.20888707498128</c:v>
                </c:pt>
                <c:pt idx="12">
                  <c:v>162.96980499999998</c:v>
                </c:pt>
                <c:pt idx="13">
                  <c:v>207.20888707498128</c:v>
                </c:pt>
                <c:pt idx="14">
                  <c:v>207.20888707498128</c:v>
                </c:pt>
                <c:pt idx="15">
                  <c:v>205.35807499999999</c:v>
                </c:pt>
                <c:pt idx="16">
                  <c:v>207.20888707498128</c:v>
                </c:pt>
                <c:pt idx="17">
                  <c:v>202.779516</c:v>
                </c:pt>
                <c:pt idx="18">
                  <c:v>138.54991699999999</c:v>
                </c:pt>
                <c:pt idx="19">
                  <c:v>207.20888707498128</c:v>
                </c:pt>
                <c:pt idx="20">
                  <c:v>207.20888707498128</c:v>
                </c:pt>
                <c:pt idx="21">
                  <c:v>207.20888707498128</c:v>
                </c:pt>
                <c:pt idx="22">
                  <c:v>207.20888707498128</c:v>
                </c:pt>
                <c:pt idx="23">
                  <c:v>207.20888707498128</c:v>
                </c:pt>
                <c:pt idx="24">
                  <c:v>186.887046</c:v>
                </c:pt>
                <c:pt idx="25">
                  <c:v>115.53608800000001</c:v>
                </c:pt>
                <c:pt idx="26">
                  <c:v>115.393586</c:v>
                </c:pt>
                <c:pt idx="27">
                  <c:v>172.72798699999998</c:v>
                </c:pt>
                <c:pt idx="28">
                  <c:v>64.641690999999994</c:v>
                </c:pt>
                <c:pt idx="29">
                  <c:v>184.66582099999999</c:v>
                </c:pt>
                <c:pt idx="30">
                  <c:v>207.20888707498128</c:v>
                </c:pt>
                <c:pt idx="31">
                  <c:v>173.72968452717382</c:v>
                </c:pt>
                <c:pt idx="32">
                  <c:v>173.72968452717382</c:v>
                </c:pt>
                <c:pt idx="33">
                  <c:v>173.72968452717382</c:v>
                </c:pt>
                <c:pt idx="34">
                  <c:v>173.72968452717382</c:v>
                </c:pt>
                <c:pt idx="35">
                  <c:v>173.72968452717382</c:v>
                </c:pt>
                <c:pt idx="36">
                  <c:v>140.25377900000001</c:v>
                </c:pt>
                <c:pt idx="37">
                  <c:v>173.72968452717382</c:v>
                </c:pt>
                <c:pt idx="38">
                  <c:v>173.72968452717382</c:v>
                </c:pt>
                <c:pt idx="39">
                  <c:v>143.24871599999997</c:v>
                </c:pt>
                <c:pt idx="40">
                  <c:v>173.72968452717382</c:v>
                </c:pt>
                <c:pt idx="41">
                  <c:v>173.72968452717382</c:v>
                </c:pt>
                <c:pt idx="42">
                  <c:v>172.513589</c:v>
                </c:pt>
                <c:pt idx="43">
                  <c:v>115.37458000000001</c:v>
                </c:pt>
                <c:pt idx="44">
                  <c:v>111.75668899999999</c:v>
                </c:pt>
                <c:pt idx="45">
                  <c:v>61.966009</c:v>
                </c:pt>
                <c:pt idx="46">
                  <c:v>139.814052</c:v>
                </c:pt>
                <c:pt idx="47">
                  <c:v>123.50425800000001</c:v>
                </c:pt>
                <c:pt idx="48">
                  <c:v>169.95030299999999</c:v>
                </c:pt>
                <c:pt idx="49">
                  <c:v>173.72968452717382</c:v>
                </c:pt>
                <c:pt idx="50">
                  <c:v>173.72968452717382</c:v>
                </c:pt>
                <c:pt idx="51">
                  <c:v>173.72968452717382</c:v>
                </c:pt>
                <c:pt idx="52">
                  <c:v>173.72968452717382</c:v>
                </c:pt>
                <c:pt idx="53">
                  <c:v>173.72968452717382</c:v>
                </c:pt>
                <c:pt idx="54">
                  <c:v>169.876394</c:v>
                </c:pt>
                <c:pt idx="55">
                  <c:v>33.183509000000001</c:v>
                </c:pt>
                <c:pt idx="56">
                  <c:v>64.831130000000002</c:v>
                </c:pt>
                <c:pt idx="57">
                  <c:v>42.717091000000003</c:v>
                </c:pt>
                <c:pt idx="58">
                  <c:v>83.537083999999993</c:v>
                </c:pt>
                <c:pt idx="59">
                  <c:v>76.722093000000001</c:v>
                </c:pt>
                <c:pt idx="60">
                  <c:v>120.190377</c:v>
                </c:pt>
                <c:pt idx="61">
                  <c:v>96.096043000000009</c:v>
                </c:pt>
                <c:pt idx="62">
                  <c:v>153.68695399999999</c:v>
                </c:pt>
                <c:pt idx="63">
                  <c:v>155.4601248026691</c:v>
                </c:pt>
                <c:pt idx="64">
                  <c:v>155.4601248026691</c:v>
                </c:pt>
                <c:pt idx="65">
                  <c:v>155.4601248026691</c:v>
                </c:pt>
                <c:pt idx="66">
                  <c:v>155.4601248026691</c:v>
                </c:pt>
                <c:pt idx="67">
                  <c:v>149.83393599999999</c:v>
                </c:pt>
                <c:pt idx="68">
                  <c:v>96.709090000000018</c:v>
                </c:pt>
                <c:pt idx="69">
                  <c:v>59.726545000000002</c:v>
                </c:pt>
                <c:pt idx="70">
                  <c:v>78.450383000000002</c:v>
                </c:pt>
                <c:pt idx="71">
                  <c:v>124.94933900000001</c:v>
                </c:pt>
                <c:pt idx="72">
                  <c:v>131.41055</c:v>
                </c:pt>
                <c:pt idx="73">
                  <c:v>50.087851999999998</c:v>
                </c:pt>
                <c:pt idx="74">
                  <c:v>107.47035799999999</c:v>
                </c:pt>
                <c:pt idx="75">
                  <c:v>155.4601248026691</c:v>
                </c:pt>
                <c:pt idx="76">
                  <c:v>122.860922</c:v>
                </c:pt>
                <c:pt idx="77">
                  <c:v>106.023805</c:v>
                </c:pt>
                <c:pt idx="78">
                  <c:v>111.492901</c:v>
                </c:pt>
                <c:pt idx="79">
                  <c:v>155.4601248026691</c:v>
                </c:pt>
                <c:pt idx="80">
                  <c:v>155.4601248026691</c:v>
                </c:pt>
                <c:pt idx="81">
                  <c:v>155.4601248026691</c:v>
                </c:pt>
                <c:pt idx="82">
                  <c:v>151.68245899999999</c:v>
                </c:pt>
                <c:pt idx="83">
                  <c:v>155.4601248026691</c:v>
                </c:pt>
                <c:pt idx="84">
                  <c:v>155.4601248026691</c:v>
                </c:pt>
                <c:pt idx="85">
                  <c:v>155.4601248026691</c:v>
                </c:pt>
                <c:pt idx="86">
                  <c:v>155.4601248026691</c:v>
                </c:pt>
                <c:pt idx="87">
                  <c:v>155.4601248026691</c:v>
                </c:pt>
                <c:pt idx="88">
                  <c:v>142.279313</c:v>
                </c:pt>
                <c:pt idx="89">
                  <c:v>146.91013100000004</c:v>
                </c:pt>
                <c:pt idx="90">
                  <c:v>102.34970799999999</c:v>
                </c:pt>
                <c:pt idx="91">
                  <c:v>50.245027999999998</c:v>
                </c:pt>
                <c:pt idx="92">
                  <c:v>114.469402</c:v>
                </c:pt>
                <c:pt idx="93">
                  <c:v>69.91986</c:v>
                </c:pt>
                <c:pt idx="94">
                  <c:v>74.851303000000001</c:v>
                </c:pt>
                <c:pt idx="95">
                  <c:v>81.655464999999992</c:v>
                </c:pt>
                <c:pt idx="96">
                  <c:v>74.862791000000001</c:v>
                </c:pt>
                <c:pt idx="97">
                  <c:v>89.282972000000001</c:v>
                </c:pt>
                <c:pt idx="98">
                  <c:v>83.434060000000002</c:v>
                </c:pt>
                <c:pt idx="99">
                  <c:v>129.06134561510228</c:v>
                </c:pt>
                <c:pt idx="100">
                  <c:v>129.06134561510228</c:v>
                </c:pt>
                <c:pt idx="101">
                  <c:v>125.335545</c:v>
                </c:pt>
                <c:pt idx="102">
                  <c:v>129.06134561510228</c:v>
                </c:pt>
                <c:pt idx="103">
                  <c:v>129.06134561510228</c:v>
                </c:pt>
                <c:pt idx="104">
                  <c:v>129.06134561510228</c:v>
                </c:pt>
                <c:pt idx="105">
                  <c:v>85.426520000000011</c:v>
                </c:pt>
                <c:pt idx="106">
                  <c:v>96.34526799999999</c:v>
                </c:pt>
                <c:pt idx="107">
                  <c:v>102.009258</c:v>
                </c:pt>
                <c:pt idx="108">
                  <c:v>122.272419</c:v>
                </c:pt>
                <c:pt idx="109">
                  <c:v>129.06134561510228</c:v>
                </c:pt>
                <c:pt idx="110">
                  <c:v>129.06134561510228</c:v>
                </c:pt>
                <c:pt idx="111">
                  <c:v>110.232758</c:v>
                </c:pt>
                <c:pt idx="112">
                  <c:v>91.480260000000001</c:v>
                </c:pt>
                <c:pt idx="113">
                  <c:v>80.341551999999993</c:v>
                </c:pt>
                <c:pt idx="114">
                  <c:v>115.55071599999999</c:v>
                </c:pt>
                <c:pt idx="115">
                  <c:v>129.06134561510228</c:v>
                </c:pt>
                <c:pt idx="116">
                  <c:v>111.75493</c:v>
                </c:pt>
                <c:pt idx="117">
                  <c:v>120.82771200000001</c:v>
                </c:pt>
                <c:pt idx="118">
                  <c:v>129.06134561510228</c:v>
                </c:pt>
                <c:pt idx="119">
                  <c:v>77.617750999999998</c:v>
                </c:pt>
                <c:pt idx="120">
                  <c:v>109.25360099999999</c:v>
                </c:pt>
                <c:pt idx="121">
                  <c:v>129.06134561510228</c:v>
                </c:pt>
                <c:pt idx="122">
                  <c:v>112.46213200000001</c:v>
                </c:pt>
                <c:pt idx="123">
                  <c:v>127.62290388186472</c:v>
                </c:pt>
                <c:pt idx="124">
                  <c:v>127.62290388186472</c:v>
                </c:pt>
                <c:pt idx="125">
                  <c:v>127.62290388186472</c:v>
                </c:pt>
                <c:pt idx="126">
                  <c:v>127.62290388186472</c:v>
                </c:pt>
                <c:pt idx="127">
                  <c:v>127.62290388186472</c:v>
                </c:pt>
                <c:pt idx="128">
                  <c:v>127.62290388186472</c:v>
                </c:pt>
                <c:pt idx="129">
                  <c:v>127.62290388186472</c:v>
                </c:pt>
                <c:pt idx="130">
                  <c:v>127.62290388186472</c:v>
                </c:pt>
                <c:pt idx="131">
                  <c:v>103.92292900000001</c:v>
                </c:pt>
                <c:pt idx="132">
                  <c:v>111.934833</c:v>
                </c:pt>
                <c:pt idx="133">
                  <c:v>107.252905</c:v>
                </c:pt>
                <c:pt idx="134">
                  <c:v>100.43901600000001</c:v>
                </c:pt>
                <c:pt idx="135">
                  <c:v>113.177183</c:v>
                </c:pt>
                <c:pt idx="136">
                  <c:v>127.62290388186472</c:v>
                </c:pt>
                <c:pt idx="137">
                  <c:v>90.584125</c:v>
                </c:pt>
                <c:pt idx="138">
                  <c:v>108.232456</c:v>
                </c:pt>
                <c:pt idx="139">
                  <c:v>127.62290388186472</c:v>
                </c:pt>
                <c:pt idx="140">
                  <c:v>127.62290388186472</c:v>
                </c:pt>
                <c:pt idx="141">
                  <c:v>109.047916</c:v>
                </c:pt>
                <c:pt idx="142">
                  <c:v>127.62290388186472</c:v>
                </c:pt>
                <c:pt idx="143">
                  <c:v>127.62290388186472</c:v>
                </c:pt>
                <c:pt idx="144">
                  <c:v>117.076713</c:v>
                </c:pt>
                <c:pt idx="145">
                  <c:v>83.899998000000011</c:v>
                </c:pt>
                <c:pt idx="146">
                  <c:v>127.62290388186472</c:v>
                </c:pt>
                <c:pt idx="147">
                  <c:v>127.62290388186472</c:v>
                </c:pt>
                <c:pt idx="148">
                  <c:v>124.62874099999999</c:v>
                </c:pt>
                <c:pt idx="149">
                  <c:v>77.391759999999991</c:v>
                </c:pt>
                <c:pt idx="150">
                  <c:v>113.881663</c:v>
                </c:pt>
                <c:pt idx="151">
                  <c:v>127.62290388186472</c:v>
                </c:pt>
                <c:pt idx="152">
                  <c:v>127.62290388186472</c:v>
                </c:pt>
                <c:pt idx="153">
                  <c:v>120.03133199999999</c:v>
                </c:pt>
                <c:pt idx="154">
                  <c:v>96.841761000000005</c:v>
                </c:pt>
                <c:pt idx="155">
                  <c:v>122.55999300000001</c:v>
                </c:pt>
                <c:pt idx="156">
                  <c:v>124.66445420087554</c:v>
                </c:pt>
                <c:pt idx="157">
                  <c:v>124.66445420087554</c:v>
                </c:pt>
                <c:pt idx="158">
                  <c:v>124.66445420087554</c:v>
                </c:pt>
                <c:pt idx="159">
                  <c:v>124.66445420087554</c:v>
                </c:pt>
                <c:pt idx="160">
                  <c:v>109.745394</c:v>
                </c:pt>
                <c:pt idx="161">
                  <c:v>124.66445420087554</c:v>
                </c:pt>
                <c:pt idx="162">
                  <c:v>123.34613800000001</c:v>
                </c:pt>
                <c:pt idx="163">
                  <c:v>98.319980999999999</c:v>
                </c:pt>
                <c:pt idx="164">
                  <c:v>71.153600999999995</c:v>
                </c:pt>
                <c:pt idx="165">
                  <c:v>124.66445420087554</c:v>
                </c:pt>
                <c:pt idx="166">
                  <c:v>124.66445420087554</c:v>
                </c:pt>
                <c:pt idx="167">
                  <c:v>114.14062799999999</c:v>
                </c:pt>
                <c:pt idx="168">
                  <c:v>124.66445420087554</c:v>
                </c:pt>
                <c:pt idx="169">
                  <c:v>124.66445420087554</c:v>
                </c:pt>
                <c:pt idx="170">
                  <c:v>124.66445420087554</c:v>
                </c:pt>
                <c:pt idx="171">
                  <c:v>124.66445420087554</c:v>
                </c:pt>
                <c:pt idx="172">
                  <c:v>81.895615000000006</c:v>
                </c:pt>
                <c:pt idx="173">
                  <c:v>118.66739</c:v>
                </c:pt>
                <c:pt idx="174">
                  <c:v>124.66445420087554</c:v>
                </c:pt>
                <c:pt idx="175">
                  <c:v>120.39143900000001</c:v>
                </c:pt>
                <c:pt idx="176">
                  <c:v>96.681647999999996</c:v>
                </c:pt>
                <c:pt idx="177">
                  <c:v>124.66445420087554</c:v>
                </c:pt>
                <c:pt idx="178">
                  <c:v>124.66445420087554</c:v>
                </c:pt>
                <c:pt idx="179">
                  <c:v>101.58896</c:v>
                </c:pt>
                <c:pt idx="180">
                  <c:v>106.655355</c:v>
                </c:pt>
                <c:pt idx="181">
                  <c:v>124.66445420087554</c:v>
                </c:pt>
                <c:pt idx="182">
                  <c:v>57.528455999999998</c:v>
                </c:pt>
                <c:pt idx="183">
                  <c:v>93.785667999999987</c:v>
                </c:pt>
                <c:pt idx="184">
                  <c:v>59.910747000000001</c:v>
                </c:pt>
                <c:pt idx="185">
                  <c:v>100.177401</c:v>
                </c:pt>
                <c:pt idx="186">
                  <c:v>108.84054699999999</c:v>
                </c:pt>
                <c:pt idx="187">
                  <c:v>122.74138643029524</c:v>
                </c:pt>
                <c:pt idx="188">
                  <c:v>122.74138643029524</c:v>
                </c:pt>
                <c:pt idx="189">
                  <c:v>122.74138643029524</c:v>
                </c:pt>
                <c:pt idx="190">
                  <c:v>122.74138643029524</c:v>
                </c:pt>
                <c:pt idx="191">
                  <c:v>82.522603000000004</c:v>
                </c:pt>
                <c:pt idx="192">
                  <c:v>61.904378999999999</c:v>
                </c:pt>
                <c:pt idx="193">
                  <c:v>41.055430999999999</c:v>
                </c:pt>
                <c:pt idx="194">
                  <c:v>103.55985099999999</c:v>
                </c:pt>
                <c:pt idx="195">
                  <c:v>122.74138643029524</c:v>
                </c:pt>
                <c:pt idx="196">
                  <c:v>122.74138643029524</c:v>
                </c:pt>
                <c:pt idx="197">
                  <c:v>122.74138643029524</c:v>
                </c:pt>
                <c:pt idx="198">
                  <c:v>55.376486</c:v>
                </c:pt>
                <c:pt idx="199">
                  <c:v>122.74138643029524</c:v>
                </c:pt>
                <c:pt idx="200">
                  <c:v>122.74138643029524</c:v>
                </c:pt>
                <c:pt idx="201">
                  <c:v>119.38686</c:v>
                </c:pt>
                <c:pt idx="202">
                  <c:v>80.284176000000002</c:v>
                </c:pt>
                <c:pt idx="203">
                  <c:v>100.68425500000001</c:v>
                </c:pt>
                <c:pt idx="204">
                  <c:v>99.861514999999997</c:v>
                </c:pt>
                <c:pt idx="205">
                  <c:v>46.924219000000001</c:v>
                </c:pt>
                <c:pt idx="206">
                  <c:v>84.220392000000004</c:v>
                </c:pt>
                <c:pt idx="207">
                  <c:v>122.74138643029524</c:v>
                </c:pt>
                <c:pt idx="208">
                  <c:v>122.74138643029524</c:v>
                </c:pt>
                <c:pt idx="209">
                  <c:v>122.74138643029524</c:v>
                </c:pt>
                <c:pt idx="210">
                  <c:v>122.74138643029524</c:v>
                </c:pt>
                <c:pt idx="211">
                  <c:v>122.74138643029524</c:v>
                </c:pt>
                <c:pt idx="212">
                  <c:v>122.74138643029524</c:v>
                </c:pt>
                <c:pt idx="213">
                  <c:v>122.74138643029524</c:v>
                </c:pt>
                <c:pt idx="214">
                  <c:v>68.157820000000001</c:v>
                </c:pt>
                <c:pt idx="215">
                  <c:v>84.827850000000012</c:v>
                </c:pt>
                <c:pt idx="216">
                  <c:v>42.34686</c:v>
                </c:pt>
                <c:pt idx="217">
                  <c:v>45.187612999999999</c:v>
                </c:pt>
                <c:pt idx="218">
                  <c:v>89.617435999999998</c:v>
                </c:pt>
                <c:pt idx="219">
                  <c:v>143.28247918530749</c:v>
                </c:pt>
                <c:pt idx="220">
                  <c:v>84.157702999999998</c:v>
                </c:pt>
                <c:pt idx="221">
                  <c:v>136.86946900000001</c:v>
                </c:pt>
                <c:pt idx="222">
                  <c:v>96.913735000000003</c:v>
                </c:pt>
                <c:pt idx="223">
                  <c:v>52.378706000000001</c:v>
                </c:pt>
                <c:pt idx="224">
                  <c:v>45.632053999999997</c:v>
                </c:pt>
                <c:pt idx="225">
                  <c:v>58.151752000000002</c:v>
                </c:pt>
                <c:pt idx="226">
                  <c:v>60.684504999999994</c:v>
                </c:pt>
                <c:pt idx="227">
                  <c:v>97.734698000000009</c:v>
                </c:pt>
                <c:pt idx="228">
                  <c:v>117.647707</c:v>
                </c:pt>
                <c:pt idx="229">
                  <c:v>143.28247918530749</c:v>
                </c:pt>
                <c:pt idx="230">
                  <c:v>143.28247918530749</c:v>
                </c:pt>
                <c:pt idx="231">
                  <c:v>143.28247918530749</c:v>
                </c:pt>
                <c:pt idx="232">
                  <c:v>143.28247918530749</c:v>
                </c:pt>
                <c:pt idx="233">
                  <c:v>143.28247918530749</c:v>
                </c:pt>
                <c:pt idx="234">
                  <c:v>143.28247918530749</c:v>
                </c:pt>
                <c:pt idx="235">
                  <c:v>143.28247918530749</c:v>
                </c:pt>
                <c:pt idx="236">
                  <c:v>143.28247918530749</c:v>
                </c:pt>
                <c:pt idx="237">
                  <c:v>137.67570499999999</c:v>
                </c:pt>
                <c:pt idx="238">
                  <c:v>143.28247918530749</c:v>
                </c:pt>
                <c:pt idx="239">
                  <c:v>143.28247918530749</c:v>
                </c:pt>
                <c:pt idx="240">
                  <c:v>143.28247918530749</c:v>
                </c:pt>
                <c:pt idx="241">
                  <c:v>143.28247918530749</c:v>
                </c:pt>
                <c:pt idx="242">
                  <c:v>143.28247918530749</c:v>
                </c:pt>
                <c:pt idx="243">
                  <c:v>121.63611900000001</c:v>
                </c:pt>
                <c:pt idx="244">
                  <c:v>143.28247918530749</c:v>
                </c:pt>
                <c:pt idx="245">
                  <c:v>70.170743000000002</c:v>
                </c:pt>
                <c:pt idx="246">
                  <c:v>71.457005000000009</c:v>
                </c:pt>
                <c:pt idx="247">
                  <c:v>195.50002638702176</c:v>
                </c:pt>
                <c:pt idx="248">
                  <c:v>195.50002638702176</c:v>
                </c:pt>
                <c:pt idx="249">
                  <c:v>116.458411</c:v>
                </c:pt>
                <c:pt idx="250">
                  <c:v>143.598421</c:v>
                </c:pt>
                <c:pt idx="251">
                  <c:v>175.58613699999998</c:v>
                </c:pt>
                <c:pt idx="252">
                  <c:v>195.50002638702176</c:v>
                </c:pt>
                <c:pt idx="253">
                  <c:v>141.31734700000001</c:v>
                </c:pt>
                <c:pt idx="254">
                  <c:v>72.62004300000001</c:v>
                </c:pt>
                <c:pt idx="255">
                  <c:v>180.31422000000001</c:v>
                </c:pt>
                <c:pt idx="256">
                  <c:v>195.50002638702176</c:v>
                </c:pt>
                <c:pt idx="257">
                  <c:v>146.40452999999999</c:v>
                </c:pt>
                <c:pt idx="258">
                  <c:v>187.88806599999998</c:v>
                </c:pt>
                <c:pt idx="259">
                  <c:v>195.50002638702176</c:v>
                </c:pt>
                <c:pt idx="260">
                  <c:v>195.50002638702176</c:v>
                </c:pt>
                <c:pt idx="261">
                  <c:v>195.50002638702176</c:v>
                </c:pt>
                <c:pt idx="262">
                  <c:v>195.50002638702176</c:v>
                </c:pt>
                <c:pt idx="263">
                  <c:v>195.50002638702176</c:v>
                </c:pt>
                <c:pt idx="264">
                  <c:v>195.50002638702176</c:v>
                </c:pt>
                <c:pt idx="265">
                  <c:v>195.50002638702176</c:v>
                </c:pt>
                <c:pt idx="266">
                  <c:v>195.50002638702176</c:v>
                </c:pt>
                <c:pt idx="267">
                  <c:v>195.50002638702176</c:v>
                </c:pt>
                <c:pt idx="268">
                  <c:v>176.51325399999999</c:v>
                </c:pt>
                <c:pt idx="269">
                  <c:v>195.50002638702176</c:v>
                </c:pt>
                <c:pt idx="270">
                  <c:v>136.00557100000003</c:v>
                </c:pt>
                <c:pt idx="271">
                  <c:v>120.032995</c:v>
                </c:pt>
                <c:pt idx="272">
                  <c:v>195.50002638702176</c:v>
                </c:pt>
                <c:pt idx="273">
                  <c:v>185.577268</c:v>
                </c:pt>
                <c:pt idx="274">
                  <c:v>56.087430999999995</c:v>
                </c:pt>
                <c:pt idx="275">
                  <c:v>155.51592400000001</c:v>
                </c:pt>
                <c:pt idx="276">
                  <c:v>79.309539999999998</c:v>
                </c:pt>
                <c:pt idx="277">
                  <c:v>66.065465000000003</c:v>
                </c:pt>
                <c:pt idx="278">
                  <c:v>52.733902999999998</c:v>
                </c:pt>
                <c:pt idx="279">
                  <c:v>129.03537</c:v>
                </c:pt>
                <c:pt idx="280">
                  <c:v>29.19745</c:v>
                </c:pt>
                <c:pt idx="281">
                  <c:v>42.074311999999999</c:v>
                </c:pt>
                <c:pt idx="282">
                  <c:v>177.85029500000002</c:v>
                </c:pt>
                <c:pt idx="283">
                  <c:v>177.99697800000001</c:v>
                </c:pt>
                <c:pt idx="284">
                  <c:v>190.91252881099228</c:v>
                </c:pt>
                <c:pt idx="285">
                  <c:v>140.70574400000001</c:v>
                </c:pt>
                <c:pt idx="286">
                  <c:v>190.91252881099228</c:v>
                </c:pt>
                <c:pt idx="287">
                  <c:v>190.91252881099228</c:v>
                </c:pt>
                <c:pt idx="288">
                  <c:v>190.91252881099228</c:v>
                </c:pt>
                <c:pt idx="289">
                  <c:v>189.29763200000002</c:v>
                </c:pt>
                <c:pt idx="290">
                  <c:v>139.29695000000001</c:v>
                </c:pt>
                <c:pt idx="291">
                  <c:v>58.272860000000001</c:v>
                </c:pt>
                <c:pt idx="292">
                  <c:v>184.77290500000001</c:v>
                </c:pt>
                <c:pt idx="293">
                  <c:v>190.91252881099228</c:v>
                </c:pt>
                <c:pt idx="294">
                  <c:v>190.91252881099228</c:v>
                </c:pt>
                <c:pt idx="295">
                  <c:v>190.91252881099228</c:v>
                </c:pt>
                <c:pt idx="296">
                  <c:v>190.91252881099228</c:v>
                </c:pt>
                <c:pt idx="297">
                  <c:v>190.91252881099228</c:v>
                </c:pt>
                <c:pt idx="298">
                  <c:v>173.15036499999999</c:v>
                </c:pt>
                <c:pt idx="299">
                  <c:v>170.104896</c:v>
                </c:pt>
                <c:pt idx="300">
                  <c:v>56.187546000000005</c:v>
                </c:pt>
                <c:pt idx="301">
                  <c:v>66.703605999999994</c:v>
                </c:pt>
                <c:pt idx="302">
                  <c:v>190.91252881099228</c:v>
                </c:pt>
                <c:pt idx="303">
                  <c:v>190.91252881099228</c:v>
                </c:pt>
                <c:pt idx="304">
                  <c:v>190.91252881099228</c:v>
                </c:pt>
                <c:pt idx="305">
                  <c:v>168.41647399999999</c:v>
                </c:pt>
                <c:pt idx="306">
                  <c:v>160.74035500000002</c:v>
                </c:pt>
                <c:pt idx="307">
                  <c:v>96.925343999999996</c:v>
                </c:pt>
                <c:pt idx="308">
                  <c:v>69.066684999999993</c:v>
                </c:pt>
                <c:pt idx="309">
                  <c:v>65.583619000000013</c:v>
                </c:pt>
                <c:pt idx="310">
                  <c:v>43.716430000000003</c:v>
                </c:pt>
                <c:pt idx="311">
                  <c:v>84.449770999999998</c:v>
                </c:pt>
                <c:pt idx="312">
                  <c:v>224.60211030124373</c:v>
                </c:pt>
                <c:pt idx="313">
                  <c:v>224.60211030124373</c:v>
                </c:pt>
                <c:pt idx="314">
                  <c:v>224.60211030124373</c:v>
                </c:pt>
                <c:pt idx="315">
                  <c:v>208.77197900000002</c:v>
                </c:pt>
                <c:pt idx="316">
                  <c:v>197.841407</c:v>
                </c:pt>
                <c:pt idx="317">
                  <c:v>148.08566300000001</c:v>
                </c:pt>
                <c:pt idx="318">
                  <c:v>150.78561199999999</c:v>
                </c:pt>
                <c:pt idx="319">
                  <c:v>180.41785200000001</c:v>
                </c:pt>
                <c:pt idx="320">
                  <c:v>224.60211030124373</c:v>
                </c:pt>
                <c:pt idx="321">
                  <c:v>224.60211030124373</c:v>
                </c:pt>
                <c:pt idx="322">
                  <c:v>224.60211030124373</c:v>
                </c:pt>
                <c:pt idx="323">
                  <c:v>224.60211030124373</c:v>
                </c:pt>
                <c:pt idx="324">
                  <c:v>224.60211030124373</c:v>
                </c:pt>
                <c:pt idx="325">
                  <c:v>224.60211030124373</c:v>
                </c:pt>
                <c:pt idx="326">
                  <c:v>224.60211030124373</c:v>
                </c:pt>
                <c:pt idx="327">
                  <c:v>224.60211030124373</c:v>
                </c:pt>
                <c:pt idx="328">
                  <c:v>224.60211030124373</c:v>
                </c:pt>
                <c:pt idx="329">
                  <c:v>224.60211030124373</c:v>
                </c:pt>
                <c:pt idx="330">
                  <c:v>220.71728899999999</c:v>
                </c:pt>
                <c:pt idx="331">
                  <c:v>224.60211030124373</c:v>
                </c:pt>
                <c:pt idx="332">
                  <c:v>224.60211030124373</c:v>
                </c:pt>
                <c:pt idx="333">
                  <c:v>224.60211030124373</c:v>
                </c:pt>
                <c:pt idx="334">
                  <c:v>224.60211030124373</c:v>
                </c:pt>
                <c:pt idx="335">
                  <c:v>154.80910599999999</c:v>
                </c:pt>
                <c:pt idx="336">
                  <c:v>209.45663300000001</c:v>
                </c:pt>
                <c:pt idx="337">
                  <c:v>214.64264900000001</c:v>
                </c:pt>
                <c:pt idx="338">
                  <c:v>113.42716800000001</c:v>
                </c:pt>
                <c:pt idx="339">
                  <c:v>61.905279</c:v>
                </c:pt>
                <c:pt idx="340">
                  <c:v>185.92172600000004</c:v>
                </c:pt>
                <c:pt idx="341">
                  <c:v>227.83027735414711</c:v>
                </c:pt>
                <c:pt idx="342">
                  <c:v>227.83027735414711</c:v>
                </c:pt>
                <c:pt idx="343">
                  <c:v>188.073455</c:v>
                </c:pt>
                <c:pt idx="344">
                  <c:v>171.14663300000001</c:v>
                </c:pt>
                <c:pt idx="345">
                  <c:v>137.65219399999998</c:v>
                </c:pt>
                <c:pt idx="346">
                  <c:v>127.740013</c:v>
                </c:pt>
                <c:pt idx="347">
                  <c:v>157.16737400000002</c:v>
                </c:pt>
                <c:pt idx="348">
                  <c:v>147.338525</c:v>
                </c:pt>
                <c:pt idx="349">
                  <c:v>153.447981</c:v>
                </c:pt>
                <c:pt idx="350">
                  <c:v>216.746195</c:v>
                </c:pt>
                <c:pt idx="351">
                  <c:v>116.477103</c:v>
                </c:pt>
                <c:pt idx="352">
                  <c:v>59.148474999999998</c:v>
                </c:pt>
                <c:pt idx="353">
                  <c:v>134.68049600000001</c:v>
                </c:pt>
                <c:pt idx="354">
                  <c:v>108.841819</c:v>
                </c:pt>
                <c:pt idx="355">
                  <c:v>119.38858400000001</c:v>
                </c:pt>
                <c:pt idx="356">
                  <c:v>140.74793299999999</c:v>
                </c:pt>
                <c:pt idx="357">
                  <c:v>71.339642999999995</c:v>
                </c:pt>
                <c:pt idx="358">
                  <c:v>61.400863000000001</c:v>
                </c:pt>
                <c:pt idx="359">
                  <c:v>148.429001</c:v>
                </c:pt>
                <c:pt idx="360">
                  <c:v>73.126816999999988</c:v>
                </c:pt>
                <c:pt idx="361">
                  <c:v>106.41919600000001</c:v>
                </c:pt>
                <c:pt idx="362">
                  <c:v>227.83027735414711</c:v>
                </c:pt>
                <c:pt idx="363">
                  <c:v>227.83027735414711</c:v>
                </c:pt>
                <c:pt idx="364">
                  <c:v>227.83027735414711</c:v>
                </c:pt>
                <c:pt idx="365">
                  <c:v>185.28804300000002</c:v>
                </c:pt>
                <c:pt idx="366">
                  <c:v>212.990036</c:v>
                </c:pt>
                <c:pt idx="367">
                  <c:v>186.01996800000001</c:v>
                </c:pt>
                <c:pt idx="368">
                  <c:v>100.40978299999999</c:v>
                </c:pt>
                <c:pt idx="369">
                  <c:v>62.852412999999999</c:v>
                </c:pt>
                <c:pt idx="370">
                  <c:v>150.749279</c:v>
                </c:pt>
                <c:pt idx="371">
                  <c:v>222.39420268941305</c:v>
                </c:pt>
                <c:pt idx="372">
                  <c:v>222.39420268941305</c:v>
                </c:pt>
                <c:pt idx="373">
                  <c:v>222.39420268941305</c:v>
                </c:pt>
                <c:pt idx="374">
                  <c:v>222.39420268941305</c:v>
                </c:pt>
                <c:pt idx="375">
                  <c:v>222.39420268941305</c:v>
                </c:pt>
                <c:pt idx="376">
                  <c:v>178.32768299999998</c:v>
                </c:pt>
                <c:pt idx="377">
                  <c:v>222.39420268941305</c:v>
                </c:pt>
                <c:pt idx="378">
                  <c:v>222.39420268941305</c:v>
                </c:pt>
                <c:pt idx="379">
                  <c:v>90.665316000000004</c:v>
                </c:pt>
                <c:pt idx="380">
                  <c:v>222.39420268941305</c:v>
                </c:pt>
                <c:pt idx="381">
                  <c:v>222.39420268941305</c:v>
                </c:pt>
                <c:pt idx="382">
                  <c:v>180.96497999999997</c:v>
                </c:pt>
                <c:pt idx="383">
                  <c:v>87.045945000000003</c:v>
                </c:pt>
                <c:pt idx="384">
                  <c:v>70.674600999999996</c:v>
                </c:pt>
                <c:pt idx="385">
                  <c:v>55.528963000000005</c:v>
                </c:pt>
                <c:pt idx="386">
                  <c:v>123.83628299999999</c:v>
                </c:pt>
                <c:pt idx="387">
                  <c:v>202.52402599999999</c:v>
                </c:pt>
                <c:pt idx="388">
                  <c:v>222.39420268941305</c:v>
                </c:pt>
                <c:pt idx="389">
                  <c:v>161.91980600000002</c:v>
                </c:pt>
                <c:pt idx="390">
                  <c:v>222.39420268941305</c:v>
                </c:pt>
                <c:pt idx="391">
                  <c:v>166.89284499999999</c:v>
                </c:pt>
                <c:pt idx="392">
                  <c:v>105.192367</c:v>
                </c:pt>
                <c:pt idx="393">
                  <c:v>205.732089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31.279735412993375</c:v>
                </c:pt>
                <c:pt idx="1">
                  <c:v>40.665392179673312</c:v>
                </c:pt>
                <c:pt idx="2">
                  <c:v>49.183056419673321</c:v>
                </c:pt>
                <c:pt idx="3">
                  <c:v>39.208742935674245</c:v>
                </c:pt>
                <c:pt idx="4">
                  <c:v>48.748244543674247</c:v>
                </c:pt>
                <c:pt idx="5">
                  <c:v>45.612390035673315</c:v>
                </c:pt>
                <c:pt idx="6">
                  <c:v>60.487663323673317</c:v>
                </c:pt>
                <c:pt idx="7">
                  <c:v>36.825309775673311</c:v>
                </c:pt>
                <c:pt idx="8">
                  <c:v>62.473295105205558</c:v>
                </c:pt>
                <c:pt idx="9">
                  <c:v>54.805093327205562</c:v>
                </c:pt>
                <c:pt idx="10">
                  <c:v>60.894541755205559</c:v>
                </c:pt>
                <c:pt idx="11">
                  <c:v>58.971251285206492</c:v>
                </c:pt>
                <c:pt idx="12">
                  <c:v>60.365817731206498</c:v>
                </c:pt>
                <c:pt idx="13">
                  <c:v>63.499387503205561</c:v>
                </c:pt>
                <c:pt idx="14">
                  <c:v>88.284353825206495</c:v>
                </c:pt>
                <c:pt idx="15">
                  <c:v>105.48959278317858</c:v>
                </c:pt>
                <c:pt idx="16">
                  <c:v>76.019370677176724</c:v>
                </c:pt>
                <c:pt idx="17">
                  <c:v>83.188072599177659</c:v>
                </c:pt>
                <c:pt idx="18">
                  <c:v>72.543714351177655</c:v>
                </c:pt>
                <c:pt idx="19">
                  <c:v>62.839279283177653</c:v>
                </c:pt>
                <c:pt idx="20">
                  <c:v>63.955175147177648</c:v>
                </c:pt>
                <c:pt idx="21">
                  <c:v>70.828786761177639</c:v>
                </c:pt>
                <c:pt idx="22">
                  <c:v>96.006202122288954</c:v>
                </c:pt>
                <c:pt idx="23">
                  <c:v>108.60737218828989</c:v>
                </c:pt>
                <c:pt idx="24">
                  <c:v>101.19374737829082</c:v>
                </c:pt>
                <c:pt idx="25">
                  <c:v>97.527889272288945</c:v>
                </c:pt>
                <c:pt idx="26">
                  <c:v>76.892811546289892</c:v>
                </c:pt>
                <c:pt idx="27">
                  <c:v>87.390972582288953</c:v>
                </c:pt>
                <c:pt idx="28">
                  <c:v>99.47516137228989</c:v>
                </c:pt>
                <c:pt idx="29">
                  <c:v>76.206657651458613</c:v>
                </c:pt>
                <c:pt idx="30">
                  <c:v>77.826651207456749</c:v>
                </c:pt>
                <c:pt idx="31">
                  <c:v>78.903165601457687</c:v>
                </c:pt>
                <c:pt idx="32">
                  <c:v>63.104449265456751</c:v>
                </c:pt>
                <c:pt idx="33">
                  <c:v>52.137112857457687</c:v>
                </c:pt>
                <c:pt idx="34">
                  <c:v>70.88203800745768</c:v>
                </c:pt>
                <c:pt idx="35">
                  <c:v>95.389061031456762</c:v>
                </c:pt>
                <c:pt idx="36">
                  <c:v>75.626797753457225</c:v>
                </c:pt>
                <c:pt idx="37">
                  <c:v>55.29940189945723</c:v>
                </c:pt>
                <c:pt idx="38">
                  <c:v>51.852576833460027</c:v>
                </c:pt>
                <c:pt idx="39">
                  <c:v>69.861402067457234</c:v>
                </c:pt>
                <c:pt idx="40">
                  <c:v>39.9763521894563</c:v>
                </c:pt>
                <c:pt idx="41">
                  <c:v>45.858379089458161</c:v>
                </c:pt>
                <c:pt idx="42">
                  <c:v>72.10542832545724</c:v>
                </c:pt>
                <c:pt idx="43">
                  <c:v>96.026662481449165</c:v>
                </c:pt>
                <c:pt idx="44">
                  <c:v>80.384848453449166</c:v>
                </c:pt>
                <c:pt idx="45">
                  <c:v>73.85114523344825</c:v>
                </c:pt>
                <c:pt idx="46">
                  <c:v>64.603759637449173</c:v>
                </c:pt>
                <c:pt idx="47">
                  <c:v>71.977446119449169</c:v>
                </c:pt>
                <c:pt idx="48">
                  <c:v>78.683369269448249</c:v>
                </c:pt>
                <c:pt idx="49">
                  <c:v>82.294955059450103</c:v>
                </c:pt>
                <c:pt idx="50">
                  <c:v>90.835427421669962</c:v>
                </c:pt>
                <c:pt idx="51">
                  <c:v>106.85861408966996</c:v>
                </c:pt>
                <c:pt idx="52">
                  <c:v>109.20693919367089</c:v>
                </c:pt>
                <c:pt idx="53">
                  <c:v>78.726994011670868</c:v>
                </c:pt>
                <c:pt idx="54">
                  <c:v>90.988982781669961</c:v>
                </c:pt>
                <c:pt idx="55">
                  <c:v>100.91112083766902</c:v>
                </c:pt>
                <c:pt idx="56">
                  <c:v>103.94697229367088</c:v>
                </c:pt>
                <c:pt idx="57">
                  <c:v>98.988371420552696</c:v>
                </c:pt>
                <c:pt idx="58">
                  <c:v>113.96147318455084</c:v>
                </c:pt>
                <c:pt idx="59">
                  <c:v>117.7428588805527</c:v>
                </c:pt>
                <c:pt idx="60">
                  <c:v>104.66324693055364</c:v>
                </c:pt>
                <c:pt idx="61">
                  <c:v>83.089749126549904</c:v>
                </c:pt>
                <c:pt idx="62">
                  <c:v>91.147812052553633</c:v>
                </c:pt>
                <c:pt idx="63">
                  <c:v>110.9795229485527</c:v>
                </c:pt>
                <c:pt idx="64">
                  <c:v>107.19868597630743</c:v>
                </c:pt>
                <c:pt idx="65">
                  <c:v>86.735913152306495</c:v>
                </c:pt>
                <c:pt idx="66">
                  <c:v>69.040709436307438</c:v>
                </c:pt>
                <c:pt idx="67">
                  <c:v>72.560665806305579</c:v>
                </c:pt>
                <c:pt idx="68">
                  <c:v>64.773468066308368</c:v>
                </c:pt>
                <c:pt idx="69">
                  <c:v>79.196354340306513</c:v>
                </c:pt>
                <c:pt idx="70">
                  <c:v>83.306836604307435</c:v>
                </c:pt>
                <c:pt idx="71">
                  <c:v>64.428383028005015</c:v>
                </c:pt>
                <c:pt idx="72">
                  <c:v>54.806804084005954</c:v>
                </c:pt>
                <c:pt idx="73">
                  <c:v>61.542816572005016</c:v>
                </c:pt>
                <c:pt idx="74">
                  <c:v>40.073271944004091</c:v>
                </c:pt>
                <c:pt idx="75">
                  <c:v>39.138138080005952</c:v>
                </c:pt>
                <c:pt idx="76">
                  <c:v>49.149372322006876</c:v>
                </c:pt>
                <c:pt idx="77">
                  <c:v>51.711909812005018</c:v>
                </c:pt>
                <c:pt idx="78">
                  <c:v>61.126600312259811</c:v>
                </c:pt>
                <c:pt idx="79">
                  <c:v>65.134239836259823</c:v>
                </c:pt>
                <c:pt idx="80">
                  <c:v>62.055912656260752</c:v>
                </c:pt>
                <c:pt idx="81">
                  <c:v>57.729203064259814</c:v>
                </c:pt>
                <c:pt idx="82">
                  <c:v>52.652818350260745</c:v>
                </c:pt>
                <c:pt idx="83">
                  <c:v>62.72821390425981</c:v>
                </c:pt>
                <c:pt idx="84">
                  <c:v>55.779570632261674</c:v>
                </c:pt>
                <c:pt idx="85">
                  <c:v>37.185852168886534</c:v>
                </c:pt>
                <c:pt idx="86">
                  <c:v>32.869455544888396</c:v>
                </c:pt>
                <c:pt idx="87">
                  <c:v>34.865659270888401</c:v>
                </c:pt>
                <c:pt idx="88">
                  <c:v>41.332971382888395</c:v>
                </c:pt>
                <c:pt idx="89">
                  <c:v>28.298860492888402</c:v>
                </c:pt>
                <c:pt idx="90">
                  <c:v>38.8047019408884</c:v>
                </c:pt>
                <c:pt idx="91">
                  <c:v>48.831941006887469</c:v>
                </c:pt>
                <c:pt idx="92">
                  <c:v>41.13251892952826</c:v>
                </c:pt>
                <c:pt idx="93">
                  <c:v>52.464751009527326</c:v>
                </c:pt>
                <c:pt idx="94">
                  <c:v>46.033321545527329</c:v>
                </c:pt>
                <c:pt idx="95">
                  <c:v>32.1332122355264</c:v>
                </c:pt>
                <c:pt idx="96">
                  <c:v>24.055109761528257</c:v>
                </c:pt>
                <c:pt idx="97">
                  <c:v>30.429911945529188</c:v>
                </c:pt>
                <c:pt idx="98">
                  <c:v>29.289618123526395</c:v>
                </c:pt>
                <c:pt idx="99">
                  <c:v>22.816061077752288</c:v>
                </c:pt>
                <c:pt idx="100">
                  <c:v>25.394766507752291</c:v>
                </c:pt>
                <c:pt idx="101">
                  <c:v>30.109927453753226</c:v>
                </c:pt>
                <c:pt idx="102">
                  <c:v>26.411685901751355</c:v>
                </c:pt>
                <c:pt idx="103">
                  <c:v>19.34826807975136</c:v>
                </c:pt>
                <c:pt idx="104">
                  <c:v>46.143242131753219</c:v>
                </c:pt>
                <c:pt idx="105">
                  <c:v>42.386232761752289</c:v>
                </c:pt>
                <c:pt idx="106">
                  <c:v>29.875350020219035</c:v>
                </c:pt>
                <c:pt idx="107">
                  <c:v>5.6969416262199735</c:v>
                </c:pt>
                <c:pt idx="108">
                  <c:v>1.2285824382199717</c:v>
                </c:pt>
                <c:pt idx="109">
                  <c:v>10.587945084219973</c:v>
                </c:pt>
                <c:pt idx="110">
                  <c:v>1.4968882962209027</c:v>
                </c:pt>
                <c:pt idx="111">
                  <c:v>4.6390828182190385</c:v>
                </c:pt>
                <c:pt idx="112">
                  <c:v>7.8481299562199709</c:v>
                </c:pt>
                <c:pt idx="113">
                  <c:v>19.553716010242528</c:v>
                </c:pt>
                <c:pt idx="114">
                  <c:v>11.837183138243461</c:v>
                </c:pt>
                <c:pt idx="115">
                  <c:v>13.610529506245326</c:v>
                </c:pt>
                <c:pt idx="116">
                  <c:v>14.079669344244394</c:v>
                </c:pt>
                <c:pt idx="117">
                  <c:v>14.795590156243463</c:v>
                </c:pt>
                <c:pt idx="118">
                  <c:v>16.280848046242532</c:v>
                </c:pt>
                <c:pt idx="119">
                  <c:v>21.948123164243466</c:v>
                </c:pt>
                <c:pt idx="120">
                  <c:v>9.1809477699111923</c:v>
                </c:pt>
                <c:pt idx="121">
                  <c:v>13.906702505911191</c:v>
                </c:pt>
                <c:pt idx="122">
                  <c:v>18.26130749391119</c:v>
                </c:pt>
                <c:pt idx="123">
                  <c:v>13.311754027910261</c:v>
                </c:pt>
                <c:pt idx="124">
                  <c:v>10.862065957910261</c:v>
                </c:pt>
                <c:pt idx="125">
                  <c:v>12.640432783910262</c:v>
                </c:pt>
                <c:pt idx="126">
                  <c:v>9.9000488619102622</c:v>
                </c:pt>
                <c:pt idx="127">
                  <c:v>11.283998423679</c:v>
                </c:pt>
                <c:pt idx="128">
                  <c:v>8.9849090036817945</c:v>
                </c:pt>
                <c:pt idx="129">
                  <c:v>9.7572991336799308</c:v>
                </c:pt>
                <c:pt idx="130">
                  <c:v>10.604230937679</c:v>
                </c:pt>
                <c:pt idx="131">
                  <c:v>6.8015913716790015</c:v>
                </c:pt>
                <c:pt idx="132">
                  <c:v>9.1149374676808659</c:v>
                </c:pt>
                <c:pt idx="133">
                  <c:v>8.5235670636790015</c:v>
                </c:pt>
                <c:pt idx="134">
                  <c:v>4.7929471573210609</c:v>
                </c:pt>
                <c:pt idx="135">
                  <c:v>6.4864265373191961</c:v>
                </c:pt>
                <c:pt idx="136">
                  <c:v>1.4838149653201254</c:v>
                </c:pt>
                <c:pt idx="137">
                  <c:v>1.2497050733191937</c:v>
                </c:pt>
                <c:pt idx="138">
                  <c:v>1.4202057053201278</c:v>
                </c:pt>
                <c:pt idx="139">
                  <c:v>0.75884421532105628</c:v>
                </c:pt>
                <c:pt idx="140">
                  <c:v>1.145779831319196</c:v>
                </c:pt>
                <c:pt idx="141">
                  <c:v>20.095398515821355</c:v>
                </c:pt>
                <c:pt idx="142">
                  <c:v>2.558431247822289</c:v>
                </c:pt>
                <c:pt idx="143">
                  <c:v>9.7333589778213572</c:v>
                </c:pt>
                <c:pt idx="144">
                  <c:v>1.8437223678213559</c:v>
                </c:pt>
                <c:pt idx="145">
                  <c:v>6.3252045378232218</c:v>
                </c:pt>
                <c:pt idx="146">
                  <c:v>2.6187397778213564</c:v>
                </c:pt>
                <c:pt idx="147">
                  <c:v>3.9734406878222872</c:v>
                </c:pt>
                <c:pt idx="148">
                  <c:v>2.3285343500869931</c:v>
                </c:pt>
                <c:pt idx="149">
                  <c:v>3.0132909940860628</c:v>
                </c:pt>
                <c:pt idx="150">
                  <c:v>7.9956250000860596</c:v>
                </c:pt>
                <c:pt idx="151">
                  <c:v>1.3761316360860618</c:v>
                </c:pt>
                <c:pt idx="152">
                  <c:v>1.0365645200851323</c:v>
                </c:pt>
                <c:pt idx="153">
                  <c:v>3.4157058080869973</c:v>
                </c:pt>
                <c:pt idx="154">
                  <c:v>5.5336346980869928</c:v>
                </c:pt>
                <c:pt idx="155">
                  <c:v>1.0150136552845797</c:v>
                </c:pt>
                <c:pt idx="156">
                  <c:v>1.4196845172845787</c:v>
                </c:pt>
                <c:pt idx="157">
                  <c:v>1.344578549284579</c:v>
                </c:pt>
                <c:pt idx="158">
                  <c:v>0.84473048328457667</c:v>
                </c:pt>
                <c:pt idx="159">
                  <c:v>0.6848620392845769</c:v>
                </c:pt>
                <c:pt idx="160">
                  <c:v>1.3548702392864398</c:v>
                </c:pt>
                <c:pt idx="161">
                  <c:v>0.71445054728457758</c:v>
                </c:pt>
                <c:pt idx="162">
                  <c:v>4.951292308998454</c:v>
                </c:pt>
                <c:pt idx="163">
                  <c:v>1.8089405069993882</c:v>
                </c:pt>
                <c:pt idx="164">
                  <c:v>1.2088658429984571</c:v>
                </c:pt>
                <c:pt idx="165">
                  <c:v>2.0559283149993899</c:v>
                </c:pt>
                <c:pt idx="166">
                  <c:v>1.3494826249993894</c:v>
                </c:pt>
                <c:pt idx="167">
                  <c:v>1.4888449209993888</c:v>
                </c:pt>
                <c:pt idx="168">
                  <c:v>1.9584668109975283</c:v>
                </c:pt>
                <c:pt idx="169">
                  <c:v>2.0455242808154872</c:v>
                </c:pt>
                <c:pt idx="170">
                  <c:v>4.2989096648145573</c:v>
                </c:pt>
                <c:pt idx="171">
                  <c:v>12.690759120815484</c:v>
                </c:pt>
                <c:pt idx="172">
                  <c:v>8.6578875528154864</c:v>
                </c:pt>
                <c:pt idx="173">
                  <c:v>0.61437914281455597</c:v>
                </c:pt>
                <c:pt idx="174">
                  <c:v>3.5108373468164173</c:v>
                </c:pt>
                <c:pt idx="175">
                  <c:v>14.344237460814554</c:v>
                </c:pt>
                <c:pt idx="176">
                  <c:v>8.5498916085703378</c:v>
                </c:pt>
                <c:pt idx="177">
                  <c:v>1.5303369785712713</c:v>
                </c:pt>
                <c:pt idx="178">
                  <c:v>0.83904528857127303</c:v>
                </c:pt>
                <c:pt idx="179">
                  <c:v>6.8410561985703389</c:v>
                </c:pt>
                <c:pt idx="180">
                  <c:v>1.2625524625712714</c:v>
                </c:pt>
                <c:pt idx="181">
                  <c:v>7.5174735565703381</c:v>
                </c:pt>
                <c:pt idx="182">
                  <c:v>19.776171736570337</c:v>
                </c:pt>
                <c:pt idx="183">
                  <c:v>8.722780433249012</c:v>
                </c:pt>
                <c:pt idx="184">
                  <c:v>3.75937736524715</c:v>
                </c:pt>
                <c:pt idx="185">
                  <c:v>0.88406260924808155</c:v>
                </c:pt>
                <c:pt idx="186">
                  <c:v>1.0237342512480792</c:v>
                </c:pt>
                <c:pt idx="187">
                  <c:v>0.77966490724714821</c:v>
                </c:pt>
                <c:pt idx="188">
                  <c:v>1.1887372492471477</c:v>
                </c:pt>
                <c:pt idx="189">
                  <c:v>1.0673817012471483</c:v>
                </c:pt>
                <c:pt idx="190">
                  <c:v>2.861113293107628</c:v>
                </c:pt>
                <c:pt idx="191">
                  <c:v>14.729327259105769</c:v>
                </c:pt>
                <c:pt idx="192">
                  <c:v>35.028359161107623</c:v>
                </c:pt>
                <c:pt idx="193">
                  <c:v>13.304091817105764</c:v>
                </c:pt>
                <c:pt idx="194">
                  <c:v>3.8972143651076294</c:v>
                </c:pt>
                <c:pt idx="195">
                  <c:v>5.1029455751057649</c:v>
                </c:pt>
                <c:pt idx="196">
                  <c:v>15.392030115107627</c:v>
                </c:pt>
                <c:pt idx="197">
                  <c:v>12.323274605496154</c:v>
                </c:pt>
                <c:pt idx="198">
                  <c:v>31.926451273495221</c:v>
                </c:pt>
                <c:pt idx="199">
                  <c:v>36.880526189495228</c:v>
                </c:pt>
                <c:pt idx="200">
                  <c:v>16.045436705495224</c:v>
                </c:pt>
                <c:pt idx="201">
                  <c:v>13.812473805496156</c:v>
                </c:pt>
                <c:pt idx="202">
                  <c:v>28.333530505496157</c:v>
                </c:pt>
                <c:pt idx="203">
                  <c:v>28.85055041349429</c:v>
                </c:pt>
                <c:pt idx="204">
                  <c:v>18.883001663328205</c:v>
                </c:pt>
                <c:pt idx="205">
                  <c:v>15.002863983329139</c:v>
                </c:pt>
                <c:pt idx="206">
                  <c:v>15.342557020327281</c:v>
                </c:pt>
                <c:pt idx="207">
                  <c:v>7.3419266263291432</c:v>
                </c:pt>
                <c:pt idx="208">
                  <c:v>1.2835539603282087</c:v>
                </c:pt>
                <c:pt idx="209">
                  <c:v>1.0723605263272766</c:v>
                </c:pt>
                <c:pt idx="210">
                  <c:v>0.7543829633291389</c:v>
                </c:pt>
                <c:pt idx="211">
                  <c:v>0.58730482457556721</c:v>
                </c:pt>
                <c:pt idx="212">
                  <c:v>1.5463534845746363</c:v>
                </c:pt>
                <c:pt idx="213">
                  <c:v>15.887395672575567</c:v>
                </c:pt>
                <c:pt idx="214">
                  <c:v>11.164280907575565</c:v>
                </c:pt>
                <c:pt idx="215">
                  <c:v>7.9122592325755665</c:v>
                </c:pt>
                <c:pt idx="216">
                  <c:v>20.836308586575566</c:v>
                </c:pt>
                <c:pt idx="217">
                  <c:v>16.374421057575567</c:v>
                </c:pt>
                <c:pt idx="218">
                  <c:v>8.6200838880381276</c:v>
                </c:pt>
                <c:pt idx="219">
                  <c:v>9.3206282890390568</c:v>
                </c:pt>
                <c:pt idx="220">
                  <c:v>13.718987029038125</c:v>
                </c:pt>
                <c:pt idx="221">
                  <c:v>5.6873968090381259</c:v>
                </c:pt>
                <c:pt idx="222">
                  <c:v>4.7046773290381259</c:v>
                </c:pt>
                <c:pt idx="223">
                  <c:v>14.868684329039057</c:v>
                </c:pt>
                <c:pt idx="224">
                  <c:v>11.643986429039058</c:v>
                </c:pt>
                <c:pt idx="225">
                  <c:v>8.0045478843297495</c:v>
                </c:pt>
                <c:pt idx="226">
                  <c:v>13.789712744328819</c:v>
                </c:pt>
                <c:pt idx="227">
                  <c:v>13.052763888329748</c:v>
                </c:pt>
                <c:pt idx="228">
                  <c:v>8.0933909843288188</c:v>
                </c:pt>
                <c:pt idx="229">
                  <c:v>9.3252266443297493</c:v>
                </c:pt>
                <c:pt idx="230">
                  <c:v>13.83965312432975</c:v>
                </c:pt>
                <c:pt idx="231">
                  <c:v>13.928123504328818</c:v>
                </c:pt>
                <c:pt idx="232">
                  <c:v>35.992593623746593</c:v>
                </c:pt>
                <c:pt idx="233">
                  <c:v>41.817164023747523</c:v>
                </c:pt>
                <c:pt idx="234">
                  <c:v>48.173908019746591</c:v>
                </c:pt>
                <c:pt idx="235">
                  <c:v>42.896840683746589</c:v>
                </c:pt>
                <c:pt idx="236">
                  <c:v>43.311794262746588</c:v>
                </c:pt>
                <c:pt idx="237">
                  <c:v>55.407811499746586</c:v>
                </c:pt>
                <c:pt idx="238">
                  <c:v>44.68847854174566</c:v>
                </c:pt>
                <c:pt idx="239">
                  <c:v>65.112371026325349</c:v>
                </c:pt>
                <c:pt idx="240">
                  <c:v>50.107547146325345</c:v>
                </c:pt>
                <c:pt idx="241">
                  <c:v>52.928805754324408</c:v>
                </c:pt>
                <c:pt idx="242">
                  <c:v>54.124593021325346</c:v>
                </c:pt>
                <c:pt idx="243">
                  <c:v>56.34280086632441</c:v>
                </c:pt>
                <c:pt idx="244">
                  <c:v>56.065740652324415</c:v>
                </c:pt>
                <c:pt idx="245">
                  <c:v>55.076187238325346</c:v>
                </c:pt>
                <c:pt idx="246">
                  <c:v>48.425857542046465</c:v>
                </c:pt>
                <c:pt idx="247">
                  <c:v>49.6583143780474</c:v>
                </c:pt>
                <c:pt idx="248">
                  <c:v>46.57988732604646</c:v>
                </c:pt>
                <c:pt idx="249">
                  <c:v>40.598709918047398</c:v>
                </c:pt>
                <c:pt idx="250">
                  <c:v>40.303915262046466</c:v>
                </c:pt>
                <c:pt idx="251">
                  <c:v>48.816425262047403</c:v>
                </c:pt>
                <c:pt idx="252">
                  <c:v>44.846004198047396</c:v>
                </c:pt>
                <c:pt idx="253">
                  <c:v>40.210301950567583</c:v>
                </c:pt>
                <c:pt idx="254">
                  <c:v>42.183786190569442</c:v>
                </c:pt>
                <c:pt idx="255">
                  <c:v>35.259605954567583</c:v>
                </c:pt>
                <c:pt idx="256">
                  <c:v>33.117230706570382</c:v>
                </c:pt>
                <c:pt idx="257">
                  <c:v>35.898128154565725</c:v>
                </c:pt>
                <c:pt idx="258">
                  <c:v>40.284799802569445</c:v>
                </c:pt>
                <c:pt idx="259">
                  <c:v>36.520872542569442</c:v>
                </c:pt>
                <c:pt idx="260">
                  <c:v>50.810418460735974</c:v>
                </c:pt>
                <c:pt idx="261">
                  <c:v>53.929281809736899</c:v>
                </c:pt>
                <c:pt idx="262">
                  <c:v>62.131612867738767</c:v>
                </c:pt>
                <c:pt idx="263">
                  <c:v>54.420209876736905</c:v>
                </c:pt>
                <c:pt idx="264">
                  <c:v>53.518528580737829</c:v>
                </c:pt>
                <c:pt idx="265">
                  <c:v>62.131172240737833</c:v>
                </c:pt>
                <c:pt idx="266">
                  <c:v>73.563721316736903</c:v>
                </c:pt>
                <c:pt idx="267">
                  <c:v>132.91856463312783</c:v>
                </c:pt>
                <c:pt idx="268">
                  <c:v>146.27818403312966</c:v>
                </c:pt>
                <c:pt idx="269">
                  <c:v>139.25365684112688</c:v>
                </c:pt>
                <c:pt idx="270">
                  <c:v>144.99080638912872</c:v>
                </c:pt>
                <c:pt idx="271">
                  <c:v>137.60218416912781</c:v>
                </c:pt>
                <c:pt idx="272">
                  <c:v>124.6874201251278</c:v>
                </c:pt>
                <c:pt idx="273">
                  <c:v>156.9668081931278</c:v>
                </c:pt>
                <c:pt idx="274">
                  <c:v>78.008705493811078</c:v>
                </c:pt>
                <c:pt idx="275">
                  <c:v>70.797097722812012</c:v>
                </c:pt>
                <c:pt idx="276">
                  <c:v>76.424206708811099</c:v>
                </c:pt>
                <c:pt idx="277">
                  <c:v>79.337202661810153</c:v>
                </c:pt>
                <c:pt idx="278">
                  <c:v>77.282747661811086</c:v>
                </c:pt>
                <c:pt idx="279">
                  <c:v>74.790135021811096</c:v>
                </c:pt>
                <c:pt idx="280">
                  <c:v>73.873102701812016</c:v>
                </c:pt>
                <c:pt idx="281">
                  <c:v>83.25524646274809</c:v>
                </c:pt>
                <c:pt idx="282">
                  <c:v>78.200729502751827</c:v>
                </c:pt>
                <c:pt idx="283">
                  <c:v>81.242425742749973</c:v>
                </c:pt>
                <c:pt idx="284">
                  <c:v>65.708957131749969</c:v>
                </c:pt>
                <c:pt idx="285">
                  <c:v>67.742122181749025</c:v>
                </c:pt>
                <c:pt idx="286">
                  <c:v>74.222568034749969</c:v>
                </c:pt>
                <c:pt idx="287">
                  <c:v>101.85167531074997</c:v>
                </c:pt>
                <c:pt idx="288">
                  <c:v>289.86074061030251</c:v>
                </c:pt>
                <c:pt idx="289">
                  <c:v>284.54769954630444</c:v>
                </c:pt>
                <c:pt idx="290">
                  <c:v>307.98983931430348</c:v>
                </c:pt>
                <c:pt idx="291">
                  <c:v>302.0154462823034</c:v>
                </c:pt>
                <c:pt idx="292">
                  <c:v>247.77309099030251</c:v>
                </c:pt>
                <c:pt idx="293">
                  <c:v>269.45547892630435</c:v>
                </c:pt>
                <c:pt idx="294">
                  <c:v>283.37033685830437</c:v>
                </c:pt>
                <c:pt idx="295">
                  <c:v>216.08716630322749</c:v>
                </c:pt>
                <c:pt idx="296">
                  <c:v>230.81324102322563</c:v>
                </c:pt>
                <c:pt idx="297">
                  <c:v>208.30023159122655</c:v>
                </c:pt>
                <c:pt idx="298">
                  <c:v>181.29447120322658</c:v>
                </c:pt>
                <c:pt idx="299">
                  <c:v>167.15576251522654</c:v>
                </c:pt>
                <c:pt idx="300">
                  <c:v>203.88989757522563</c:v>
                </c:pt>
                <c:pt idx="301">
                  <c:v>233.8799983832275</c:v>
                </c:pt>
                <c:pt idx="302">
                  <c:v>193.42706543876241</c:v>
                </c:pt>
                <c:pt idx="303">
                  <c:v>195.83576991875964</c:v>
                </c:pt>
                <c:pt idx="304">
                  <c:v>180.58791271476244</c:v>
                </c:pt>
                <c:pt idx="305">
                  <c:v>180.64716726676147</c:v>
                </c:pt>
                <c:pt idx="306">
                  <c:v>184.78891499076244</c:v>
                </c:pt>
                <c:pt idx="307">
                  <c:v>244.50320051076056</c:v>
                </c:pt>
                <c:pt idx="308">
                  <c:v>261.70456261476147</c:v>
                </c:pt>
                <c:pt idx="309">
                  <c:v>209.39474584719699</c:v>
                </c:pt>
                <c:pt idx="310">
                  <c:v>214.371626552197</c:v>
                </c:pt>
                <c:pt idx="311">
                  <c:v>202.38816227619512</c:v>
                </c:pt>
                <c:pt idx="312">
                  <c:v>145.55916480019513</c:v>
                </c:pt>
                <c:pt idx="313">
                  <c:v>152.323538516197</c:v>
                </c:pt>
                <c:pt idx="314">
                  <c:v>173.53116320419701</c:v>
                </c:pt>
                <c:pt idx="315">
                  <c:v>220.26875334819513</c:v>
                </c:pt>
                <c:pt idx="316">
                  <c:v>192.5710449574604</c:v>
                </c:pt>
                <c:pt idx="317">
                  <c:v>204.5784574534604</c:v>
                </c:pt>
                <c:pt idx="318">
                  <c:v>208.32460987346039</c:v>
                </c:pt>
                <c:pt idx="319">
                  <c:v>185.10954953746227</c:v>
                </c:pt>
                <c:pt idx="320">
                  <c:v>125.00584058545854</c:v>
                </c:pt>
                <c:pt idx="321">
                  <c:v>142.93200117346228</c:v>
                </c:pt>
                <c:pt idx="322">
                  <c:v>139.53542649845855</c:v>
                </c:pt>
                <c:pt idx="323">
                  <c:v>210.03939627556045</c:v>
                </c:pt>
                <c:pt idx="324">
                  <c:v>212.57782873355859</c:v>
                </c:pt>
                <c:pt idx="325">
                  <c:v>233.41317704555675</c:v>
                </c:pt>
                <c:pt idx="326">
                  <c:v>216.84184448956046</c:v>
                </c:pt>
                <c:pt idx="327">
                  <c:v>209.10542282955862</c:v>
                </c:pt>
                <c:pt idx="328">
                  <c:v>237.83656097755673</c:v>
                </c:pt>
                <c:pt idx="329">
                  <c:v>265.54094923356047</c:v>
                </c:pt>
                <c:pt idx="330">
                  <c:v>175.17871750291602</c:v>
                </c:pt>
                <c:pt idx="331">
                  <c:v>170.86068855092162</c:v>
                </c:pt>
                <c:pt idx="332">
                  <c:v>152.21228546691788</c:v>
                </c:pt>
                <c:pt idx="333">
                  <c:v>118.46477353891974</c:v>
                </c:pt>
                <c:pt idx="334">
                  <c:v>117.16378841892161</c:v>
                </c:pt>
                <c:pt idx="335">
                  <c:v>167.22598204691789</c:v>
                </c:pt>
                <c:pt idx="336">
                  <c:v>156.98586410691601</c:v>
                </c:pt>
                <c:pt idx="337">
                  <c:v>109.03309077138364</c:v>
                </c:pt>
                <c:pt idx="338">
                  <c:v>110.26363983538177</c:v>
                </c:pt>
                <c:pt idx="339">
                  <c:v>114.63091317137805</c:v>
                </c:pt>
                <c:pt idx="340">
                  <c:v>66.753752903383628</c:v>
                </c:pt>
                <c:pt idx="341">
                  <c:v>34.78218156738177</c:v>
                </c:pt>
                <c:pt idx="342">
                  <c:v>54.500162847379904</c:v>
                </c:pt>
                <c:pt idx="343">
                  <c:v>98.063543611379913</c:v>
                </c:pt>
                <c:pt idx="344">
                  <c:v>105.16722153277999</c:v>
                </c:pt>
                <c:pt idx="345">
                  <c:v>89.486015136778136</c:v>
                </c:pt>
                <c:pt idx="346">
                  <c:v>92.054752980778133</c:v>
                </c:pt>
                <c:pt idx="347">
                  <c:v>63.116028124776278</c:v>
                </c:pt>
                <c:pt idx="348">
                  <c:v>58.134459388780002</c:v>
                </c:pt>
                <c:pt idx="349">
                  <c:v>73.263080304778143</c:v>
                </c:pt>
                <c:pt idx="350">
                  <c:v>62.306540532776268</c:v>
                </c:pt>
                <c:pt idx="351">
                  <c:v>73.531928758387934</c:v>
                </c:pt>
                <c:pt idx="352">
                  <c:v>76.053243566387934</c:v>
                </c:pt>
                <c:pt idx="353">
                  <c:v>60.426528206387943</c:v>
                </c:pt>
                <c:pt idx="354">
                  <c:v>55.316475114384218</c:v>
                </c:pt>
                <c:pt idx="355">
                  <c:v>46.887263002386071</c:v>
                </c:pt>
                <c:pt idx="356">
                  <c:v>55.109618946389801</c:v>
                </c:pt>
                <c:pt idx="357">
                  <c:v>69.806273530386065</c:v>
                </c:pt>
                <c:pt idx="358">
                  <c:v>79.245709382491881</c:v>
                </c:pt>
                <c:pt idx="359">
                  <c:v>71.616866294493732</c:v>
                </c:pt>
                <c:pt idx="360">
                  <c:v>87.473997022493748</c:v>
                </c:pt>
                <c:pt idx="361">
                  <c:v>78.828305238490017</c:v>
                </c:pt>
                <c:pt idx="362">
                  <c:v>40.052989714493741</c:v>
                </c:pt>
                <c:pt idx="363">
                  <c:v>41.832245766493749</c:v>
                </c:pt>
                <c:pt idx="364">
                  <c:v>59.689216074493743</c:v>
                </c:pt>
                <c:pt idx="365">
                  <c:v>63.845889240687391</c:v>
                </c:pt>
                <c:pt idx="366">
                  <c:v>65.594713584685536</c:v>
                </c:pt>
                <c:pt idx="367">
                  <c:v>63.735669172687395</c:v>
                </c:pt>
                <c:pt idx="368">
                  <c:v>68.749519408687391</c:v>
                </c:pt>
                <c:pt idx="369">
                  <c:v>73.192417176687385</c:v>
                </c:pt>
                <c:pt idx="370">
                  <c:v>65.045856980683681</c:v>
                </c:pt>
                <c:pt idx="371">
                  <c:v>29.680922709689256</c:v>
                </c:pt>
                <c:pt idx="372">
                  <c:v>84.243647918236263</c:v>
                </c:pt>
                <c:pt idx="373">
                  <c:v>81.759938380236278</c:v>
                </c:pt>
                <c:pt idx="374">
                  <c:v>75.292607818238125</c:v>
                </c:pt>
                <c:pt idx="375">
                  <c:v>73.712334547238129</c:v>
                </c:pt>
                <c:pt idx="376">
                  <c:v>92.286320339236269</c:v>
                </c:pt>
                <c:pt idx="377">
                  <c:v>82.872276331234403</c:v>
                </c:pt>
                <c:pt idx="378">
                  <c:v>92.154447647236253</c:v>
                </c:pt>
                <c:pt idx="379">
                  <c:v>124.34518904481936</c:v>
                </c:pt>
                <c:pt idx="380">
                  <c:v>95.956148556819358</c:v>
                </c:pt>
                <c:pt idx="381">
                  <c:v>91.613632812819361</c:v>
                </c:pt>
                <c:pt idx="382">
                  <c:v>103.17959691681936</c:v>
                </c:pt>
                <c:pt idx="383">
                  <c:v>95.411051064821223</c:v>
                </c:pt>
                <c:pt idx="384">
                  <c:v>113.2834192728175</c:v>
                </c:pt>
                <c:pt idx="385">
                  <c:v>112.77105030081937</c:v>
                </c:pt>
                <c:pt idx="386">
                  <c:v>85.567416835179571</c:v>
                </c:pt>
                <c:pt idx="387">
                  <c:v>75.413188003183294</c:v>
                </c:pt>
                <c:pt idx="388">
                  <c:v>72.71037366717772</c:v>
                </c:pt>
                <c:pt idx="389">
                  <c:v>62.063371844181432</c:v>
                </c:pt>
                <c:pt idx="390">
                  <c:v>47.909107123179574</c:v>
                </c:pt>
                <c:pt idx="391">
                  <c:v>85.160162743181445</c:v>
                </c:pt>
                <c:pt idx="392">
                  <c:v>98.305163666181443</c:v>
                </c:pt>
                <c:pt idx="393">
                  <c:v>64.599935202706135</c:v>
                </c:pt>
                <c:pt idx="394">
                  <c:v>58.873206382707991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128.70213492494773</c:v>
                </c:pt>
                <c:pt idx="1">
                  <c:v>128.70213492494773</c:v>
                </c:pt>
                <c:pt idx="2">
                  <c:v>128.70213492494773</c:v>
                </c:pt>
                <c:pt idx="3">
                  <c:v>128.70213492494773</c:v>
                </c:pt>
                <c:pt idx="4">
                  <c:v>128.70213492494773</c:v>
                </c:pt>
                <c:pt idx="5">
                  <c:v>128.70213492494773</c:v>
                </c:pt>
                <c:pt idx="6">
                  <c:v>128.70213492494773</c:v>
                </c:pt>
                <c:pt idx="7">
                  <c:v>128.70213492494773</c:v>
                </c:pt>
                <c:pt idx="8">
                  <c:v>128.70213492494773</c:v>
                </c:pt>
                <c:pt idx="9">
                  <c:v>128.70213492494773</c:v>
                </c:pt>
                <c:pt idx="10">
                  <c:v>128.70213492494773</c:v>
                </c:pt>
                <c:pt idx="11">
                  <c:v>128.70213492494773</c:v>
                </c:pt>
                <c:pt idx="12">
                  <c:v>128.70213492494773</c:v>
                </c:pt>
                <c:pt idx="13">
                  <c:v>128.70213492494773</c:v>
                </c:pt>
                <c:pt idx="14">
                  <c:v>128.70213492494773</c:v>
                </c:pt>
                <c:pt idx="15">
                  <c:v>128.70213492494773</c:v>
                </c:pt>
                <c:pt idx="16">
                  <c:v>128.70213492494773</c:v>
                </c:pt>
                <c:pt idx="17">
                  <c:v>128.70213492494773</c:v>
                </c:pt>
                <c:pt idx="18">
                  <c:v>128.70213492494773</c:v>
                </c:pt>
                <c:pt idx="19">
                  <c:v>128.70213492494773</c:v>
                </c:pt>
                <c:pt idx="20">
                  <c:v>128.70213492494773</c:v>
                </c:pt>
                <c:pt idx="21">
                  <c:v>128.70213492494773</c:v>
                </c:pt>
                <c:pt idx="22">
                  <c:v>128.70213492494773</c:v>
                </c:pt>
                <c:pt idx="23">
                  <c:v>128.70213492494773</c:v>
                </c:pt>
                <c:pt idx="24">
                  <c:v>128.70213492494773</c:v>
                </c:pt>
                <c:pt idx="25">
                  <c:v>128.70213492494773</c:v>
                </c:pt>
                <c:pt idx="26">
                  <c:v>128.70213492494773</c:v>
                </c:pt>
                <c:pt idx="27">
                  <c:v>128.70213492494773</c:v>
                </c:pt>
                <c:pt idx="28">
                  <c:v>128.70213492494773</c:v>
                </c:pt>
                <c:pt idx="29">
                  <c:v>128.70213492494773</c:v>
                </c:pt>
                <c:pt idx="30">
                  <c:v>128.70213492494773</c:v>
                </c:pt>
                <c:pt idx="31">
                  <c:v>125.24455872987446</c:v>
                </c:pt>
                <c:pt idx="32">
                  <c:v>125.24455872987446</c:v>
                </c:pt>
                <c:pt idx="33">
                  <c:v>125.24455872987446</c:v>
                </c:pt>
                <c:pt idx="34">
                  <c:v>125.24455872987446</c:v>
                </c:pt>
                <c:pt idx="35">
                  <c:v>125.24455872987446</c:v>
                </c:pt>
                <c:pt idx="36">
                  <c:v>125.24455872987446</c:v>
                </c:pt>
                <c:pt idx="37">
                  <c:v>125.24455872987446</c:v>
                </c:pt>
                <c:pt idx="38">
                  <c:v>125.24455872987446</c:v>
                </c:pt>
                <c:pt idx="39">
                  <c:v>125.24455872987446</c:v>
                </c:pt>
                <c:pt idx="40">
                  <c:v>125.24455872987446</c:v>
                </c:pt>
                <c:pt idx="41">
                  <c:v>125.24455872987446</c:v>
                </c:pt>
                <c:pt idx="42">
                  <c:v>125.24455872987446</c:v>
                </c:pt>
                <c:pt idx="43">
                  <c:v>125.24455872987446</c:v>
                </c:pt>
                <c:pt idx="44">
                  <c:v>125.24455872987446</c:v>
                </c:pt>
                <c:pt idx="45">
                  <c:v>125.24455872987446</c:v>
                </c:pt>
                <c:pt idx="46">
                  <c:v>125.24455872987446</c:v>
                </c:pt>
                <c:pt idx="47">
                  <c:v>125.24455872987446</c:v>
                </c:pt>
                <c:pt idx="48">
                  <c:v>125.24455872987446</c:v>
                </c:pt>
                <c:pt idx="49">
                  <c:v>125.24455872987446</c:v>
                </c:pt>
                <c:pt idx="50">
                  <c:v>125.24455872987446</c:v>
                </c:pt>
                <c:pt idx="51">
                  <c:v>125.24455872987446</c:v>
                </c:pt>
                <c:pt idx="52">
                  <c:v>125.24455872987446</c:v>
                </c:pt>
                <c:pt idx="53">
                  <c:v>125.24455872987446</c:v>
                </c:pt>
                <c:pt idx="54">
                  <c:v>125.24455872987446</c:v>
                </c:pt>
                <c:pt idx="55">
                  <c:v>125.24455872987446</c:v>
                </c:pt>
                <c:pt idx="56">
                  <c:v>125.24455872987446</c:v>
                </c:pt>
                <c:pt idx="57">
                  <c:v>125.24455872987446</c:v>
                </c:pt>
                <c:pt idx="58">
                  <c:v>125.24455872987446</c:v>
                </c:pt>
                <c:pt idx="59">
                  <c:v>125.24455872987446</c:v>
                </c:pt>
                <c:pt idx="60">
                  <c:v>125.24455872987446</c:v>
                </c:pt>
                <c:pt idx="61">
                  <c:v>99.174715760964361</c:v>
                </c:pt>
                <c:pt idx="62">
                  <c:v>99.174715760964361</c:v>
                </c:pt>
                <c:pt idx="63">
                  <c:v>99.174715760964361</c:v>
                </c:pt>
                <c:pt idx="64">
                  <c:v>99.174715760964361</c:v>
                </c:pt>
                <c:pt idx="65">
                  <c:v>99.174715760964361</c:v>
                </c:pt>
                <c:pt idx="66">
                  <c:v>99.174715760964361</c:v>
                </c:pt>
                <c:pt idx="67">
                  <c:v>99.174715760964361</c:v>
                </c:pt>
                <c:pt idx="68">
                  <c:v>99.174715760964361</c:v>
                </c:pt>
                <c:pt idx="69">
                  <c:v>99.174715760964361</c:v>
                </c:pt>
                <c:pt idx="70">
                  <c:v>99.174715760964361</c:v>
                </c:pt>
                <c:pt idx="71">
                  <c:v>99.174715760964361</c:v>
                </c:pt>
                <c:pt idx="72">
                  <c:v>99.174715760964361</c:v>
                </c:pt>
                <c:pt idx="73">
                  <c:v>99.174715760964361</c:v>
                </c:pt>
                <c:pt idx="74">
                  <c:v>99.174715760964361</c:v>
                </c:pt>
                <c:pt idx="75">
                  <c:v>99.174715760964361</c:v>
                </c:pt>
                <c:pt idx="76">
                  <c:v>99.174715760964361</c:v>
                </c:pt>
                <c:pt idx="77">
                  <c:v>99.174715760964361</c:v>
                </c:pt>
                <c:pt idx="78">
                  <c:v>99.174715760964361</c:v>
                </c:pt>
                <c:pt idx="79">
                  <c:v>99.174715760964361</c:v>
                </c:pt>
                <c:pt idx="80">
                  <c:v>99.174715760964361</c:v>
                </c:pt>
                <c:pt idx="81">
                  <c:v>99.174715760964361</c:v>
                </c:pt>
                <c:pt idx="82">
                  <c:v>99.174715760964361</c:v>
                </c:pt>
                <c:pt idx="83">
                  <c:v>99.174715760964361</c:v>
                </c:pt>
                <c:pt idx="84">
                  <c:v>99.174715760964361</c:v>
                </c:pt>
                <c:pt idx="85">
                  <c:v>99.174715760964361</c:v>
                </c:pt>
                <c:pt idx="86">
                  <c:v>99.174715760964361</c:v>
                </c:pt>
                <c:pt idx="87">
                  <c:v>99.174715760964361</c:v>
                </c:pt>
                <c:pt idx="88">
                  <c:v>99.174715760964361</c:v>
                </c:pt>
                <c:pt idx="89">
                  <c:v>99.174715760964361</c:v>
                </c:pt>
                <c:pt idx="90">
                  <c:v>99.174715760964361</c:v>
                </c:pt>
                <c:pt idx="91">
                  <c:v>99.174715760964361</c:v>
                </c:pt>
                <c:pt idx="92">
                  <c:v>63.624179558812038</c:v>
                </c:pt>
                <c:pt idx="93">
                  <c:v>63.624179558812038</c:v>
                </c:pt>
                <c:pt idx="94">
                  <c:v>63.624179558812038</c:v>
                </c:pt>
                <c:pt idx="95">
                  <c:v>63.624179558812038</c:v>
                </c:pt>
                <c:pt idx="96">
                  <c:v>63.624179558812038</c:v>
                </c:pt>
                <c:pt idx="97">
                  <c:v>63.624179558812038</c:v>
                </c:pt>
                <c:pt idx="98">
                  <c:v>63.624179558812038</c:v>
                </c:pt>
                <c:pt idx="99">
                  <c:v>63.624179558812038</c:v>
                </c:pt>
                <c:pt idx="100">
                  <c:v>63.624179558812038</c:v>
                </c:pt>
                <c:pt idx="101">
                  <c:v>63.624179558812038</c:v>
                </c:pt>
                <c:pt idx="102">
                  <c:v>63.624179558812038</c:v>
                </c:pt>
                <c:pt idx="103">
                  <c:v>63.624179558812038</c:v>
                </c:pt>
                <c:pt idx="104">
                  <c:v>63.624179558812038</c:v>
                </c:pt>
                <c:pt idx="105">
                  <c:v>63.624179558812038</c:v>
                </c:pt>
                <c:pt idx="106">
                  <c:v>63.624179558812038</c:v>
                </c:pt>
                <c:pt idx="107">
                  <c:v>63.624179558812038</c:v>
                </c:pt>
                <c:pt idx="108">
                  <c:v>63.624179558812038</c:v>
                </c:pt>
                <c:pt idx="109">
                  <c:v>63.624179558812038</c:v>
                </c:pt>
                <c:pt idx="110">
                  <c:v>63.624179558812038</c:v>
                </c:pt>
                <c:pt idx="111">
                  <c:v>63.624179558812038</c:v>
                </c:pt>
                <c:pt idx="112">
                  <c:v>63.624179558812038</c:v>
                </c:pt>
                <c:pt idx="113">
                  <c:v>63.624179558812038</c:v>
                </c:pt>
                <c:pt idx="114">
                  <c:v>63.624179558812038</c:v>
                </c:pt>
                <c:pt idx="115">
                  <c:v>63.624179558812038</c:v>
                </c:pt>
                <c:pt idx="116">
                  <c:v>63.624179558812038</c:v>
                </c:pt>
                <c:pt idx="117">
                  <c:v>63.624179558812038</c:v>
                </c:pt>
                <c:pt idx="118">
                  <c:v>63.624179558812038</c:v>
                </c:pt>
                <c:pt idx="119">
                  <c:v>63.624179558812038</c:v>
                </c:pt>
                <c:pt idx="120">
                  <c:v>63.624179558812038</c:v>
                </c:pt>
                <c:pt idx="121">
                  <c:v>63.624179558812038</c:v>
                </c:pt>
                <c:pt idx="122">
                  <c:v>27.442156278712137</c:v>
                </c:pt>
                <c:pt idx="123">
                  <c:v>27.442156278712137</c:v>
                </c:pt>
                <c:pt idx="124">
                  <c:v>27.442156278712137</c:v>
                </c:pt>
                <c:pt idx="125">
                  <c:v>27.442156278712137</c:v>
                </c:pt>
                <c:pt idx="126">
                  <c:v>27.442156278712137</c:v>
                </c:pt>
                <c:pt idx="127">
                  <c:v>27.442156278712137</c:v>
                </c:pt>
                <c:pt idx="128">
                  <c:v>27.442156278712137</c:v>
                </c:pt>
                <c:pt idx="129">
                  <c:v>27.442156278712137</c:v>
                </c:pt>
                <c:pt idx="130">
                  <c:v>27.442156278712137</c:v>
                </c:pt>
                <c:pt idx="131">
                  <c:v>27.442156278712137</c:v>
                </c:pt>
                <c:pt idx="132">
                  <c:v>27.442156278712137</c:v>
                </c:pt>
                <c:pt idx="133">
                  <c:v>27.442156278712137</c:v>
                </c:pt>
                <c:pt idx="134">
                  <c:v>27.442156278712137</c:v>
                </c:pt>
                <c:pt idx="135">
                  <c:v>27.442156278712137</c:v>
                </c:pt>
                <c:pt idx="136">
                  <c:v>27.442156278712137</c:v>
                </c:pt>
                <c:pt idx="137">
                  <c:v>27.442156278712137</c:v>
                </c:pt>
                <c:pt idx="138">
                  <c:v>27.442156278712137</c:v>
                </c:pt>
                <c:pt idx="139">
                  <c:v>27.442156278712137</c:v>
                </c:pt>
                <c:pt idx="140">
                  <c:v>27.442156278712137</c:v>
                </c:pt>
                <c:pt idx="141">
                  <c:v>27.442156278712137</c:v>
                </c:pt>
                <c:pt idx="142">
                  <c:v>27.442156278712137</c:v>
                </c:pt>
                <c:pt idx="143">
                  <c:v>27.442156278712137</c:v>
                </c:pt>
                <c:pt idx="144">
                  <c:v>27.442156278712137</c:v>
                </c:pt>
                <c:pt idx="145">
                  <c:v>27.442156278712137</c:v>
                </c:pt>
                <c:pt idx="146">
                  <c:v>27.442156278712137</c:v>
                </c:pt>
                <c:pt idx="147">
                  <c:v>27.442156278712137</c:v>
                </c:pt>
                <c:pt idx="148">
                  <c:v>27.442156278712137</c:v>
                </c:pt>
                <c:pt idx="149">
                  <c:v>27.442156278712137</c:v>
                </c:pt>
                <c:pt idx="150">
                  <c:v>27.442156278712137</c:v>
                </c:pt>
                <c:pt idx="151">
                  <c:v>27.442156278712137</c:v>
                </c:pt>
                <c:pt idx="152">
                  <c:v>27.442156278712137</c:v>
                </c:pt>
                <c:pt idx="153">
                  <c:v>16.581237981614105</c:v>
                </c:pt>
                <c:pt idx="154">
                  <c:v>16.581237981614105</c:v>
                </c:pt>
                <c:pt idx="155">
                  <c:v>16.581237981614105</c:v>
                </c:pt>
                <c:pt idx="156">
                  <c:v>16.581237981614105</c:v>
                </c:pt>
                <c:pt idx="157">
                  <c:v>16.581237981614105</c:v>
                </c:pt>
                <c:pt idx="158">
                  <c:v>16.581237981614105</c:v>
                </c:pt>
                <c:pt idx="159">
                  <c:v>16.581237981614105</c:v>
                </c:pt>
                <c:pt idx="160">
                  <c:v>16.581237981614105</c:v>
                </c:pt>
                <c:pt idx="161">
                  <c:v>16.581237981614105</c:v>
                </c:pt>
                <c:pt idx="162">
                  <c:v>16.581237981614105</c:v>
                </c:pt>
                <c:pt idx="163">
                  <c:v>16.581237981614105</c:v>
                </c:pt>
                <c:pt idx="164">
                  <c:v>16.581237981614105</c:v>
                </c:pt>
                <c:pt idx="165">
                  <c:v>16.581237981614105</c:v>
                </c:pt>
                <c:pt idx="166">
                  <c:v>16.581237981614105</c:v>
                </c:pt>
                <c:pt idx="167">
                  <c:v>16.581237981614105</c:v>
                </c:pt>
                <c:pt idx="168">
                  <c:v>16.581237981614105</c:v>
                </c:pt>
                <c:pt idx="169">
                  <c:v>16.581237981614105</c:v>
                </c:pt>
                <c:pt idx="170">
                  <c:v>16.581237981614105</c:v>
                </c:pt>
                <c:pt idx="171">
                  <c:v>16.581237981614105</c:v>
                </c:pt>
                <c:pt idx="172">
                  <c:v>16.581237981614105</c:v>
                </c:pt>
                <c:pt idx="173">
                  <c:v>16.581237981614105</c:v>
                </c:pt>
                <c:pt idx="174">
                  <c:v>16.581237981614105</c:v>
                </c:pt>
                <c:pt idx="175">
                  <c:v>16.581237981614105</c:v>
                </c:pt>
                <c:pt idx="176">
                  <c:v>16.581237981614105</c:v>
                </c:pt>
                <c:pt idx="177">
                  <c:v>16.581237981614105</c:v>
                </c:pt>
                <c:pt idx="178">
                  <c:v>16.581237981614105</c:v>
                </c:pt>
                <c:pt idx="179">
                  <c:v>16.581237981614105</c:v>
                </c:pt>
                <c:pt idx="180">
                  <c:v>16.581237981614105</c:v>
                </c:pt>
                <c:pt idx="181">
                  <c:v>16.581237981614105</c:v>
                </c:pt>
                <c:pt idx="182">
                  <c:v>16.581237981614105</c:v>
                </c:pt>
                <c:pt idx="183">
                  <c:v>16.581237981614105</c:v>
                </c:pt>
                <c:pt idx="184">
                  <c:v>21.033168040284398</c:v>
                </c:pt>
                <c:pt idx="185">
                  <c:v>21.033168040284398</c:v>
                </c:pt>
                <c:pt idx="186">
                  <c:v>21.033168040284398</c:v>
                </c:pt>
                <c:pt idx="187">
                  <c:v>21.033168040284398</c:v>
                </c:pt>
                <c:pt idx="188">
                  <c:v>21.033168040284398</c:v>
                </c:pt>
                <c:pt idx="189">
                  <c:v>21.033168040284398</c:v>
                </c:pt>
                <c:pt idx="190">
                  <c:v>21.033168040284398</c:v>
                </c:pt>
                <c:pt idx="191">
                  <c:v>21.033168040284398</c:v>
                </c:pt>
                <c:pt idx="192">
                  <c:v>21.033168040284398</c:v>
                </c:pt>
                <c:pt idx="193">
                  <c:v>21.033168040284398</c:v>
                </c:pt>
                <c:pt idx="194">
                  <c:v>21.033168040284398</c:v>
                </c:pt>
                <c:pt idx="195">
                  <c:v>21.033168040284398</c:v>
                </c:pt>
                <c:pt idx="196">
                  <c:v>21.033168040284398</c:v>
                </c:pt>
                <c:pt idx="197">
                  <c:v>21.033168040284398</c:v>
                </c:pt>
                <c:pt idx="198">
                  <c:v>21.033168040284398</c:v>
                </c:pt>
                <c:pt idx="199">
                  <c:v>21.033168040284398</c:v>
                </c:pt>
                <c:pt idx="200">
                  <c:v>21.033168040284398</c:v>
                </c:pt>
                <c:pt idx="201">
                  <c:v>21.033168040284398</c:v>
                </c:pt>
                <c:pt idx="202">
                  <c:v>21.033168040284398</c:v>
                </c:pt>
                <c:pt idx="203">
                  <c:v>21.033168040284398</c:v>
                </c:pt>
                <c:pt idx="204">
                  <c:v>21.033168040284398</c:v>
                </c:pt>
                <c:pt idx="205">
                  <c:v>21.033168040284398</c:v>
                </c:pt>
                <c:pt idx="206">
                  <c:v>21.033168040284398</c:v>
                </c:pt>
                <c:pt idx="207">
                  <c:v>21.033168040284398</c:v>
                </c:pt>
                <c:pt idx="208">
                  <c:v>21.033168040284398</c:v>
                </c:pt>
                <c:pt idx="209">
                  <c:v>21.033168040284398</c:v>
                </c:pt>
                <c:pt idx="210">
                  <c:v>21.033168040284398</c:v>
                </c:pt>
                <c:pt idx="211">
                  <c:v>21.033168040284398</c:v>
                </c:pt>
                <c:pt idx="212">
                  <c:v>21.033168040284398</c:v>
                </c:pt>
                <c:pt idx="213">
                  <c:v>21.033168040284398</c:v>
                </c:pt>
                <c:pt idx="214">
                  <c:v>41.704179443866899</c:v>
                </c:pt>
                <c:pt idx="215">
                  <c:v>41.704179443866899</c:v>
                </c:pt>
                <c:pt idx="216">
                  <c:v>41.704179443866899</c:v>
                </c:pt>
                <c:pt idx="217">
                  <c:v>41.704179443866899</c:v>
                </c:pt>
                <c:pt idx="218">
                  <c:v>41.704179443866899</c:v>
                </c:pt>
                <c:pt idx="219">
                  <c:v>41.704179443866899</c:v>
                </c:pt>
                <c:pt idx="220">
                  <c:v>41.704179443866899</c:v>
                </c:pt>
                <c:pt idx="221">
                  <c:v>41.704179443866899</c:v>
                </c:pt>
                <c:pt idx="222">
                  <c:v>41.704179443866899</c:v>
                </c:pt>
                <c:pt idx="223">
                  <c:v>41.704179443866899</c:v>
                </c:pt>
                <c:pt idx="224">
                  <c:v>41.704179443866899</c:v>
                </c:pt>
                <c:pt idx="225">
                  <c:v>41.704179443866899</c:v>
                </c:pt>
                <c:pt idx="226">
                  <c:v>41.704179443866899</c:v>
                </c:pt>
                <c:pt idx="227">
                  <c:v>41.704179443866899</c:v>
                </c:pt>
                <c:pt idx="228">
                  <c:v>41.704179443866899</c:v>
                </c:pt>
                <c:pt idx="229">
                  <c:v>41.704179443866899</c:v>
                </c:pt>
                <c:pt idx="230">
                  <c:v>41.704179443866899</c:v>
                </c:pt>
                <c:pt idx="231">
                  <c:v>41.704179443866899</c:v>
                </c:pt>
                <c:pt idx="232">
                  <c:v>41.704179443866899</c:v>
                </c:pt>
                <c:pt idx="233">
                  <c:v>41.704179443866899</c:v>
                </c:pt>
                <c:pt idx="234">
                  <c:v>41.704179443866899</c:v>
                </c:pt>
                <c:pt idx="235">
                  <c:v>41.704179443866899</c:v>
                </c:pt>
                <c:pt idx="236">
                  <c:v>41.704179443866899</c:v>
                </c:pt>
                <c:pt idx="237">
                  <c:v>41.704179443866899</c:v>
                </c:pt>
                <c:pt idx="238">
                  <c:v>41.704179443866899</c:v>
                </c:pt>
                <c:pt idx="239">
                  <c:v>41.704179443866899</c:v>
                </c:pt>
                <c:pt idx="240">
                  <c:v>41.704179443866899</c:v>
                </c:pt>
                <c:pt idx="241">
                  <c:v>41.704179443866899</c:v>
                </c:pt>
                <c:pt idx="242">
                  <c:v>41.704179443866899</c:v>
                </c:pt>
                <c:pt idx="243">
                  <c:v>41.704179443866899</c:v>
                </c:pt>
                <c:pt idx="244">
                  <c:v>41.704179443866899</c:v>
                </c:pt>
                <c:pt idx="245">
                  <c:v>83.437278222405467</c:v>
                </c:pt>
                <c:pt idx="246">
                  <c:v>83.437278222405467</c:v>
                </c:pt>
                <c:pt idx="247">
                  <c:v>83.437278222405467</c:v>
                </c:pt>
                <c:pt idx="248">
                  <c:v>83.437278222405467</c:v>
                </c:pt>
                <c:pt idx="249">
                  <c:v>83.437278222405467</c:v>
                </c:pt>
                <c:pt idx="250">
                  <c:v>83.437278222405467</c:v>
                </c:pt>
                <c:pt idx="251">
                  <c:v>83.437278222405467</c:v>
                </c:pt>
                <c:pt idx="252">
                  <c:v>83.437278222405467</c:v>
                </c:pt>
                <c:pt idx="253">
                  <c:v>83.437278222405467</c:v>
                </c:pt>
                <c:pt idx="254">
                  <c:v>83.437278222405467</c:v>
                </c:pt>
                <c:pt idx="255">
                  <c:v>83.437278222405467</c:v>
                </c:pt>
                <c:pt idx="256">
                  <c:v>83.437278222405467</c:v>
                </c:pt>
                <c:pt idx="257">
                  <c:v>83.437278222405467</c:v>
                </c:pt>
                <c:pt idx="258">
                  <c:v>83.437278222405467</c:v>
                </c:pt>
                <c:pt idx="259">
                  <c:v>83.437278222405467</c:v>
                </c:pt>
                <c:pt idx="260">
                  <c:v>83.437278222405467</c:v>
                </c:pt>
                <c:pt idx="261">
                  <c:v>83.437278222405467</c:v>
                </c:pt>
                <c:pt idx="262">
                  <c:v>83.437278222405467</c:v>
                </c:pt>
                <c:pt idx="263">
                  <c:v>83.437278222405467</c:v>
                </c:pt>
                <c:pt idx="264">
                  <c:v>83.437278222405467</c:v>
                </c:pt>
                <c:pt idx="265">
                  <c:v>83.437278222405467</c:v>
                </c:pt>
                <c:pt idx="266">
                  <c:v>83.437278222405467</c:v>
                </c:pt>
                <c:pt idx="267">
                  <c:v>83.437278222405467</c:v>
                </c:pt>
                <c:pt idx="268">
                  <c:v>83.437278222405467</c:v>
                </c:pt>
                <c:pt idx="269">
                  <c:v>83.437278222405467</c:v>
                </c:pt>
                <c:pt idx="270">
                  <c:v>83.437278222405467</c:v>
                </c:pt>
                <c:pt idx="271">
                  <c:v>83.437278222405467</c:v>
                </c:pt>
                <c:pt idx="272">
                  <c:v>83.437278222405467</c:v>
                </c:pt>
                <c:pt idx="273">
                  <c:v>83.437278222405467</c:v>
                </c:pt>
                <c:pt idx="274">
                  <c:v>83.437278222405467</c:v>
                </c:pt>
                <c:pt idx="275">
                  <c:v>108.10243370537623</c:v>
                </c:pt>
                <c:pt idx="276">
                  <c:v>108.10243370537623</c:v>
                </c:pt>
                <c:pt idx="277">
                  <c:v>108.10243370537623</c:v>
                </c:pt>
                <c:pt idx="278">
                  <c:v>108.10243370537623</c:v>
                </c:pt>
                <c:pt idx="279">
                  <c:v>108.10243370537623</c:v>
                </c:pt>
                <c:pt idx="280">
                  <c:v>108.10243370537623</c:v>
                </c:pt>
                <c:pt idx="281">
                  <c:v>108.10243370537623</c:v>
                </c:pt>
                <c:pt idx="282">
                  <c:v>108.10243370537623</c:v>
                </c:pt>
                <c:pt idx="283">
                  <c:v>108.10243370537623</c:v>
                </c:pt>
                <c:pt idx="284">
                  <c:v>108.10243370537623</c:v>
                </c:pt>
                <c:pt idx="285">
                  <c:v>108.10243370537623</c:v>
                </c:pt>
                <c:pt idx="286">
                  <c:v>108.10243370537623</c:v>
                </c:pt>
                <c:pt idx="287">
                  <c:v>108.10243370537623</c:v>
                </c:pt>
                <c:pt idx="288">
                  <c:v>108.10243370537623</c:v>
                </c:pt>
                <c:pt idx="289">
                  <c:v>108.10243370537623</c:v>
                </c:pt>
                <c:pt idx="290">
                  <c:v>108.10243370537623</c:v>
                </c:pt>
                <c:pt idx="291">
                  <c:v>108.10243370537623</c:v>
                </c:pt>
                <c:pt idx="292">
                  <c:v>108.10243370537623</c:v>
                </c:pt>
                <c:pt idx="293">
                  <c:v>108.10243370537623</c:v>
                </c:pt>
                <c:pt idx="294">
                  <c:v>108.10243370537623</c:v>
                </c:pt>
                <c:pt idx="295">
                  <c:v>108.10243370537623</c:v>
                </c:pt>
                <c:pt idx="296">
                  <c:v>108.10243370537623</c:v>
                </c:pt>
                <c:pt idx="297">
                  <c:v>108.10243370537623</c:v>
                </c:pt>
                <c:pt idx="298">
                  <c:v>108.10243370537623</c:v>
                </c:pt>
                <c:pt idx="299">
                  <c:v>108.10243370537623</c:v>
                </c:pt>
                <c:pt idx="300">
                  <c:v>108.10243370537623</c:v>
                </c:pt>
                <c:pt idx="301">
                  <c:v>108.10243370537623</c:v>
                </c:pt>
                <c:pt idx="302">
                  <c:v>108.10243370537623</c:v>
                </c:pt>
                <c:pt idx="303">
                  <c:v>108.10243370537623</c:v>
                </c:pt>
                <c:pt idx="304">
                  <c:v>108.10243370537623</c:v>
                </c:pt>
                <c:pt idx="305">
                  <c:v>108.10243370537623</c:v>
                </c:pt>
                <c:pt idx="306">
                  <c:v>119.44455644829111</c:v>
                </c:pt>
                <c:pt idx="307">
                  <c:v>119.44455644829111</c:v>
                </c:pt>
                <c:pt idx="308">
                  <c:v>119.44455644829111</c:v>
                </c:pt>
                <c:pt idx="309">
                  <c:v>119.44455644829111</c:v>
                </c:pt>
                <c:pt idx="310">
                  <c:v>119.44455644829111</c:v>
                </c:pt>
                <c:pt idx="311">
                  <c:v>119.44455644829111</c:v>
                </c:pt>
                <c:pt idx="312">
                  <c:v>119.44455644829111</c:v>
                </c:pt>
                <c:pt idx="313">
                  <c:v>119.44455644829111</c:v>
                </c:pt>
                <c:pt idx="314">
                  <c:v>119.44455644829111</c:v>
                </c:pt>
                <c:pt idx="315">
                  <c:v>119.44455644829111</c:v>
                </c:pt>
                <c:pt idx="316">
                  <c:v>119.44455644829111</c:v>
                </c:pt>
                <c:pt idx="317">
                  <c:v>119.44455644829111</c:v>
                </c:pt>
                <c:pt idx="318">
                  <c:v>119.44455644829111</c:v>
                </c:pt>
                <c:pt idx="319">
                  <c:v>119.44455644829111</c:v>
                </c:pt>
                <c:pt idx="320">
                  <c:v>119.44455644829111</c:v>
                </c:pt>
                <c:pt idx="321">
                  <c:v>119.44455644829111</c:v>
                </c:pt>
                <c:pt idx="322">
                  <c:v>119.44455644829111</c:v>
                </c:pt>
                <c:pt idx="323">
                  <c:v>119.44455644829111</c:v>
                </c:pt>
                <c:pt idx="324">
                  <c:v>119.44455644829111</c:v>
                </c:pt>
                <c:pt idx="325">
                  <c:v>119.44455644829111</c:v>
                </c:pt>
                <c:pt idx="326">
                  <c:v>119.44455644829111</c:v>
                </c:pt>
                <c:pt idx="327">
                  <c:v>119.44455644829111</c:v>
                </c:pt>
                <c:pt idx="328">
                  <c:v>119.44455644829111</c:v>
                </c:pt>
                <c:pt idx="329">
                  <c:v>119.44455644829111</c:v>
                </c:pt>
                <c:pt idx="330">
                  <c:v>119.44455644829111</c:v>
                </c:pt>
                <c:pt idx="331">
                  <c:v>119.44455644829111</c:v>
                </c:pt>
                <c:pt idx="332">
                  <c:v>119.44455644829111</c:v>
                </c:pt>
                <c:pt idx="333">
                  <c:v>119.44455644829111</c:v>
                </c:pt>
                <c:pt idx="334">
                  <c:v>119.44455644829111</c:v>
                </c:pt>
                <c:pt idx="335">
                  <c:v>119.44455644829111</c:v>
                </c:pt>
                <c:pt idx="336">
                  <c:v>119.44455644829111</c:v>
                </c:pt>
                <c:pt idx="337">
                  <c:v>127.90897946252304</c:v>
                </c:pt>
                <c:pt idx="338">
                  <c:v>127.90897946252304</c:v>
                </c:pt>
                <c:pt idx="339">
                  <c:v>127.90897946252304</c:v>
                </c:pt>
                <c:pt idx="340">
                  <c:v>127.90897946252304</c:v>
                </c:pt>
                <c:pt idx="341">
                  <c:v>127.90897946252304</c:v>
                </c:pt>
                <c:pt idx="342">
                  <c:v>127.90897946252304</c:v>
                </c:pt>
                <c:pt idx="343">
                  <c:v>127.90897946252304</c:v>
                </c:pt>
                <c:pt idx="344">
                  <c:v>127.90897946252304</c:v>
                </c:pt>
                <c:pt idx="345">
                  <c:v>127.90897946252304</c:v>
                </c:pt>
                <c:pt idx="346">
                  <c:v>127.90897946252304</c:v>
                </c:pt>
                <c:pt idx="347">
                  <c:v>127.90897946252304</c:v>
                </c:pt>
                <c:pt idx="348">
                  <c:v>127.90897946252304</c:v>
                </c:pt>
                <c:pt idx="349">
                  <c:v>127.90897946252304</c:v>
                </c:pt>
                <c:pt idx="350">
                  <c:v>127.90897946252304</c:v>
                </c:pt>
                <c:pt idx="351">
                  <c:v>127.90897946252304</c:v>
                </c:pt>
                <c:pt idx="352">
                  <c:v>127.90897946252304</c:v>
                </c:pt>
                <c:pt idx="353">
                  <c:v>127.90897946252304</c:v>
                </c:pt>
                <c:pt idx="354">
                  <c:v>127.90897946252304</c:v>
                </c:pt>
                <c:pt idx="355">
                  <c:v>127.90897946252304</c:v>
                </c:pt>
                <c:pt idx="356">
                  <c:v>127.90897946252304</c:v>
                </c:pt>
                <c:pt idx="357">
                  <c:v>127.90897946252304</c:v>
                </c:pt>
                <c:pt idx="358">
                  <c:v>127.90897946252304</c:v>
                </c:pt>
                <c:pt idx="359">
                  <c:v>127.90897946252304</c:v>
                </c:pt>
                <c:pt idx="360">
                  <c:v>127.90897946252304</c:v>
                </c:pt>
                <c:pt idx="361">
                  <c:v>127.90897946252304</c:v>
                </c:pt>
                <c:pt idx="362">
                  <c:v>127.90897946252304</c:v>
                </c:pt>
                <c:pt idx="363">
                  <c:v>127.90897946252304</c:v>
                </c:pt>
                <c:pt idx="364">
                  <c:v>127.90897946252304</c:v>
                </c:pt>
                <c:pt idx="365">
                  <c:v>128.17187118314504</c:v>
                </c:pt>
                <c:pt idx="366">
                  <c:v>128.17187118314504</c:v>
                </c:pt>
                <c:pt idx="367">
                  <c:v>128.17187118314504</c:v>
                </c:pt>
                <c:pt idx="368">
                  <c:v>128.17187118314504</c:v>
                </c:pt>
                <c:pt idx="369">
                  <c:v>128.17187118314504</c:v>
                </c:pt>
                <c:pt idx="370">
                  <c:v>128.17187118314504</c:v>
                </c:pt>
                <c:pt idx="371">
                  <c:v>128.17187118314504</c:v>
                </c:pt>
                <c:pt idx="372">
                  <c:v>128.17187118314504</c:v>
                </c:pt>
                <c:pt idx="373">
                  <c:v>128.17187118314504</c:v>
                </c:pt>
                <c:pt idx="374">
                  <c:v>128.17187118314504</c:v>
                </c:pt>
                <c:pt idx="375">
                  <c:v>128.17187118314504</c:v>
                </c:pt>
                <c:pt idx="376">
                  <c:v>128.17187118314504</c:v>
                </c:pt>
                <c:pt idx="377">
                  <c:v>128.17187118314504</c:v>
                </c:pt>
                <c:pt idx="378">
                  <c:v>128.17187118314504</c:v>
                </c:pt>
                <c:pt idx="379">
                  <c:v>128.17187118314504</c:v>
                </c:pt>
                <c:pt idx="380">
                  <c:v>128.17187118314504</c:v>
                </c:pt>
                <c:pt idx="381">
                  <c:v>128.17187118314504</c:v>
                </c:pt>
                <c:pt idx="382">
                  <c:v>128.17187118314504</c:v>
                </c:pt>
                <c:pt idx="383">
                  <c:v>128.17187118314504</c:v>
                </c:pt>
                <c:pt idx="384">
                  <c:v>128.17187118314504</c:v>
                </c:pt>
                <c:pt idx="385">
                  <c:v>128.17187118314504</c:v>
                </c:pt>
                <c:pt idx="386">
                  <c:v>128.17187118314504</c:v>
                </c:pt>
                <c:pt idx="387">
                  <c:v>128.17187118314504</c:v>
                </c:pt>
                <c:pt idx="388">
                  <c:v>128.17187118314504</c:v>
                </c:pt>
                <c:pt idx="389">
                  <c:v>128.17187118314504</c:v>
                </c:pt>
                <c:pt idx="390">
                  <c:v>128.17187118314504</c:v>
                </c:pt>
                <c:pt idx="391">
                  <c:v>128.17187118314504</c:v>
                </c:pt>
                <c:pt idx="392">
                  <c:v>128.17187118314504</c:v>
                </c:pt>
                <c:pt idx="393">
                  <c:v>128.17187118314504</c:v>
                </c:pt>
                <c:pt idx="394">
                  <c:v>128.17187118314504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31.279735412993375</c:v>
                </c:pt>
                <c:pt idx="1">
                  <c:v>40.665392179673312</c:v>
                </c:pt>
                <c:pt idx="2">
                  <c:v>49.183056419673321</c:v>
                </c:pt>
                <c:pt idx="3">
                  <c:v>39.208742935674245</c:v>
                </c:pt>
                <c:pt idx="4">
                  <c:v>48.748244543674247</c:v>
                </c:pt>
                <c:pt idx="5">
                  <c:v>45.612390035673315</c:v>
                </c:pt>
                <c:pt idx="6">
                  <c:v>60.487663323673317</c:v>
                </c:pt>
                <c:pt idx="7">
                  <c:v>36.825309775673311</c:v>
                </c:pt>
                <c:pt idx="8">
                  <c:v>62.473295105205558</c:v>
                </c:pt>
                <c:pt idx="9">
                  <c:v>54.805093327205562</c:v>
                </c:pt>
                <c:pt idx="10">
                  <c:v>60.894541755205559</c:v>
                </c:pt>
                <c:pt idx="11">
                  <c:v>58.971251285206492</c:v>
                </c:pt>
                <c:pt idx="12">
                  <c:v>60.365817731206498</c:v>
                </c:pt>
                <c:pt idx="13">
                  <c:v>63.499387503205561</c:v>
                </c:pt>
                <c:pt idx="14">
                  <c:v>88.284353825206495</c:v>
                </c:pt>
                <c:pt idx="15">
                  <c:v>105.48959278317858</c:v>
                </c:pt>
                <c:pt idx="16">
                  <c:v>76.019370677176724</c:v>
                </c:pt>
                <c:pt idx="17">
                  <c:v>83.188072599177659</c:v>
                </c:pt>
                <c:pt idx="18">
                  <c:v>72.543714351177655</c:v>
                </c:pt>
                <c:pt idx="19">
                  <c:v>62.839279283177653</c:v>
                </c:pt>
                <c:pt idx="20">
                  <c:v>63.955175147177648</c:v>
                </c:pt>
                <c:pt idx="21">
                  <c:v>70.828786761177639</c:v>
                </c:pt>
                <c:pt idx="22">
                  <c:v>96.006202122288954</c:v>
                </c:pt>
                <c:pt idx="23">
                  <c:v>108.60737218828989</c:v>
                </c:pt>
                <c:pt idx="24">
                  <c:v>101.19374737829082</c:v>
                </c:pt>
                <c:pt idx="25">
                  <c:v>97.527889272288945</c:v>
                </c:pt>
                <c:pt idx="26">
                  <c:v>76.892811546289892</c:v>
                </c:pt>
                <c:pt idx="27">
                  <c:v>87.390972582288953</c:v>
                </c:pt>
                <c:pt idx="28">
                  <c:v>99.47516137228989</c:v>
                </c:pt>
                <c:pt idx="29">
                  <c:v>76.206657651458613</c:v>
                </c:pt>
                <c:pt idx="30">
                  <c:v>77.826651207456749</c:v>
                </c:pt>
                <c:pt idx="31">
                  <c:v>78.903165601457687</c:v>
                </c:pt>
                <c:pt idx="32">
                  <c:v>63.104449265456751</c:v>
                </c:pt>
                <c:pt idx="33">
                  <c:v>52.137112857457687</c:v>
                </c:pt>
                <c:pt idx="34">
                  <c:v>70.88203800745768</c:v>
                </c:pt>
                <c:pt idx="35">
                  <c:v>95.389061031456762</c:v>
                </c:pt>
                <c:pt idx="36">
                  <c:v>75.626797753457225</c:v>
                </c:pt>
                <c:pt idx="37">
                  <c:v>55.29940189945723</c:v>
                </c:pt>
                <c:pt idx="38">
                  <c:v>51.852576833460027</c:v>
                </c:pt>
                <c:pt idx="39">
                  <c:v>69.861402067457234</c:v>
                </c:pt>
                <c:pt idx="40">
                  <c:v>39.9763521894563</c:v>
                </c:pt>
                <c:pt idx="41">
                  <c:v>45.858379089458161</c:v>
                </c:pt>
                <c:pt idx="42">
                  <c:v>72.10542832545724</c:v>
                </c:pt>
                <c:pt idx="43">
                  <c:v>96.026662481449165</c:v>
                </c:pt>
                <c:pt idx="44">
                  <c:v>80.384848453449166</c:v>
                </c:pt>
                <c:pt idx="45">
                  <c:v>73.85114523344825</c:v>
                </c:pt>
                <c:pt idx="46">
                  <c:v>64.603759637449173</c:v>
                </c:pt>
                <c:pt idx="47">
                  <c:v>71.977446119449169</c:v>
                </c:pt>
                <c:pt idx="48">
                  <c:v>78.683369269448249</c:v>
                </c:pt>
                <c:pt idx="49">
                  <c:v>82.294955059450103</c:v>
                </c:pt>
                <c:pt idx="50">
                  <c:v>90.835427421669962</c:v>
                </c:pt>
                <c:pt idx="51">
                  <c:v>106.85861408966996</c:v>
                </c:pt>
                <c:pt idx="52">
                  <c:v>109.20693919367089</c:v>
                </c:pt>
                <c:pt idx="53">
                  <c:v>78.726994011670868</c:v>
                </c:pt>
                <c:pt idx="54">
                  <c:v>90.988982781669961</c:v>
                </c:pt>
                <c:pt idx="55">
                  <c:v>100.91112083766902</c:v>
                </c:pt>
                <c:pt idx="56">
                  <c:v>103.94697229367088</c:v>
                </c:pt>
                <c:pt idx="57">
                  <c:v>98.988371420552696</c:v>
                </c:pt>
                <c:pt idx="58">
                  <c:v>113.96147318455084</c:v>
                </c:pt>
                <c:pt idx="59">
                  <c:v>117.7428588805527</c:v>
                </c:pt>
                <c:pt idx="60">
                  <c:v>104.66324693055364</c:v>
                </c:pt>
                <c:pt idx="61">
                  <c:v>83.089749126549904</c:v>
                </c:pt>
                <c:pt idx="62">
                  <c:v>91.147812052553633</c:v>
                </c:pt>
                <c:pt idx="63">
                  <c:v>99.174715760964361</c:v>
                </c:pt>
                <c:pt idx="64">
                  <c:v>99.174715760964361</c:v>
                </c:pt>
                <c:pt idx="65">
                  <c:v>86.735913152306495</c:v>
                </c:pt>
                <c:pt idx="66">
                  <c:v>69.040709436307438</c:v>
                </c:pt>
                <c:pt idx="67">
                  <c:v>72.560665806305579</c:v>
                </c:pt>
                <c:pt idx="68">
                  <c:v>64.773468066308368</c:v>
                </c:pt>
                <c:pt idx="69">
                  <c:v>79.196354340306513</c:v>
                </c:pt>
                <c:pt idx="70">
                  <c:v>83.306836604307435</c:v>
                </c:pt>
                <c:pt idx="71">
                  <c:v>64.428383028005015</c:v>
                </c:pt>
                <c:pt idx="72">
                  <c:v>54.806804084005954</c:v>
                </c:pt>
                <c:pt idx="73">
                  <c:v>61.542816572005016</c:v>
                </c:pt>
                <c:pt idx="74">
                  <c:v>40.073271944004091</c:v>
                </c:pt>
                <c:pt idx="75">
                  <c:v>39.138138080005952</c:v>
                </c:pt>
                <c:pt idx="76">
                  <c:v>49.149372322006876</c:v>
                </c:pt>
                <c:pt idx="77">
                  <c:v>51.711909812005018</c:v>
                </c:pt>
                <c:pt idx="78">
                  <c:v>61.126600312259811</c:v>
                </c:pt>
                <c:pt idx="79">
                  <c:v>65.134239836259823</c:v>
                </c:pt>
                <c:pt idx="80">
                  <c:v>62.055912656260752</c:v>
                </c:pt>
                <c:pt idx="81">
                  <c:v>57.729203064259814</c:v>
                </c:pt>
                <c:pt idx="82">
                  <c:v>52.652818350260745</c:v>
                </c:pt>
                <c:pt idx="83">
                  <c:v>62.72821390425981</c:v>
                </c:pt>
                <c:pt idx="84">
                  <c:v>55.779570632261674</c:v>
                </c:pt>
                <c:pt idx="85">
                  <c:v>37.185852168886534</c:v>
                </c:pt>
                <c:pt idx="86">
                  <c:v>32.869455544888396</c:v>
                </c:pt>
                <c:pt idx="87">
                  <c:v>34.865659270888401</c:v>
                </c:pt>
                <c:pt idx="88">
                  <c:v>41.332971382888395</c:v>
                </c:pt>
                <c:pt idx="89">
                  <c:v>28.298860492888402</c:v>
                </c:pt>
                <c:pt idx="90">
                  <c:v>38.8047019408884</c:v>
                </c:pt>
                <c:pt idx="91">
                  <c:v>48.831941006887469</c:v>
                </c:pt>
                <c:pt idx="92">
                  <c:v>41.13251892952826</c:v>
                </c:pt>
                <c:pt idx="93">
                  <c:v>52.464751009527326</c:v>
                </c:pt>
                <c:pt idx="94">
                  <c:v>46.033321545527329</c:v>
                </c:pt>
                <c:pt idx="95">
                  <c:v>32.1332122355264</c:v>
                </c:pt>
                <c:pt idx="96">
                  <c:v>24.055109761528257</c:v>
                </c:pt>
                <c:pt idx="97">
                  <c:v>30.429911945529188</c:v>
                </c:pt>
                <c:pt idx="98">
                  <c:v>29.289618123526395</c:v>
                </c:pt>
                <c:pt idx="99">
                  <c:v>22.816061077752288</c:v>
                </c:pt>
                <c:pt idx="100">
                  <c:v>25.394766507752291</c:v>
                </c:pt>
                <c:pt idx="101">
                  <c:v>30.109927453753226</c:v>
                </c:pt>
                <c:pt idx="102">
                  <c:v>26.411685901751355</c:v>
                </c:pt>
                <c:pt idx="103">
                  <c:v>19.34826807975136</c:v>
                </c:pt>
                <c:pt idx="104">
                  <c:v>46.143242131753219</c:v>
                </c:pt>
                <c:pt idx="105">
                  <c:v>42.386232761752289</c:v>
                </c:pt>
                <c:pt idx="106">
                  <c:v>29.875350020219035</c:v>
                </c:pt>
                <c:pt idx="107">
                  <c:v>5.6969416262199735</c:v>
                </c:pt>
                <c:pt idx="108">
                  <c:v>1.2285824382199717</c:v>
                </c:pt>
                <c:pt idx="109">
                  <c:v>10.587945084219973</c:v>
                </c:pt>
                <c:pt idx="110">
                  <c:v>1.4968882962209027</c:v>
                </c:pt>
                <c:pt idx="111">
                  <c:v>4.6390828182190385</c:v>
                </c:pt>
                <c:pt idx="112">
                  <c:v>7.8481299562199709</c:v>
                </c:pt>
                <c:pt idx="113">
                  <c:v>19.553716010242528</c:v>
                </c:pt>
                <c:pt idx="114">
                  <c:v>11.837183138243461</c:v>
                </c:pt>
                <c:pt idx="115">
                  <c:v>13.610529506245326</c:v>
                </c:pt>
                <c:pt idx="116">
                  <c:v>14.079669344244394</c:v>
                </c:pt>
                <c:pt idx="117">
                  <c:v>14.795590156243463</c:v>
                </c:pt>
                <c:pt idx="118">
                  <c:v>16.280848046242532</c:v>
                </c:pt>
                <c:pt idx="119">
                  <c:v>21.948123164243466</c:v>
                </c:pt>
                <c:pt idx="120">
                  <c:v>9.1809477699111923</c:v>
                </c:pt>
                <c:pt idx="121">
                  <c:v>13.906702505911191</c:v>
                </c:pt>
                <c:pt idx="122">
                  <c:v>18.26130749391119</c:v>
                </c:pt>
                <c:pt idx="123">
                  <c:v>13.311754027910261</c:v>
                </c:pt>
                <c:pt idx="124">
                  <c:v>10.862065957910261</c:v>
                </c:pt>
                <c:pt idx="125">
                  <c:v>12.640432783910262</c:v>
                </c:pt>
                <c:pt idx="126">
                  <c:v>9.9000488619102622</c:v>
                </c:pt>
                <c:pt idx="127">
                  <c:v>11.283998423679</c:v>
                </c:pt>
                <c:pt idx="128">
                  <c:v>8.9849090036817945</c:v>
                </c:pt>
                <c:pt idx="129">
                  <c:v>9.7572991336799308</c:v>
                </c:pt>
                <c:pt idx="130">
                  <c:v>10.604230937679</c:v>
                </c:pt>
                <c:pt idx="131">
                  <c:v>6.8015913716790015</c:v>
                </c:pt>
                <c:pt idx="132">
                  <c:v>9.1149374676808659</c:v>
                </c:pt>
                <c:pt idx="133">
                  <c:v>8.5235670636790015</c:v>
                </c:pt>
                <c:pt idx="134">
                  <c:v>4.7929471573210609</c:v>
                </c:pt>
                <c:pt idx="135">
                  <c:v>6.4864265373191961</c:v>
                </c:pt>
                <c:pt idx="136">
                  <c:v>1.4838149653201254</c:v>
                </c:pt>
                <c:pt idx="137">
                  <c:v>1.2497050733191937</c:v>
                </c:pt>
                <c:pt idx="138">
                  <c:v>1.4202057053201278</c:v>
                </c:pt>
                <c:pt idx="139">
                  <c:v>0.75884421532105628</c:v>
                </c:pt>
                <c:pt idx="140">
                  <c:v>1.145779831319196</c:v>
                </c:pt>
                <c:pt idx="141">
                  <c:v>20.095398515821355</c:v>
                </c:pt>
                <c:pt idx="142">
                  <c:v>2.558431247822289</c:v>
                </c:pt>
                <c:pt idx="143">
                  <c:v>9.7333589778213572</c:v>
                </c:pt>
                <c:pt idx="144">
                  <c:v>1.8437223678213559</c:v>
                </c:pt>
                <c:pt idx="145">
                  <c:v>6.3252045378232218</c:v>
                </c:pt>
                <c:pt idx="146">
                  <c:v>2.6187397778213564</c:v>
                </c:pt>
                <c:pt idx="147">
                  <c:v>3.9734406878222872</c:v>
                </c:pt>
                <c:pt idx="148">
                  <c:v>2.3285343500869931</c:v>
                </c:pt>
                <c:pt idx="149">
                  <c:v>3.0132909940860628</c:v>
                </c:pt>
                <c:pt idx="150">
                  <c:v>7.9956250000860596</c:v>
                </c:pt>
                <c:pt idx="151">
                  <c:v>1.3761316360860618</c:v>
                </c:pt>
                <c:pt idx="152">
                  <c:v>1.0365645200851323</c:v>
                </c:pt>
                <c:pt idx="153">
                  <c:v>3.4157058080869973</c:v>
                </c:pt>
                <c:pt idx="154">
                  <c:v>5.5336346980869928</c:v>
                </c:pt>
                <c:pt idx="155">
                  <c:v>1.0150136552845797</c:v>
                </c:pt>
                <c:pt idx="156">
                  <c:v>1.4196845172845787</c:v>
                </c:pt>
                <c:pt idx="157">
                  <c:v>1.344578549284579</c:v>
                </c:pt>
                <c:pt idx="158">
                  <c:v>0.84473048328457667</c:v>
                </c:pt>
                <c:pt idx="159">
                  <c:v>0.6848620392845769</c:v>
                </c:pt>
                <c:pt idx="160">
                  <c:v>1.3548702392864398</c:v>
                </c:pt>
                <c:pt idx="161">
                  <c:v>0.71445054728457758</c:v>
                </c:pt>
                <c:pt idx="162">
                  <c:v>4.951292308998454</c:v>
                </c:pt>
                <c:pt idx="163">
                  <c:v>1.8089405069993882</c:v>
                </c:pt>
                <c:pt idx="164">
                  <c:v>1.2088658429984571</c:v>
                </c:pt>
                <c:pt idx="165">
                  <c:v>2.0559283149993899</c:v>
                </c:pt>
                <c:pt idx="166">
                  <c:v>1.3494826249993894</c:v>
                </c:pt>
                <c:pt idx="167">
                  <c:v>1.4888449209993888</c:v>
                </c:pt>
                <c:pt idx="168">
                  <c:v>1.9584668109975283</c:v>
                </c:pt>
                <c:pt idx="169">
                  <c:v>2.0455242808154872</c:v>
                </c:pt>
                <c:pt idx="170">
                  <c:v>4.2989096648145573</c:v>
                </c:pt>
                <c:pt idx="171">
                  <c:v>12.690759120815484</c:v>
                </c:pt>
                <c:pt idx="172">
                  <c:v>8.6578875528154864</c:v>
                </c:pt>
                <c:pt idx="173">
                  <c:v>0.61437914281455597</c:v>
                </c:pt>
                <c:pt idx="174">
                  <c:v>3.5108373468164173</c:v>
                </c:pt>
                <c:pt idx="175">
                  <c:v>14.344237460814554</c:v>
                </c:pt>
                <c:pt idx="176">
                  <c:v>8.5498916085703378</c:v>
                </c:pt>
                <c:pt idx="177">
                  <c:v>1.5303369785712713</c:v>
                </c:pt>
                <c:pt idx="178">
                  <c:v>0.83904528857127303</c:v>
                </c:pt>
                <c:pt idx="179">
                  <c:v>6.8410561985703389</c:v>
                </c:pt>
                <c:pt idx="180">
                  <c:v>1.2625524625712714</c:v>
                </c:pt>
                <c:pt idx="181">
                  <c:v>7.5174735565703381</c:v>
                </c:pt>
                <c:pt idx="182">
                  <c:v>16.581237981614105</c:v>
                </c:pt>
                <c:pt idx="183">
                  <c:v>8.722780433249012</c:v>
                </c:pt>
                <c:pt idx="184">
                  <c:v>3.75937736524715</c:v>
                </c:pt>
                <c:pt idx="185">
                  <c:v>0.88406260924808155</c:v>
                </c:pt>
                <c:pt idx="186">
                  <c:v>1.0237342512480792</c:v>
                </c:pt>
                <c:pt idx="187">
                  <c:v>0.77966490724714821</c:v>
                </c:pt>
                <c:pt idx="188">
                  <c:v>1.1887372492471477</c:v>
                </c:pt>
                <c:pt idx="189">
                  <c:v>1.0673817012471483</c:v>
                </c:pt>
                <c:pt idx="190">
                  <c:v>2.861113293107628</c:v>
                </c:pt>
                <c:pt idx="191">
                  <c:v>14.729327259105769</c:v>
                </c:pt>
                <c:pt idx="192">
                  <c:v>21.033168040284398</c:v>
                </c:pt>
                <c:pt idx="193">
                  <c:v>13.304091817105764</c:v>
                </c:pt>
                <c:pt idx="194">
                  <c:v>3.8972143651076294</c:v>
                </c:pt>
                <c:pt idx="195">
                  <c:v>5.1029455751057649</c:v>
                </c:pt>
                <c:pt idx="196">
                  <c:v>15.392030115107627</c:v>
                </c:pt>
                <c:pt idx="197">
                  <c:v>12.323274605496154</c:v>
                </c:pt>
                <c:pt idx="198">
                  <c:v>21.033168040284398</c:v>
                </c:pt>
                <c:pt idx="199">
                  <c:v>21.033168040284398</c:v>
                </c:pt>
                <c:pt idx="200">
                  <c:v>16.045436705495224</c:v>
                </c:pt>
                <c:pt idx="201">
                  <c:v>13.812473805496156</c:v>
                </c:pt>
                <c:pt idx="202">
                  <c:v>21.033168040284398</c:v>
                </c:pt>
                <c:pt idx="203">
                  <c:v>21.033168040284398</c:v>
                </c:pt>
                <c:pt idx="204">
                  <c:v>18.883001663328205</c:v>
                </c:pt>
                <c:pt idx="205">
                  <c:v>15.002863983329139</c:v>
                </c:pt>
                <c:pt idx="206">
                  <c:v>15.342557020327281</c:v>
                </c:pt>
                <c:pt idx="207">
                  <c:v>7.3419266263291432</c:v>
                </c:pt>
                <c:pt idx="208">
                  <c:v>1.2835539603282087</c:v>
                </c:pt>
                <c:pt idx="209">
                  <c:v>1.0723605263272766</c:v>
                </c:pt>
                <c:pt idx="210">
                  <c:v>0.7543829633291389</c:v>
                </c:pt>
                <c:pt idx="211">
                  <c:v>0.58730482457556721</c:v>
                </c:pt>
                <c:pt idx="212">
                  <c:v>1.5463534845746363</c:v>
                </c:pt>
                <c:pt idx="213">
                  <c:v>15.887395672575567</c:v>
                </c:pt>
                <c:pt idx="214">
                  <c:v>11.164280907575565</c:v>
                </c:pt>
                <c:pt idx="215">
                  <c:v>7.9122592325755665</c:v>
                </c:pt>
                <c:pt idx="216">
                  <c:v>20.836308586575566</c:v>
                </c:pt>
                <c:pt idx="217">
                  <c:v>16.374421057575567</c:v>
                </c:pt>
                <c:pt idx="218">
                  <c:v>8.6200838880381276</c:v>
                </c:pt>
                <c:pt idx="219">
                  <c:v>9.3206282890390568</c:v>
                </c:pt>
                <c:pt idx="220">
                  <c:v>13.718987029038125</c:v>
                </c:pt>
                <c:pt idx="221">
                  <c:v>5.6873968090381259</c:v>
                </c:pt>
                <c:pt idx="222">
                  <c:v>4.7046773290381259</c:v>
                </c:pt>
                <c:pt idx="223">
                  <c:v>14.868684329039057</c:v>
                </c:pt>
                <c:pt idx="224">
                  <c:v>11.643986429039058</c:v>
                </c:pt>
                <c:pt idx="225">
                  <c:v>8.0045478843297495</c:v>
                </c:pt>
                <c:pt idx="226">
                  <c:v>13.789712744328819</c:v>
                </c:pt>
                <c:pt idx="227">
                  <c:v>13.052763888329748</c:v>
                </c:pt>
                <c:pt idx="228">
                  <c:v>8.0933909843288188</c:v>
                </c:pt>
                <c:pt idx="229">
                  <c:v>9.3252266443297493</c:v>
                </c:pt>
                <c:pt idx="230">
                  <c:v>13.83965312432975</c:v>
                </c:pt>
                <c:pt idx="231">
                  <c:v>13.928123504328818</c:v>
                </c:pt>
                <c:pt idx="232">
                  <c:v>35.992593623746593</c:v>
                </c:pt>
                <c:pt idx="233">
                  <c:v>41.704179443866899</c:v>
                </c:pt>
                <c:pt idx="234">
                  <c:v>41.704179443866899</c:v>
                </c:pt>
                <c:pt idx="235">
                  <c:v>41.704179443866899</c:v>
                </c:pt>
                <c:pt idx="236">
                  <c:v>41.704179443866899</c:v>
                </c:pt>
                <c:pt idx="237">
                  <c:v>41.704179443866899</c:v>
                </c:pt>
                <c:pt idx="238">
                  <c:v>41.704179443866899</c:v>
                </c:pt>
                <c:pt idx="239">
                  <c:v>41.704179443866899</c:v>
                </c:pt>
                <c:pt idx="240">
                  <c:v>41.704179443866899</c:v>
                </c:pt>
                <c:pt idx="241">
                  <c:v>41.704179443866899</c:v>
                </c:pt>
                <c:pt idx="242">
                  <c:v>41.704179443866899</c:v>
                </c:pt>
                <c:pt idx="243">
                  <c:v>41.704179443866899</c:v>
                </c:pt>
                <c:pt idx="244">
                  <c:v>41.704179443866899</c:v>
                </c:pt>
                <c:pt idx="245">
                  <c:v>55.076187238325346</c:v>
                </c:pt>
                <c:pt idx="246">
                  <c:v>48.425857542046465</c:v>
                </c:pt>
                <c:pt idx="247">
                  <c:v>49.6583143780474</c:v>
                </c:pt>
                <c:pt idx="248">
                  <c:v>46.57988732604646</c:v>
                </c:pt>
                <c:pt idx="249">
                  <c:v>40.598709918047398</c:v>
                </c:pt>
                <c:pt idx="250">
                  <c:v>40.303915262046466</c:v>
                </c:pt>
                <c:pt idx="251">
                  <c:v>48.816425262047403</c:v>
                </c:pt>
                <c:pt idx="252">
                  <c:v>44.846004198047396</c:v>
                </c:pt>
                <c:pt idx="253">
                  <c:v>40.210301950567583</c:v>
                </c:pt>
                <c:pt idx="254">
                  <c:v>42.183786190569442</c:v>
                </c:pt>
                <c:pt idx="255">
                  <c:v>35.259605954567583</c:v>
                </c:pt>
                <c:pt idx="256">
                  <c:v>33.117230706570382</c:v>
                </c:pt>
                <c:pt idx="257">
                  <c:v>35.898128154565725</c:v>
                </c:pt>
                <c:pt idx="258">
                  <c:v>40.284799802569445</c:v>
                </c:pt>
                <c:pt idx="259">
                  <c:v>36.520872542569442</c:v>
                </c:pt>
                <c:pt idx="260">
                  <c:v>50.810418460735974</c:v>
                </c:pt>
                <c:pt idx="261">
                  <c:v>53.929281809736899</c:v>
                </c:pt>
                <c:pt idx="262">
                  <c:v>62.131612867738767</c:v>
                </c:pt>
                <c:pt idx="263">
                  <c:v>54.420209876736905</c:v>
                </c:pt>
                <c:pt idx="264">
                  <c:v>53.518528580737829</c:v>
                </c:pt>
                <c:pt idx="265">
                  <c:v>62.131172240737833</c:v>
                </c:pt>
                <c:pt idx="266">
                  <c:v>73.563721316736903</c:v>
                </c:pt>
                <c:pt idx="267">
                  <c:v>83.437278222405467</c:v>
                </c:pt>
                <c:pt idx="268">
                  <c:v>83.437278222405467</c:v>
                </c:pt>
                <c:pt idx="269">
                  <c:v>83.437278222405467</c:v>
                </c:pt>
                <c:pt idx="270">
                  <c:v>83.437278222405467</c:v>
                </c:pt>
                <c:pt idx="271">
                  <c:v>83.437278222405467</c:v>
                </c:pt>
                <c:pt idx="272">
                  <c:v>83.437278222405467</c:v>
                </c:pt>
                <c:pt idx="273">
                  <c:v>83.437278222405467</c:v>
                </c:pt>
                <c:pt idx="274">
                  <c:v>78.008705493811078</c:v>
                </c:pt>
                <c:pt idx="275">
                  <c:v>70.797097722812012</c:v>
                </c:pt>
                <c:pt idx="276">
                  <c:v>76.424206708811099</c:v>
                </c:pt>
                <c:pt idx="277">
                  <c:v>79.337202661810153</c:v>
                </c:pt>
                <c:pt idx="278">
                  <c:v>77.282747661811086</c:v>
                </c:pt>
                <c:pt idx="279">
                  <c:v>74.790135021811096</c:v>
                </c:pt>
                <c:pt idx="280">
                  <c:v>73.873102701812016</c:v>
                </c:pt>
                <c:pt idx="281">
                  <c:v>83.25524646274809</c:v>
                </c:pt>
                <c:pt idx="282">
                  <c:v>78.200729502751827</c:v>
                </c:pt>
                <c:pt idx="283">
                  <c:v>81.242425742749973</c:v>
                </c:pt>
                <c:pt idx="284">
                  <c:v>65.708957131749969</c:v>
                </c:pt>
                <c:pt idx="285">
                  <c:v>67.742122181749025</c:v>
                </c:pt>
                <c:pt idx="286">
                  <c:v>74.222568034749969</c:v>
                </c:pt>
                <c:pt idx="287">
                  <c:v>101.85167531074997</c:v>
                </c:pt>
                <c:pt idx="288">
                  <c:v>108.10243370537623</c:v>
                </c:pt>
                <c:pt idx="289">
                  <c:v>108.10243370537623</c:v>
                </c:pt>
                <c:pt idx="290">
                  <c:v>108.10243370537623</c:v>
                </c:pt>
                <c:pt idx="291">
                  <c:v>108.10243370537623</c:v>
                </c:pt>
                <c:pt idx="292">
                  <c:v>108.10243370537623</c:v>
                </c:pt>
                <c:pt idx="293">
                  <c:v>108.10243370537623</c:v>
                </c:pt>
                <c:pt idx="294">
                  <c:v>108.10243370537623</c:v>
                </c:pt>
                <c:pt idx="295">
                  <c:v>108.10243370537623</c:v>
                </c:pt>
                <c:pt idx="296">
                  <c:v>108.10243370537623</c:v>
                </c:pt>
                <c:pt idx="297">
                  <c:v>108.10243370537623</c:v>
                </c:pt>
                <c:pt idx="298">
                  <c:v>108.10243370537623</c:v>
                </c:pt>
                <c:pt idx="299">
                  <c:v>108.10243370537623</c:v>
                </c:pt>
                <c:pt idx="300">
                  <c:v>108.10243370537623</c:v>
                </c:pt>
                <c:pt idx="301">
                  <c:v>108.10243370537623</c:v>
                </c:pt>
                <c:pt idx="302">
                  <c:v>108.10243370537623</c:v>
                </c:pt>
                <c:pt idx="303">
                  <c:v>108.10243370537623</c:v>
                </c:pt>
                <c:pt idx="304">
                  <c:v>108.10243370537623</c:v>
                </c:pt>
                <c:pt idx="305">
                  <c:v>108.10243370537623</c:v>
                </c:pt>
                <c:pt idx="306">
                  <c:v>119.44455644829111</c:v>
                </c:pt>
                <c:pt idx="307">
                  <c:v>119.44455644829111</c:v>
                </c:pt>
                <c:pt idx="308">
                  <c:v>119.44455644829111</c:v>
                </c:pt>
                <c:pt idx="309">
                  <c:v>119.44455644829111</c:v>
                </c:pt>
                <c:pt idx="310">
                  <c:v>119.44455644829111</c:v>
                </c:pt>
                <c:pt idx="311">
                  <c:v>119.44455644829111</c:v>
                </c:pt>
                <c:pt idx="312">
                  <c:v>119.44455644829111</c:v>
                </c:pt>
                <c:pt idx="313">
                  <c:v>119.44455644829111</c:v>
                </c:pt>
                <c:pt idx="314">
                  <c:v>119.44455644829111</c:v>
                </c:pt>
                <c:pt idx="315">
                  <c:v>119.44455644829111</c:v>
                </c:pt>
                <c:pt idx="316">
                  <c:v>119.44455644829111</c:v>
                </c:pt>
                <c:pt idx="317">
                  <c:v>119.44455644829111</c:v>
                </c:pt>
                <c:pt idx="318">
                  <c:v>119.44455644829111</c:v>
                </c:pt>
                <c:pt idx="319">
                  <c:v>119.44455644829111</c:v>
                </c:pt>
                <c:pt idx="320">
                  <c:v>119.44455644829111</c:v>
                </c:pt>
                <c:pt idx="321">
                  <c:v>119.44455644829111</c:v>
                </c:pt>
                <c:pt idx="322">
                  <c:v>119.44455644829111</c:v>
                </c:pt>
                <c:pt idx="323">
                  <c:v>119.44455644829111</c:v>
                </c:pt>
                <c:pt idx="324">
                  <c:v>119.44455644829111</c:v>
                </c:pt>
                <c:pt idx="325">
                  <c:v>119.44455644829111</c:v>
                </c:pt>
                <c:pt idx="326">
                  <c:v>119.44455644829111</c:v>
                </c:pt>
                <c:pt idx="327">
                  <c:v>119.44455644829111</c:v>
                </c:pt>
                <c:pt idx="328">
                  <c:v>119.44455644829111</c:v>
                </c:pt>
                <c:pt idx="329">
                  <c:v>119.44455644829111</c:v>
                </c:pt>
                <c:pt idx="330">
                  <c:v>119.44455644829111</c:v>
                </c:pt>
                <c:pt idx="331">
                  <c:v>119.44455644829111</c:v>
                </c:pt>
                <c:pt idx="332">
                  <c:v>119.44455644829111</c:v>
                </c:pt>
                <c:pt idx="333">
                  <c:v>118.46477353891974</c:v>
                </c:pt>
                <c:pt idx="334">
                  <c:v>117.16378841892161</c:v>
                </c:pt>
                <c:pt idx="335">
                  <c:v>119.44455644829111</c:v>
                </c:pt>
                <c:pt idx="336">
                  <c:v>119.44455644829111</c:v>
                </c:pt>
                <c:pt idx="337">
                  <c:v>109.03309077138364</c:v>
                </c:pt>
                <c:pt idx="338">
                  <c:v>110.26363983538177</c:v>
                </c:pt>
                <c:pt idx="339">
                  <c:v>114.63091317137805</c:v>
                </c:pt>
                <c:pt idx="340">
                  <c:v>66.753752903383628</c:v>
                </c:pt>
                <c:pt idx="341">
                  <c:v>34.78218156738177</c:v>
                </c:pt>
                <c:pt idx="342">
                  <c:v>54.500162847379904</c:v>
                </c:pt>
                <c:pt idx="343">
                  <c:v>98.063543611379913</c:v>
                </c:pt>
                <c:pt idx="344">
                  <c:v>105.16722153277999</c:v>
                </c:pt>
                <c:pt idx="345">
                  <c:v>89.486015136778136</c:v>
                </c:pt>
                <c:pt idx="346">
                  <c:v>92.054752980778133</c:v>
                </c:pt>
                <c:pt idx="347">
                  <c:v>63.116028124776278</c:v>
                </c:pt>
                <c:pt idx="348">
                  <c:v>58.134459388780002</c:v>
                </c:pt>
                <c:pt idx="349">
                  <c:v>73.263080304778143</c:v>
                </c:pt>
                <c:pt idx="350">
                  <c:v>62.306540532776268</c:v>
                </c:pt>
                <c:pt idx="351">
                  <c:v>73.531928758387934</c:v>
                </c:pt>
                <c:pt idx="352">
                  <c:v>76.053243566387934</c:v>
                </c:pt>
                <c:pt idx="353">
                  <c:v>60.426528206387943</c:v>
                </c:pt>
                <c:pt idx="354">
                  <c:v>55.316475114384218</c:v>
                </c:pt>
                <c:pt idx="355">
                  <c:v>46.887263002386071</c:v>
                </c:pt>
                <c:pt idx="356">
                  <c:v>55.109618946389801</c:v>
                </c:pt>
                <c:pt idx="357">
                  <c:v>69.806273530386065</c:v>
                </c:pt>
                <c:pt idx="358">
                  <c:v>79.245709382491881</c:v>
                </c:pt>
                <c:pt idx="359">
                  <c:v>71.616866294493732</c:v>
                </c:pt>
                <c:pt idx="360">
                  <c:v>87.473997022493748</c:v>
                </c:pt>
                <c:pt idx="361">
                  <c:v>78.828305238490017</c:v>
                </c:pt>
                <c:pt idx="362">
                  <c:v>40.052989714493741</c:v>
                </c:pt>
                <c:pt idx="363">
                  <c:v>41.832245766493749</c:v>
                </c:pt>
                <c:pt idx="364">
                  <c:v>59.689216074493743</c:v>
                </c:pt>
                <c:pt idx="365">
                  <c:v>63.845889240687391</c:v>
                </c:pt>
                <c:pt idx="366">
                  <c:v>65.594713584685536</c:v>
                </c:pt>
                <c:pt idx="367">
                  <c:v>63.735669172687395</c:v>
                </c:pt>
                <c:pt idx="368">
                  <c:v>68.749519408687391</c:v>
                </c:pt>
                <c:pt idx="369">
                  <c:v>73.192417176687385</c:v>
                </c:pt>
                <c:pt idx="370">
                  <c:v>65.045856980683681</c:v>
                </c:pt>
                <c:pt idx="371">
                  <c:v>29.680922709689256</c:v>
                </c:pt>
                <c:pt idx="372">
                  <c:v>84.243647918236263</c:v>
                </c:pt>
                <c:pt idx="373">
                  <c:v>81.759938380236278</c:v>
                </c:pt>
                <c:pt idx="374">
                  <c:v>75.292607818238125</c:v>
                </c:pt>
                <c:pt idx="375">
                  <c:v>73.712334547238129</c:v>
                </c:pt>
                <c:pt idx="376">
                  <c:v>92.286320339236269</c:v>
                </c:pt>
                <c:pt idx="377">
                  <c:v>82.872276331234403</c:v>
                </c:pt>
                <c:pt idx="378">
                  <c:v>92.154447647236253</c:v>
                </c:pt>
                <c:pt idx="379">
                  <c:v>124.34518904481936</c:v>
                </c:pt>
                <c:pt idx="380">
                  <c:v>95.956148556819358</c:v>
                </c:pt>
                <c:pt idx="381">
                  <c:v>91.613632812819361</c:v>
                </c:pt>
                <c:pt idx="382">
                  <c:v>103.17959691681936</c:v>
                </c:pt>
                <c:pt idx="383">
                  <c:v>95.411051064821223</c:v>
                </c:pt>
                <c:pt idx="384">
                  <c:v>113.2834192728175</c:v>
                </c:pt>
                <c:pt idx="385">
                  <c:v>112.77105030081937</c:v>
                </c:pt>
                <c:pt idx="386">
                  <c:v>85.567416835179571</c:v>
                </c:pt>
                <c:pt idx="387">
                  <c:v>75.413188003183294</c:v>
                </c:pt>
                <c:pt idx="388">
                  <c:v>72.71037366717772</c:v>
                </c:pt>
                <c:pt idx="389">
                  <c:v>62.063371844181432</c:v>
                </c:pt>
                <c:pt idx="390">
                  <c:v>47.909107123179574</c:v>
                </c:pt>
                <c:pt idx="391">
                  <c:v>85.160162743181445</c:v>
                </c:pt>
                <c:pt idx="392">
                  <c:v>98.305163666181443</c:v>
                </c:pt>
                <c:pt idx="393">
                  <c:v>64.599935202706135</c:v>
                </c:pt>
                <c:pt idx="394">
                  <c:v>58.873206382707991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3.9493099616324237E-3"/>
                  <c:y val="-2.120819234945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3090406750515E-3"/>
                  <c:y val="-0.11086867153653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5.5101118402495763E-3"/>
                  <c:y val="-9.5331457061843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5.4274635610125771E-3"/>
                  <c:y val="-0.10583014472588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930-AF88-4415119B9331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7.1538338674433065E-3"/>
                  <c:y val="-0.11223898217542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4128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763E-3"/>
                  <c:y val="-0.10477605961905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A-4FB2-9D37-D5F253DCD4F6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439954842823E-3"/>
                  <c:y val="-9.8788930911195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29"/>
              <c:layout>
                <c:manualLayout>
                  <c:x val="-1.809136137494412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930-AF88-4415119B9331}"/>
                </c:ext>
              </c:extLst>
            </c:dLbl>
            <c:dLbl>
              <c:idx val="256"/>
              <c:layout>
                <c:manualLayout>
                  <c:x val="1.8091361374943465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0.10079153491640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4527406128614588E-3"/>
                  <c:y val="-5.89022757697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9F-4B05-A06F-617DCA7A59C2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4.79818959637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5602E-3"/>
                  <c:y val="-5.3863641060615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-3.4527406128614588E-3"/>
                  <c:y val="-8.976588769777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5.2618795784853921E-3"/>
                  <c:y val="-0.104249075164817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128.70213492494773</c:v>
                </c:pt>
                <c:pt idx="45">
                  <c:v>125.24455872987446</c:v>
                </c:pt>
                <c:pt idx="75">
                  <c:v>99.174715760964361</c:v>
                </c:pt>
                <c:pt idx="106">
                  <c:v>63.624179558812038</c:v>
                </c:pt>
                <c:pt idx="136">
                  <c:v>27.442156278712137</c:v>
                </c:pt>
                <c:pt idx="167">
                  <c:v>16.581237981614105</c:v>
                </c:pt>
                <c:pt idx="198">
                  <c:v>21.033168040284398</c:v>
                </c:pt>
                <c:pt idx="228">
                  <c:v>41.704179443866899</c:v>
                </c:pt>
                <c:pt idx="259">
                  <c:v>83.437278222405467</c:v>
                </c:pt>
                <c:pt idx="289">
                  <c:v>108.10243370537623</c:v>
                </c:pt>
                <c:pt idx="320">
                  <c:v>119.44455644829111</c:v>
                </c:pt>
                <c:pt idx="351">
                  <c:v>127.90897946252304</c:v>
                </c:pt>
                <c:pt idx="379">
                  <c:v>128.17187118314504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3'!$F$43:$F$55</c:f>
              <c:numCache>
                <c:formatCode>#,##0\ _)</c:formatCode>
                <c:ptCount val="13"/>
                <c:pt idx="0">
                  <c:v>13898.837668799999</c:v>
                </c:pt>
                <c:pt idx="1">
                  <c:v>13999.32071715</c:v>
                </c:pt>
                <c:pt idx="2">
                  <c:v>14194.180336200001</c:v>
                </c:pt>
                <c:pt idx="3">
                  <c:v>13918.899108600002</c:v>
                </c:pt>
                <c:pt idx="4">
                  <c:v>12486.880997399992</c:v>
                </c:pt>
                <c:pt idx="5">
                  <c:v>11155.732386300004</c:v>
                </c:pt>
                <c:pt idx="6">
                  <c:v>10360.471131599998</c:v>
                </c:pt>
                <c:pt idx="7">
                  <c:v>10037.671056599998</c:v>
                </c:pt>
                <c:pt idx="8">
                  <c:v>11248.176501599997</c:v>
                </c:pt>
                <c:pt idx="9">
                  <c:v>13212.158572249993</c:v>
                </c:pt>
                <c:pt idx="10">
                  <c:v>13040.239735350002</c:v>
                </c:pt>
                <c:pt idx="11">
                  <c:v>13487.652788849999</c:v>
                </c:pt>
                <c:pt idx="12">
                  <c:v>13930.057121199998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3'!$G$43:$G$55</c:f>
              <c:numCache>
                <c:formatCode>#,##0\ _)</c:formatCode>
                <c:ptCount val="13"/>
                <c:pt idx="0">
                  <c:v>5950.5832111499976</c:v>
                </c:pt>
                <c:pt idx="1">
                  <c:v>7213.8650399999988</c:v>
                </c:pt>
                <c:pt idx="2">
                  <c:v>7275.1757219999972</c:v>
                </c:pt>
                <c:pt idx="3">
                  <c:v>6720.2938423489422</c:v>
                </c:pt>
                <c:pt idx="4">
                  <c:v>5861.5753199858218</c:v>
                </c:pt>
                <c:pt idx="5">
                  <c:v>5122.4186417062165</c:v>
                </c:pt>
                <c:pt idx="6">
                  <c:v>4769.6031145773832</c:v>
                </c:pt>
                <c:pt idx="7">
                  <c:v>4490.9091346624027</c:v>
                </c:pt>
                <c:pt idx="8">
                  <c:v>4818.1352348499995</c:v>
                </c:pt>
                <c:pt idx="9">
                  <c:v>5311.2606904000004</c:v>
                </c:pt>
                <c:pt idx="10">
                  <c:v>5486.0984956999982</c:v>
                </c:pt>
                <c:pt idx="11">
                  <c:v>5615.0378613499997</c:v>
                </c:pt>
                <c:pt idx="12">
                  <c:v>6014.3883134999978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3'!$H$43:$H$55</c:f>
              <c:numCache>
                <c:formatCode>#,##0\ _)</c:formatCode>
                <c:ptCount val="13"/>
                <c:pt idx="0">
                  <c:v>10651.382707382183</c:v>
                </c:pt>
                <c:pt idx="1">
                  <c:v>11224.845272938524</c:v>
                </c:pt>
                <c:pt idx="2">
                  <c:v>11376.573024106245</c:v>
                </c:pt>
                <c:pt idx="3">
                  <c:v>10871.053378959414</c:v>
                </c:pt>
                <c:pt idx="4">
                  <c:v>9714.3243532549059</c:v>
                </c:pt>
                <c:pt idx="5">
                  <c:v>8618.9540563929877</c:v>
                </c:pt>
                <c:pt idx="6">
                  <c:v>7853.1852055328782</c:v>
                </c:pt>
                <c:pt idx="7">
                  <c:v>7700.931035509464</c:v>
                </c:pt>
                <c:pt idx="8">
                  <c:v>8119.3286799822454</c:v>
                </c:pt>
                <c:pt idx="9">
                  <c:v>8643.2465402423641</c:v>
                </c:pt>
                <c:pt idx="10">
                  <c:v>9345.1985046020109</c:v>
                </c:pt>
                <c:pt idx="11">
                  <c:v>10020.752600659313</c:v>
                </c:pt>
                <c:pt idx="12">
                  <c:v>10628.434723363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3'!$E$43:$E$55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3'!$D$43:$D$55</c:f>
              <c:numCache>
                <c:formatCode>#,##0</c:formatCode>
                <c:ptCount val="13"/>
                <c:pt idx="0">
                  <c:v>7242.5224796164302</c:v>
                </c:pt>
                <c:pt idx="1">
                  <c:v>7896.3920571419603</c:v>
                </c:pt>
                <c:pt idx="2">
                  <c:v>7862.6649207238397</c:v>
                </c:pt>
                <c:pt idx="3">
                  <c:v>7336.6756913938698</c:v>
                </c:pt>
                <c:pt idx="4">
                  <c:v>6503.7333101836002</c:v>
                </c:pt>
                <c:pt idx="5">
                  <c:v>5663.3995666707096</c:v>
                </c:pt>
                <c:pt idx="6">
                  <c:v>4854.8048105114403</c:v>
                </c:pt>
                <c:pt idx="7">
                  <c:v>4989.2516276194901</c:v>
                </c:pt>
                <c:pt idx="8">
                  <c:v>5789.2389871449896</c:v>
                </c:pt>
                <c:pt idx="9">
                  <c:v>8226.3793556488708</c:v>
                </c:pt>
                <c:pt idx="10">
                  <c:v>10223.608293560101</c:v>
                </c:pt>
                <c:pt idx="11">
                  <c:v>9799.5666123993706</c:v>
                </c:pt>
                <c:pt idx="12">
                  <c:v>10212.192476558999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11707317073170732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3008130081300814"/>
                  <c:y val="-0.115882283464566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14"/>
                  <c:y val="-3.921259842519685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6910569105691056"/>
                  <c:y val="0.1115897637795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2.2764227642276424E-2"/>
                  <c:y val="0.1652732746641963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30243902439024389"/>
                  <c:y val="0.1028493129535278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2764227642276422"/>
                  <c:y val="9.50980392156853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9837398373983739"/>
                  <c:y val="2.50980392156863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6341463414634148"/>
                  <c:y val="2.72549019607843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0.24390243902439024"/>
                  <c:y val="-5.215669291338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-0.12032520325203253"/>
                  <c:y val="-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2.3586695565897422</c:v>
                </c:pt>
                <c:pt idx="1">
                  <c:v>22.283031933262407</c:v>
                </c:pt>
                <c:pt idx="2">
                  <c:v>1.8544158764193592</c:v>
                </c:pt>
                <c:pt idx="3">
                  <c:v>11.340349787532372</c:v>
                </c:pt>
                <c:pt idx="4">
                  <c:v>7.3987214446053908</c:v>
                </c:pt>
                <c:pt idx="5">
                  <c:v>0.48226068642868236</c:v>
                </c:pt>
                <c:pt idx="6">
                  <c:v>0.27181272163341003</c:v>
                </c:pt>
                <c:pt idx="7">
                  <c:v>28.655750137878282</c:v>
                </c:pt>
                <c:pt idx="8">
                  <c:v>8.908680123388077</c:v>
                </c:pt>
                <c:pt idx="9">
                  <c:v>13.317609805133998</c:v>
                </c:pt>
                <c:pt idx="10">
                  <c:v>1.7887337870468121</c:v>
                </c:pt>
                <c:pt idx="11">
                  <c:v>1.3399641400814519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224837115948741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38.730760853460062</c:v>
                </c:pt>
                <c:pt idx="1">
                  <c:v>61.269239146539924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3391834407914913"/>
                  <c:y val="-3.921784776902856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7543921852854311"/>
                  <c:y val="9.0980392156862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45.717449284837954</c:v>
                </c:pt>
                <c:pt idx="1">
                  <c:v>54.282550715162024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10/03/2023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731707317073176"/>
                  <c:y val="9.093638927624055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8.0088106633729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33.571098971854816</c:v>
                </c:pt>
                <c:pt idx="1">
                  <c:v>66.428901028145177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8"/>
                  <c:y val="-5.3457332480577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586889443697575"/>
                  <c:y val="-2.02933456847305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114973433198899"/>
                  <c:y val="2.5259430806443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416708277318995"/>
                  <c:y val="9.04797488549226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2953716151333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3658536585365853E-2"/>
                  <c:y val="0.23012277593130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21743811435335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51219512195122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5147801037065489"/>
                  <c:y val="-1.44366042127556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16185903591319378"/>
                  <c:y val="-2.4796753934386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0813008130081304"/>
                  <c:y val="-5.22875816993464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2.4544697606613557</c:v>
                </c:pt>
                <c:pt idx="1">
                  <c:v>20.691276507141822</c:v>
                </c:pt>
                <c:pt idx="2">
                  <c:v>1.6753495101726017</c:v>
                </c:pt>
                <c:pt idx="3">
                  <c:v>2.5818079670024447</c:v>
                </c:pt>
                <c:pt idx="4">
                  <c:v>5.7813158811467114</c:v>
                </c:pt>
                <c:pt idx="5">
                  <c:v>0.38687934572987759</c:v>
                </c:pt>
                <c:pt idx="6">
                  <c:v>0.2235132284710783</c:v>
                </c:pt>
                <c:pt idx="7">
                  <c:v>47.161685551097435</c:v>
                </c:pt>
                <c:pt idx="8">
                  <c:v>5.3387069166096017</c:v>
                </c:pt>
                <c:pt idx="9">
                  <c:v>11.362415671676514</c:v>
                </c:pt>
                <c:pt idx="10">
                  <c:v>1.2519279328584683</c:v>
                </c:pt>
                <c:pt idx="11">
                  <c:v>1.090651727432095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27/01/2023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33.817315173970691</c:v>
                </c:pt>
                <c:pt idx="1">
                  <c:v>66.182684826029302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5978669739453311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2682926829268282"/>
                  <c:y val="-1.56862745098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448025094424173"/>
                  <c:y val="2.5336627039267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762358363741116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2614762179117855"/>
                  <c:y val="0.15302804796459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1.89300339601574</c:v>
                </c:pt>
                <c:pt idx="1">
                  <c:v>19.689098382024987</c:v>
                </c:pt>
                <c:pt idx="2">
                  <c:v>1.0535637257369728</c:v>
                </c:pt>
                <c:pt idx="3">
                  <c:v>6.7015039571798409</c:v>
                </c:pt>
                <c:pt idx="4">
                  <c:v>4.2007869887591962</c:v>
                </c:pt>
                <c:pt idx="5">
                  <c:v>0.27935872425395114</c:v>
                </c:pt>
                <c:pt idx="6">
                  <c:v>0.13492486745886967</c:v>
                </c:pt>
                <c:pt idx="7">
                  <c:v>39.185888320239954</c:v>
                </c:pt>
                <c:pt idx="8">
                  <c:v>16.271326000726148</c:v>
                </c:pt>
                <c:pt idx="9">
                  <c:v>8.6296379805489529</c:v>
                </c:pt>
                <c:pt idx="10">
                  <c:v>0.79450716537466837</c:v>
                </c:pt>
                <c:pt idx="11">
                  <c:v>1.1664004916807069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47.287178441288326</c:v>
                </c:pt>
                <c:pt idx="1">
                  <c:v>52.100917921234959</c:v>
                </c:pt>
                <c:pt idx="2">
                  <c:v>52.114687394943907</c:v>
                </c:pt>
                <c:pt idx="3">
                  <c:v>40.982297095679691</c:v>
                </c:pt>
                <c:pt idx="4">
                  <c:v>39.533566751494362</c:v>
                </c:pt>
                <c:pt idx="5">
                  <c:v>38.922415698243455</c:v>
                </c:pt>
                <c:pt idx="6">
                  <c:v>38.820536821782049</c:v>
                </c:pt>
                <c:pt idx="7">
                  <c:v>39.853622384200541</c:v>
                </c:pt>
                <c:pt idx="8">
                  <c:v>48.284996635212345</c:v>
                </c:pt>
                <c:pt idx="9">
                  <c:v>46.380115097996516</c:v>
                </c:pt>
                <c:pt idx="10">
                  <c:v>58.570169795212472</c:v>
                </c:pt>
                <c:pt idx="11">
                  <c:v>46.972587703207296</c:v>
                </c:pt>
                <c:pt idx="12">
                  <c:v>54.282550715162031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52.712821558711667</c:v>
                </c:pt>
                <c:pt idx="1">
                  <c:v>47.899082078765041</c:v>
                </c:pt>
                <c:pt idx="2">
                  <c:v>47.885312605056114</c:v>
                </c:pt>
                <c:pt idx="3">
                  <c:v>59.017702904320331</c:v>
                </c:pt>
                <c:pt idx="4">
                  <c:v>60.466433248505638</c:v>
                </c:pt>
                <c:pt idx="5">
                  <c:v>61.077584301756545</c:v>
                </c:pt>
                <c:pt idx="6">
                  <c:v>61.179463178217951</c:v>
                </c:pt>
                <c:pt idx="7">
                  <c:v>60.146377615799459</c:v>
                </c:pt>
                <c:pt idx="8">
                  <c:v>51.715003364787655</c:v>
                </c:pt>
                <c:pt idx="9">
                  <c:v>53.619884902003484</c:v>
                </c:pt>
                <c:pt idx="10">
                  <c:v>41.429830204787528</c:v>
                </c:pt>
                <c:pt idx="11">
                  <c:v>53.027412296792704</c:v>
                </c:pt>
                <c:pt idx="12">
                  <c:v>45.717449284837969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2761720.5211200002</c:v>
                </c:pt>
                <c:pt idx="1">
                  <c:v>2312965.0341699999</c:v>
                </c:pt>
                <c:pt idx="2">
                  <c:v>2398010.7092400002</c:v>
                </c:pt>
                <c:pt idx="3">
                  <c:v>3515571.3221900002</c:v>
                </c:pt>
                <c:pt idx="4">
                  <c:v>4125625.3506299998</c:v>
                </c:pt>
                <c:pt idx="5">
                  <c:v>3854809.4024999999</c:v>
                </c:pt>
                <c:pt idx="6">
                  <c:v>3539081.8221100001</c:v>
                </c:pt>
                <c:pt idx="7">
                  <c:v>3223545.60995</c:v>
                </c:pt>
                <c:pt idx="8">
                  <c:v>2407207.1126199998</c:v>
                </c:pt>
                <c:pt idx="9">
                  <c:v>2510021.3907699999</c:v>
                </c:pt>
                <c:pt idx="10">
                  <c:v>1570655.4805600001</c:v>
                </c:pt>
                <c:pt idx="11">
                  <c:v>2472529.62971</c:v>
                </c:pt>
                <c:pt idx="12">
                  <c:v>2015913.6131500001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70.243504689322478</c:v>
                </c:pt>
                <c:pt idx="1">
                  <c:v>74.703271299172286</c:v>
                </c:pt>
                <c:pt idx="2">
                  <c:v>72.600726785760585</c:v>
                </c:pt>
                <c:pt idx="3">
                  <c:v>62.038685265798748</c:v>
                </c:pt>
                <c:pt idx="4">
                  <c:v>60.362881389554012</c:v>
                </c:pt>
                <c:pt idx="5">
                  <c:v>61.278833077077543</c:v>
                </c:pt>
                <c:pt idx="6">
                  <c:v>61.317852320811006</c:v>
                </c:pt>
                <c:pt idx="7">
                  <c:v>60.329076684695984</c:v>
                </c:pt>
                <c:pt idx="8">
                  <c:v>70.14433723743565</c:v>
                </c:pt>
                <c:pt idx="9">
                  <c:v>72.470660198221552</c:v>
                </c:pt>
                <c:pt idx="10">
                  <c:v>82.911847789840365</c:v>
                </c:pt>
                <c:pt idx="11">
                  <c:v>70.219607630539414</c:v>
                </c:pt>
                <c:pt idx="12">
                  <c:v>78.415136603243411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29.756495310677515</c:v>
                </c:pt>
                <c:pt idx="1">
                  <c:v>25.296728700827714</c:v>
                </c:pt>
                <c:pt idx="2">
                  <c:v>27.399273214239436</c:v>
                </c:pt>
                <c:pt idx="3">
                  <c:v>37.961314734201252</c:v>
                </c:pt>
                <c:pt idx="4">
                  <c:v>39.637118610445953</c:v>
                </c:pt>
                <c:pt idx="5">
                  <c:v>38.721166922922436</c:v>
                </c:pt>
                <c:pt idx="6">
                  <c:v>38.682147679189022</c:v>
                </c:pt>
                <c:pt idx="7">
                  <c:v>39.670923315304044</c:v>
                </c:pt>
                <c:pt idx="8">
                  <c:v>29.855662762564357</c:v>
                </c:pt>
                <c:pt idx="9">
                  <c:v>27.529339801778494</c:v>
                </c:pt>
                <c:pt idx="10">
                  <c:v>17.088152210159638</c:v>
                </c:pt>
                <c:pt idx="11">
                  <c:v>29.780392369460579</c:v>
                </c:pt>
                <c:pt idx="12">
                  <c:v>21.584863396756589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1764.5097587759999</c:v>
                </c:pt>
                <c:pt idx="1">
                  <c:v>1781.779774696</c:v>
                </c:pt>
                <c:pt idx="2">
                  <c:v>1922.003550334</c:v>
                </c:pt>
                <c:pt idx="3">
                  <c:v>1190.7040866760001</c:v>
                </c:pt>
                <c:pt idx="4">
                  <c:v>1043.2246898359999</c:v>
                </c:pt>
                <c:pt idx="5">
                  <c:v>972.684938214</c:v>
                </c:pt>
                <c:pt idx="6">
                  <c:v>1153.486740052</c:v>
                </c:pt>
                <c:pt idx="7">
                  <c:v>717.40876467500004</c:v>
                </c:pt>
                <c:pt idx="8">
                  <c:v>1309.0039419320001</c:v>
                </c:pt>
                <c:pt idx="9">
                  <c:v>2744.519164804</c:v>
                </c:pt>
                <c:pt idx="10">
                  <c:v>3853.1091040460001</c:v>
                </c:pt>
                <c:pt idx="11">
                  <c:v>2451.4677244879999</c:v>
                </c:pt>
                <c:pt idx="12">
                  <c:v>2039.877995889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6418.6873900000001</c:v>
                </c:pt>
                <c:pt idx="1">
                  <c:v>5534.8275679999997</c:v>
                </c:pt>
                <c:pt idx="2">
                  <c:v>4570.7149890000001</c:v>
                </c:pt>
                <c:pt idx="3">
                  <c:v>3647.6150029999999</c:v>
                </c:pt>
                <c:pt idx="4">
                  <c:v>4385.0069640000002</c:v>
                </c:pt>
                <c:pt idx="5">
                  <c:v>4075.1067090000001</c:v>
                </c:pt>
                <c:pt idx="6">
                  <c:v>4067.915176</c:v>
                </c:pt>
                <c:pt idx="7">
                  <c:v>5014.8021500000004</c:v>
                </c:pt>
                <c:pt idx="8">
                  <c:v>6580.0936540000002</c:v>
                </c:pt>
                <c:pt idx="9">
                  <c:v>5532.4193480000004</c:v>
                </c:pt>
                <c:pt idx="10">
                  <c:v>7324.1710220000004</c:v>
                </c:pt>
                <c:pt idx="11">
                  <c:v>4627.0920470000001</c:v>
                </c:pt>
                <c:pt idx="12">
                  <c:v>6561.4920899999997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1416.5975470000001</c:v>
                </c:pt>
                <c:pt idx="1">
                  <c:v>2532.4676020000002</c:v>
                </c:pt>
                <c:pt idx="2">
                  <c:v>3320.4046720000001</c:v>
                </c:pt>
                <c:pt idx="3">
                  <c:v>3155.9656839999998</c:v>
                </c:pt>
                <c:pt idx="4">
                  <c:v>3313.8396830000002</c:v>
                </c:pt>
                <c:pt idx="5">
                  <c:v>3177.795181</c:v>
                </c:pt>
                <c:pt idx="6">
                  <c:v>2641.9393719999998</c:v>
                </c:pt>
                <c:pt idx="7">
                  <c:v>1955.4619090000001</c:v>
                </c:pt>
                <c:pt idx="8">
                  <c:v>1492.966302</c:v>
                </c:pt>
                <c:pt idx="9">
                  <c:v>1082.2925849999999</c:v>
                </c:pt>
                <c:pt idx="10">
                  <c:v>1676.1546060000001</c:v>
                </c:pt>
                <c:pt idx="11">
                  <c:v>1986.5279760000001</c:v>
                </c:pt>
                <c:pt idx="12">
                  <c:v>3049.4190859999999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120.56837400000001</c:v>
                </c:pt>
                <c:pt idx="1">
                  <c:v>412.77760999999998</c:v>
                </c:pt>
                <c:pt idx="2">
                  <c:v>621.24749499999996</c:v>
                </c:pt>
                <c:pt idx="3">
                  <c:v>534.18592699999999</c:v>
                </c:pt>
                <c:pt idx="4">
                  <c:v>667.23578299999997</c:v>
                </c:pt>
                <c:pt idx="5">
                  <c:v>619.95898999999997</c:v>
                </c:pt>
                <c:pt idx="6">
                  <c:v>437.343279</c:v>
                </c:pt>
                <c:pt idx="7">
                  <c:v>166.240105</c:v>
                </c:pt>
                <c:pt idx="8">
                  <c:v>104.76842600000001</c:v>
                </c:pt>
                <c:pt idx="9">
                  <c:v>59.778182999999999</c:v>
                </c:pt>
                <c:pt idx="10">
                  <c:v>119.507124</c:v>
                </c:pt>
                <c:pt idx="11">
                  <c:v>178.788802</c:v>
                </c:pt>
                <c:pt idx="12">
                  <c:v>409.577922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422.68645199999997</c:v>
                </c:pt>
                <c:pt idx="1">
                  <c:v>429.59813000000003</c:v>
                </c:pt>
                <c:pt idx="2">
                  <c:v>396.44819200000001</c:v>
                </c:pt>
                <c:pt idx="3">
                  <c:v>414.94150100000002</c:v>
                </c:pt>
                <c:pt idx="4">
                  <c:v>408.56224500000002</c:v>
                </c:pt>
                <c:pt idx="5">
                  <c:v>382.67027999999999</c:v>
                </c:pt>
                <c:pt idx="6">
                  <c:v>340.65072099999998</c:v>
                </c:pt>
                <c:pt idx="7">
                  <c:v>366.13620400000002</c:v>
                </c:pt>
                <c:pt idx="8">
                  <c:v>363.687163</c:v>
                </c:pt>
                <c:pt idx="9">
                  <c:v>318.780441</c:v>
                </c:pt>
                <c:pt idx="10">
                  <c:v>289.24336799999998</c:v>
                </c:pt>
                <c:pt idx="11">
                  <c:v>355.14206999999999</c:v>
                </c:pt>
                <c:pt idx="12">
                  <c:v>306.82023900000002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71.978253499999994</c:v>
                </c:pt>
                <c:pt idx="1">
                  <c:v>64.772149999999996</c:v>
                </c:pt>
                <c:pt idx="2">
                  <c:v>67.480593499999998</c:v>
                </c:pt>
                <c:pt idx="3">
                  <c:v>63.217403500000003</c:v>
                </c:pt>
                <c:pt idx="4">
                  <c:v>59.032142</c:v>
                </c:pt>
                <c:pt idx="5">
                  <c:v>51.306201000000001</c:v>
                </c:pt>
                <c:pt idx="6">
                  <c:v>45.615575</c:v>
                </c:pt>
                <c:pt idx="7">
                  <c:v>60.185411000000002</c:v>
                </c:pt>
                <c:pt idx="8">
                  <c:v>56.959399500000004</c:v>
                </c:pt>
                <c:pt idx="9">
                  <c:v>62.369816499999999</c:v>
                </c:pt>
                <c:pt idx="10">
                  <c:v>60.303250499999997</c:v>
                </c:pt>
                <c:pt idx="11">
                  <c:v>61.687733999999999</c:v>
                </c:pt>
                <c:pt idx="12">
                  <c:v>62.238713500000003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0.76542</cdr:x>
      <cdr:y>0.0707</cdr:y>
    </cdr:from>
    <cdr:to>
      <cdr:x>0.76755</cdr:x>
      <cdr:y>0.81545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54477" y="257229"/>
          <a:ext cx="14343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0.74953</cdr:x>
      <cdr:y>0.09042</cdr:y>
    </cdr:from>
    <cdr:to>
      <cdr:x>0.74961</cdr:x>
      <cdr:y>0.75306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47385" y="277309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0.79161</cdr:x>
      <cdr:y>0.58651</cdr:y>
    </cdr:from>
    <cdr:to>
      <cdr:x>0.92223</cdr:x>
      <cdr:y>0.68127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936" y="1798840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0.78231</cdr:x>
      <cdr:y>0.18058</cdr:y>
    </cdr:from>
    <cdr:to>
      <cdr:x>0.9209</cdr:x>
      <cdr:y>0.25414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6879" y="55383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142876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24001"/>
          <a:ext cx="255270" cy="2169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095500"/>
          <a:ext cx="252000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114300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43125"/>
          <a:ext cx="238125" cy="16353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1.174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38100</xdr:rowOff>
    </xdr:from>
    <xdr:to>
      <xdr:col>4</xdr:col>
      <xdr:colOff>2990850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14625"/>
          <a:ext cx="257174" cy="1821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114300</xdr:rowOff>
    </xdr:from>
    <xdr:to>
      <xdr:col>4</xdr:col>
      <xdr:colOff>1771650</xdr:colOff>
      <xdr:row>20</xdr:row>
      <xdr:rowOff>152292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3276600"/>
          <a:ext cx="247650" cy="1999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4.462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5.750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10.212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0" customWidth="1"/>
    <col min="2" max="2" width="2.7109375" style="130" customWidth="1"/>
    <col min="3" max="3" width="16.42578125" style="130" customWidth="1"/>
    <col min="4" max="4" width="4.7109375" style="130" customWidth="1"/>
    <col min="5" max="5" width="95.7109375" style="130" customWidth="1"/>
    <col min="6" max="16384" width="11.42578125" style="130"/>
  </cols>
  <sheetData>
    <row r="1" spans="2:15" ht="0.75" customHeight="1"/>
    <row r="2" spans="2:15" ht="21" customHeight="1">
      <c r="B2" s="130" t="s">
        <v>65</v>
      </c>
      <c r="C2" s="131"/>
      <c r="D2" s="131"/>
      <c r="E2" s="100" t="s">
        <v>1</v>
      </c>
    </row>
    <row r="3" spans="2:15" ht="15" customHeight="1">
      <c r="C3" s="131"/>
      <c r="D3" s="131"/>
      <c r="E3" s="101" t="str">
        <f>Dat_01!A2</f>
        <v>Marzo 2023</v>
      </c>
    </row>
    <row r="4" spans="2:15" s="133" customFormat="1" ht="20.25" customHeight="1">
      <c r="B4" s="132"/>
      <c r="C4" s="99" t="s">
        <v>67</v>
      </c>
    </row>
    <row r="5" spans="2:15" s="133" customFormat="1" ht="8.25" customHeight="1">
      <c r="B5" s="132"/>
      <c r="C5" s="134"/>
    </row>
    <row r="6" spans="2:15" s="133" customFormat="1" ht="3" customHeight="1">
      <c r="B6" s="132"/>
      <c r="C6" s="134"/>
    </row>
    <row r="7" spans="2:15" s="133" customFormat="1" ht="7.5" customHeight="1">
      <c r="B7" s="132"/>
      <c r="C7" s="135"/>
      <c r="D7" s="136"/>
      <c r="E7" s="136"/>
    </row>
    <row r="8" spans="2:15" ht="12.6" customHeight="1">
      <c r="D8" s="137" t="s">
        <v>66</v>
      </c>
      <c r="E8" s="138" t="s">
        <v>78</v>
      </c>
    </row>
    <row r="9" spans="2:15" s="133" customFormat="1" ht="12.6" customHeight="1">
      <c r="B9" s="132"/>
      <c r="C9" s="139"/>
      <c r="D9" s="137" t="s">
        <v>66</v>
      </c>
      <c r="E9" s="138" t="str">
        <f>'P2'!C7</f>
        <v>Estructura de potencia instalada peninsular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2:15" s="133" customFormat="1" ht="12.6" customHeight="1">
      <c r="B10" s="132"/>
      <c r="C10" s="139"/>
      <c r="D10" s="137" t="s">
        <v>66</v>
      </c>
      <c r="E10" s="138" t="str">
        <f>'P2'!C23</f>
        <v>Estructura de generación mensual peninsular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2:15" ht="12.6" customHeight="1">
      <c r="D11" s="137" t="s">
        <v>66</v>
      </c>
      <c r="E11" s="138" t="str">
        <f>'P3'!C7</f>
        <v xml:space="preserve">Estructura de generación diaria del día de máxima generación de energía renovable peninsular
</v>
      </c>
    </row>
    <row r="12" spans="2:15" ht="12.6" customHeight="1">
      <c r="D12" s="137" t="s">
        <v>66</v>
      </c>
      <c r="E12" s="138" t="str">
        <f>'P4'!C7</f>
        <v>Evolución del peso de la generación renovable y no renovable peninsular</v>
      </c>
    </row>
    <row r="13" spans="2:15" ht="12.6" customHeight="1">
      <c r="D13" s="137" t="s">
        <v>66</v>
      </c>
      <c r="E13" s="138" t="str">
        <f>'P5'!C7</f>
        <v>Evolución de las emisiones de CO2 equivalente y peso de la generación libre de CO2 peninsular</v>
      </c>
    </row>
    <row r="14" spans="2:15" ht="12.6" customHeight="1">
      <c r="D14" s="137" t="s">
        <v>66</v>
      </c>
      <c r="E14" s="138" t="str">
        <f>'P6'!C7</f>
        <v xml:space="preserve">Evolución de la generación renovable peninsular </v>
      </c>
    </row>
    <row r="15" spans="2:15" ht="12.6" customHeight="1">
      <c r="D15" s="137" t="s">
        <v>66</v>
      </c>
      <c r="E15" s="138" t="str">
        <f>'P7'!C7</f>
        <v xml:space="preserve">Evolución de la generación no renovable peninsular </v>
      </c>
    </row>
    <row r="16" spans="2:15" ht="12.6" customHeight="1">
      <c r="D16" s="137" t="s">
        <v>66</v>
      </c>
      <c r="E16" s="138" t="str">
        <f>'P8'!C7</f>
        <v>Generación eólica diaria peninsular</v>
      </c>
    </row>
    <row r="17" spans="2:5" ht="12.6" customHeight="1">
      <c r="D17" s="137" t="s">
        <v>66</v>
      </c>
      <c r="E17" s="138" t="str">
        <f>'P9'!C7</f>
        <v>Máximos de generación de energía eólica peninsular</v>
      </c>
    </row>
    <row r="18" spans="2:5" ht="12.6" customHeight="1">
      <c r="D18" s="137" t="s">
        <v>66</v>
      </c>
      <c r="E18" s="138" t="str">
        <f>'P10'!C7</f>
        <v>Energía producible eólica comparada con el producible eólico medio histórico</v>
      </c>
    </row>
    <row r="19" spans="2:5" ht="12.6" customHeight="1">
      <c r="D19" s="137" t="s">
        <v>66</v>
      </c>
      <c r="E19" s="138" t="str">
        <f>'P11'!B7</f>
        <v>Energía producible hidráulica diaria comparada con el producible medio histórico</v>
      </c>
    </row>
    <row r="20" spans="2:5" ht="12.6" customHeight="1">
      <c r="D20" s="137" t="s">
        <v>66</v>
      </c>
      <c r="E20" s="138" t="str">
        <f>'P12'!B7</f>
        <v>Reservas hidroeléctricas</v>
      </c>
    </row>
    <row r="21" spans="2:5" ht="12.6" customHeight="1">
      <c r="D21" s="137" t="s">
        <v>66</v>
      </c>
      <c r="E21" s="138" t="str">
        <f>'P13'!C7</f>
        <v>Reservas hidroeléctricas a finales de mes por cuencas hidrográficas</v>
      </c>
    </row>
    <row r="22" spans="2:5" s="133" customFormat="1" ht="7.5" customHeight="1">
      <c r="B22" s="132"/>
      <c r="C22" s="135"/>
      <c r="D22" s="136"/>
      <c r="E22" s="13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Marzo 2023</v>
      </c>
    </row>
    <row r="4" spans="3:27" ht="19.899999999999999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Marzo 2023</v>
      </c>
    </row>
    <row r="4" spans="3:32" ht="19.899999999999999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8" t="s">
        <v>25</v>
      </c>
      <c r="E7" s="111"/>
      <c r="F7" s="309" t="str">
        <f>Dat_01!A2</f>
        <v>Marzo 2023</v>
      </c>
      <c r="G7" s="310"/>
      <c r="H7" s="311" t="s">
        <v>27</v>
      </c>
      <c r="I7" s="31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8"/>
      <c r="E8" s="112" t="s">
        <v>28</v>
      </c>
      <c r="F8" s="270">
        <v>20897</v>
      </c>
      <c r="G8" s="271" t="s">
        <v>243</v>
      </c>
      <c r="H8" s="270">
        <v>20330</v>
      </c>
      <c r="I8" s="271" t="s">
        <v>219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4"/>
      <c r="E9" s="113" t="s">
        <v>29</v>
      </c>
      <c r="F9" s="251">
        <v>80.3</v>
      </c>
      <c r="G9" s="252" t="s">
        <v>242</v>
      </c>
      <c r="H9" s="248">
        <v>83.6</v>
      </c>
      <c r="I9" s="252" t="s">
        <v>194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9"/>
      <c r="I10" s="25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Marzo 2023</v>
      </c>
    </row>
    <row r="4" spans="3:34" ht="19.899999999999999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8" t="s">
        <v>175</v>
      </c>
      <c r="E7" s="4"/>
    </row>
    <row r="8" spans="3:34">
      <c r="C8" s="308"/>
      <c r="E8" s="4"/>
    </row>
    <row r="9" spans="3:34">
      <c r="C9" s="308"/>
      <c r="E9" s="4"/>
    </row>
    <row r="10" spans="3:34">
      <c r="C10" s="308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</v>
      </c>
    </row>
    <row r="3" spans="2:22" ht="15" customHeight="1">
      <c r="D3" s="109" t="str">
        <f>Indice!E3</f>
        <v>Marzo 2023</v>
      </c>
    </row>
    <row r="4" spans="2:22" ht="20.100000000000001" customHeight="1">
      <c r="B4" s="99" t="s">
        <v>147</v>
      </c>
      <c r="V4" s="54"/>
    </row>
    <row r="5" spans="2:22">
      <c r="V5" s="54"/>
    </row>
    <row r="6" spans="2:22">
      <c r="V6" s="54"/>
    </row>
    <row r="7" spans="2:22">
      <c r="B7" s="308" t="s">
        <v>26</v>
      </c>
      <c r="V7" s="54"/>
    </row>
    <row r="8" spans="2:22">
      <c r="B8" s="308"/>
      <c r="V8" s="54"/>
    </row>
    <row r="9" spans="2:22">
      <c r="B9" s="308"/>
      <c r="V9" s="54"/>
    </row>
    <row r="10" spans="2:22">
      <c r="B10" s="102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7109375" style="50" customWidth="1"/>
    <col min="23" max="264" width="11.42578125" style="50"/>
    <col min="265" max="265" width="4.42578125" style="50" customWidth="1"/>
    <col min="266" max="266" width="13.28515625" style="50" customWidth="1"/>
    <col min="267" max="271" width="11.42578125" style="50"/>
    <col min="272" max="272" width="4.7109375" style="50" customWidth="1"/>
    <col min="273" max="520" width="11.42578125" style="50"/>
    <col min="521" max="521" width="4.42578125" style="50" customWidth="1"/>
    <col min="522" max="522" width="13.28515625" style="50" customWidth="1"/>
    <col min="523" max="527" width="11.42578125" style="50"/>
    <col min="528" max="528" width="4.7109375" style="50" customWidth="1"/>
    <col min="529" max="776" width="11.42578125" style="50"/>
    <col min="777" max="777" width="4.42578125" style="50" customWidth="1"/>
    <col min="778" max="778" width="13.28515625" style="50" customWidth="1"/>
    <col min="779" max="783" width="11.42578125" style="50"/>
    <col min="784" max="784" width="4.7109375" style="50" customWidth="1"/>
    <col min="785" max="1032" width="11.42578125" style="50"/>
    <col min="1033" max="1033" width="4.42578125" style="50" customWidth="1"/>
    <col min="1034" max="1034" width="13.28515625" style="50" customWidth="1"/>
    <col min="1035" max="1039" width="11.42578125" style="50"/>
    <col min="1040" max="1040" width="4.7109375" style="50" customWidth="1"/>
    <col min="1041" max="1288" width="11.42578125" style="50"/>
    <col min="1289" max="1289" width="4.42578125" style="50" customWidth="1"/>
    <col min="1290" max="1290" width="13.28515625" style="50" customWidth="1"/>
    <col min="1291" max="1295" width="11.42578125" style="50"/>
    <col min="1296" max="1296" width="4.7109375" style="50" customWidth="1"/>
    <col min="1297" max="1544" width="11.42578125" style="50"/>
    <col min="1545" max="1545" width="4.42578125" style="50" customWidth="1"/>
    <col min="1546" max="1546" width="13.28515625" style="50" customWidth="1"/>
    <col min="1547" max="1551" width="11.42578125" style="50"/>
    <col min="1552" max="1552" width="4.7109375" style="50" customWidth="1"/>
    <col min="1553" max="1800" width="11.42578125" style="50"/>
    <col min="1801" max="1801" width="4.42578125" style="50" customWidth="1"/>
    <col min="1802" max="1802" width="13.28515625" style="50" customWidth="1"/>
    <col min="1803" max="1807" width="11.42578125" style="50"/>
    <col min="1808" max="1808" width="4.7109375" style="50" customWidth="1"/>
    <col min="1809" max="2056" width="11.42578125" style="50"/>
    <col min="2057" max="2057" width="4.42578125" style="50" customWidth="1"/>
    <col min="2058" max="2058" width="13.28515625" style="50" customWidth="1"/>
    <col min="2059" max="2063" width="11.42578125" style="50"/>
    <col min="2064" max="2064" width="4.7109375" style="50" customWidth="1"/>
    <col min="2065" max="2312" width="11.42578125" style="50"/>
    <col min="2313" max="2313" width="4.42578125" style="50" customWidth="1"/>
    <col min="2314" max="2314" width="13.28515625" style="50" customWidth="1"/>
    <col min="2315" max="2319" width="11.42578125" style="50"/>
    <col min="2320" max="2320" width="4.7109375" style="50" customWidth="1"/>
    <col min="2321" max="2568" width="11.42578125" style="50"/>
    <col min="2569" max="2569" width="4.42578125" style="50" customWidth="1"/>
    <col min="2570" max="2570" width="13.28515625" style="50" customWidth="1"/>
    <col min="2571" max="2575" width="11.42578125" style="50"/>
    <col min="2576" max="2576" width="4.7109375" style="50" customWidth="1"/>
    <col min="2577" max="2824" width="11.42578125" style="50"/>
    <col min="2825" max="2825" width="4.42578125" style="50" customWidth="1"/>
    <col min="2826" max="2826" width="13.28515625" style="50" customWidth="1"/>
    <col min="2827" max="2831" width="11.42578125" style="50"/>
    <col min="2832" max="2832" width="4.7109375" style="50" customWidth="1"/>
    <col min="2833" max="3080" width="11.42578125" style="50"/>
    <col min="3081" max="3081" width="4.42578125" style="50" customWidth="1"/>
    <col min="3082" max="3082" width="13.28515625" style="50" customWidth="1"/>
    <col min="3083" max="3087" width="11.42578125" style="50"/>
    <col min="3088" max="3088" width="4.7109375" style="50" customWidth="1"/>
    <col min="3089" max="3336" width="11.42578125" style="50"/>
    <col min="3337" max="3337" width="4.42578125" style="50" customWidth="1"/>
    <col min="3338" max="3338" width="13.28515625" style="50" customWidth="1"/>
    <col min="3339" max="3343" width="11.42578125" style="50"/>
    <col min="3344" max="3344" width="4.7109375" style="50" customWidth="1"/>
    <col min="3345" max="3592" width="11.42578125" style="50"/>
    <col min="3593" max="3593" width="4.42578125" style="50" customWidth="1"/>
    <col min="3594" max="3594" width="13.28515625" style="50" customWidth="1"/>
    <col min="3595" max="3599" width="11.42578125" style="50"/>
    <col min="3600" max="3600" width="4.7109375" style="50" customWidth="1"/>
    <col min="3601" max="3848" width="11.42578125" style="50"/>
    <col min="3849" max="3849" width="4.42578125" style="50" customWidth="1"/>
    <col min="3850" max="3850" width="13.28515625" style="50" customWidth="1"/>
    <col min="3851" max="3855" width="11.42578125" style="50"/>
    <col min="3856" max="3856" width="4.7109375" style="50" customWidth="1"/>
    <col min="3857" max="4104" width="11.42578125" style="50"/>
    <col min="4105" max="4105" width="4.42578125" style="50" customWidth="1"/>
    <col min="4106" max="4106" width="13.28515625" style="50" customWidth="1"/>
    <col min="4107" max="4111" width="11.42578125" style="50"/>
    <col min="4112" max="4112" width="4.7109375" style="50" customWidth="1"/>
    <col min="4113" max="4360" width="11.42578125" style="50"/>
    <col min="4361" max="4361" width="4.42578125" style="50" customWidth="1"/>
    <col min="4362" max="4362" width="13.28515625" style="50" customWidth="1"/>
    <col min="4363" max="4367" width="11.42578125" style="50"/>
    <col min="4368" max="4368" width="4.7109375" style="50" customWidth="1"/>
    <col min="4369" max="4616" width="11.42578125" style="50"/>
    <col min="4617" max="4617" width="4.42578125" style="50" customWidth="1"/>
    <col min="4618" max="4618" width="13.28515625" style="50" customWidth="1"/>
    <col min="4619" max="4623" width="11.42578125" style="50"/>
    <col min="4624" max="4624" width="4.7109375" style="50" customWidth="1"/>
    <col min="4625" max="4872" width="11.42578125" style="50"/>
    <col min="4873" max="4873" width="4.42578125" style="50" customWidth="1"/>
    <col min="4874" max="4874" width="13.28515625" style="50" customWidth="1"/>
    <col min="4875" max="4879" width="11.42578125" style="50"/>
    <col min="4880" max="4880" width="4.7109375" style="50" customWidth="1"/>
    <col min="4881" max="5128" width="11.42578125" style="50"/>
    <col min="5129" max="5129" width="4.42578125" style="50" customWidth="1"/>
    <col min="5130" max="5130" width="13.28515625" style="50" customWidth="1"/>
    <col min="5131" max="5135" width="11.42578125" style="50"/>
    <col min="5136" max="5136" width="4.7109375" style="50" customWidth="1"/>
    <col min="5137" max="5384" width="11.42578125" style="50"/>
    <col min="5385" max="5385" width="4.42578125" style="50" customWidth="1"/>
    <col min="5386" max="5386" width="13.28515625" style="50" customWidth="1"/>
    <col min="5387" max="5391" width="11.42578125" style="50"/>
    <col min="5392" max="5392" width="4.7109375" style="50" customWidth="1"/>
    <col min="5393" max="5640" width="11.42578125" style="50"/>
    <col min="5641" max="5641" width="4.42578125" style="50" customWidth="1"/>
    <col min="5642" max="5642" width="13.28515625" style="50" customWidth="1"/>
    <col min="5643" max="5647" width="11.42578125" style="50"/>
    <col min="5648" max="5648" width="4.7109375" style="50" customWidth="1"/>
    <col min="5649" max="5896" width="11.42578125" style="50"/>
    <col min="5897" max="5897" width="4.42578125" style="50" customWidth="1"/>
    <col min="5898" max="5898" width="13.28515625" style="50" customWidth="1"/>
    <col min="5899" max="5903" width="11.42578125" style="50"/>
    <col min="5904" max="5904" width="4.7109375" style="50" customWidth="1"/>
    <col min="5905" max="6152" width="11.42578125" style="50"/>
    <col min="6153" max="6153" width="4.42578125" style="50" customWidth="1"/>
    <col min="6154" max="6154" width="13.28515625" style="50" customWidth="1"/>
    <col min="6155" max="6159" width="11.42578125" style="50"/>
    <col min="6160" max="6160" width="4.7109375" style="50" customWidth="1"/>
    <col min="6161" max="6408" width="11.42578125" style="50"/>
    <col min="6409" max="6409" width="4.42578125" style="50" customWidth="1"/>
    <col min="6410" max="6410" width="13.28515625" style="50" customWidth="1"/>
    <col min="6411" max="6415" width="11.42578125" style="50"/>
    <col min="6416" max="6416" width="4.7109375" style="50" customWidth="1"/>
    <col min="6417" max="6664" width="11.42578125" style="50"/>
    <col min="6665" max="6665" width="4.42578125" style="50" customWidth="1"/>
    <col min="6666" max="6666" width="13.28515625" style="50" customWidth="1"/>
    <col min="6667" max="6671" width="11.42578125" style="50"/>
    <col min="6672" max="6672" width="4.7109375" style="50" customWidth="1"/>
    <col min="6673" max="6920" width="11.42578125" style="50"/>
    <col min="6921" max="6921" width="4.42578125" style="50" customWidth="1"/>
    <col min="6922" max="6922" width="13.28515625" style="50" customWidth="1"/>
    <col min="6923" max="6927" width="11.42578125" style="50"/>
    <col min="6928" max="6928" width="4.7109375" style="50" customWidth="1"/>
    <col min="6929" max="7176" width="11.42578125" style="50"/>
    <col min="7177" max="7177" width="4.42578125" style="50" customWidth="1"/>
    <col min="7178" max="7178" width="13.28515625" style="50" customWidth="1"/>
    <col min="7179" max="7183" width="11.42578125" style="50"/>
    <col min="7184" max="7184" width="4.7109375" style="50" customWidth="1"/>
    <col min="7185" max="7432" width="11.42578125" style="50"/>
    <col min="7433" max="7433" width="4.42578125" style="50" customWidth="1"/>
    <col min="7434" max="7434" width="13.28515625" style="50" customWidth="1"/>
    <col min="7435" max="7439" width="11.42578125" style="50"/>
    <col min="7440" max="7440" width="4.7109375" style="50" customWidth="1"/>
    <col min="7441" max="7688" width="11.42578125" style="50"/>
    <col min="7689" max="7689" width="4.42578125" style="50" customWidth="1"/>
    <col min="7690" max="7690" width="13.28515625" style="50" customWidth="1"/>
    <col min="7691" max="7695" width="11.42578125" style="50"/>
    <col min="7696" max="7696" width="4.7109375" style="50" customWidth="1"/>
    <col min="7697" max="7944" width="11.42578125" style="50"/>
    <col min="7945" max="7945" width="4.42578125" style="50" customWidth="1"/>
    <col min="7946" max="7946" width="13.28515625" style="50" customWidth="1"/>
    <col min="7947" max="7951" width="11.42578125" style="50"/>
    <col min="7952" max="7952" width="4.7109375" style="50" customWidth="1"/>
    <col min="7953" max="8200" width="11.42578125" style="50"/>
    <col min="8201" max="8201" width="4.42578125" style="50" customWidth="1"/>
    <col min="8202" max="8202" width="13.28515625" style="50" customWidth="1"/>
    <col min="8203" max="8207" width="11.42578125" style="50"/>
    <col min="8208" max="8208" width="4.7109375" style="50" customWidth="1"/>
    <col min="8209" max="8456" width="11.42578125" style="50"/>
    <col min="8457" max="8457" width="4.42578125" style="50" customWidth="1"/>
    <col min="8458" max="8458" width="13.28515625" style="50" customWidth="1"/>
    <col min="8459" max="8463" width="11.42578125" style="50"/>
    <col min="8464" max="8464" width="4.7109375" style="50" customWidth="1"/>
    <col min="8465" max="8712" width="11.42578125" style="50"/>
    <col min="8713" max="8713" width="4.42578125" style="50" customWidth="1"/>
    <col min="8714" max="8714" width="13.28515625" style="50" customWidth="1"/>
    <col min="8715" max="8719" width="11.42578125" style="50"/>
    <col min="8720" max="8720" width="4.7109375" style="50" customWidth="1"/>
    <col min="8721" max="8968" width="11.42578125" style="50"/>
    <col min="8969" max="8969" width="4.42578125" style="50" customWidth="1"/>
    <col min="8970" max="8970" width="13.28515625" style="50" customWidth="1"/>
    <col min="8971" max="8975" width="11.42578125" style="50"/>
    <col min="8976" max="8976" width="4.7109375" style="50" customWidth="1"/>
    <col min="8977" max="9224" width="11.42578125" style="50"/>
    <col min="9225" max="9225" width="4.42578125" style="50" customWidth="1"/>
    <col min="9226" max="9226" width="13.28515625" style="50" customWidth="1"/>
    <col min="9227" max="9231" width="11.42578125" style="50"/>
    <col min="9232" max="9232" width="4.7109375" style="50" customWidth="1"/>
    <col min="9233" max="9480" width="11.42578125" style="50"/>
    <col min="9481" max="9481" width="4.42578125" style="50" customWidth="1"/>
    <col min="9482" max="9482" width="13.28515625" style="50" customWidth="1"/>
    <col min="9483" max="9487" width="11.42578125" style="50"/>
    <col min="9488" max="9488" width="4.7109375" style="50" customWidth="1"/>
    <col min="9489" max="9736" width="11.42578125" style="50"/>
    <col min="9737" max="9737" width="4.42578125" style="50" customWidth="1"/>
    <col min="9738" max="9738" width="13.28515625" style="50" customWidth="1"/>
    <col min="9739" max="9743" width="11.42578125" style="50"/>
    <col min="9744" max="9744" width="4.7109375" style="50" customWidth="1"/>
    <col min="9745" max="9992" width="11.42578125" style="50"/>
    <col min="9993" max="9993" width="4.42578125" style="50" customWidth="1"/>
    <col min="9994" max="9994" width="13.28515625" style="50" customWidth="1"/>
    <col min="9995" max="9999" width="11.42578125" style="50"/>
    <col min="10000" max="10000" width="4.7109375" style="50" customWidth="1"/>
    <col min="10001" max="10248" width="11.42578125" style="50"/>
    <col min="10249" max="10249" width="4.42578125" style="50" customWidth="1"/>
    <col min="10250" max="10250" width="13.28515625" style="50" customWidth="1"/>
    <col min="10251" max="10255" width="11.42578125" style="50"/>
    <col min="10256" max="10256" width="4.7109375" style="50" customWidth="1"/>
    <col min="10257" max="10504" width="11.42578125" style="50"/>
    <col min="10505" max="10505" width="4.42578125" style="50" customWidth="1"/>
    <col min="10506" max="10506" width="13.28515625" style="50" customWidth="1"/>
    <col min="10507" max="10511" width="11.42578125" style="50"/>
    <col min="10512" max="10512" width="4.7109375" style="50" customWidth="1"/>
    <col min="10513" max="10760" width="11.42578125" style="50"/>
    <col min="10761" max="10761" width="4.42578125" style="50" customWidth="1"/>
    <col min="10762" max="10762" width="13.28515625" style="50" customWidth="1"/>
    <col min="10763" max="10767" width="11.42578125" style="50"/>
    <col min="10768" max="10768" width="4.7109375" style="50" customWidth="1"/>
    <col min="10769" max="11016" width="11.42578125" style="50"/>
    <col min="11017" max="11017" width="4.42578125" style="50" customWidth="1"/>
    <col min="11018" max="11018" width="13.28515625" style="50" customWidth="1"/>
    <col min="11019" max="11023" width="11.42578125" style="50"/>
    <col min="11024" max="11024" width="4.7109375" style="50" customWidth="1"/>
    <col min="11025" max="11272" width="11.42578125" style="50"/>
    <col min="11273" max="11273" width="4.42578125" style="50" customWidth="1"/>
    <col min="11274" max="11274" width="13.28515625" style="50" customWidth="1"/>
    <col min="11275" max="11279" width="11.42578125" style="50"/>
    <col min="11280" max="11280" width="4.7109375" style="50" customWidth="1"/>
    <col min="11281" max="11528" width="11.42578125" style="50"/>
    <col min="11529" max="11529" width="4.42578125" style="50" customWidth="1"/>
    <col min="11530" max="11530" width="13.28515625" style="50" customWidth="1"/>
    <col min="11531" max="11535" width="11.42578125" style="50"/>
    <col min="11536" max="11536" width="4.7109375" style="50" customWidth="1"/>
    <col min="11537" max="11784" width="11.42578125" style="50"/>
    <col min="11785" max="11785" width="4.42578125" style="50" customWidth="1"/>
    <col min="11786" max="11786" width="13.28515625" style="50" customWidth="1"/>
    <col min="11787" max="11791" width="11.42578125" style="50"/>
    <col min="11792" max="11792" width="4.7109375" style="50" customWidth="1"/>
    <col min="11793" max="12040" width="11.42578125" style="50"/>
    <col min="12041" max="12041" width="4.42578125" style="50" customWidth="1"/>
    <col min="12042" max="12042" width="13.28515625" style="50" customWidth="1"/>
    <col min="12043" max="12047" width="11.42578125" style="50"/>
    <col min="12048" max="12048" width="4.7109375" style="50" customWidth="1"/>
    <col min="12049" max="12296" width="11.42578125" style="50"/>
    <col min="12297" max="12297" width="4.42578125" style="50" customWidth="1"/>
    <col min="12298" max="12298" width="13.28515625" style="50" customWidth="1"/>
    <col min="12299" max="12303" width="11.42578125" style="50"/>
    <col min="12304" max="12304" width="4.7109375" style="50" customWidth="1"/>
    <col min="12305" max="12552" width="11.42578125" style="50"/>
    <col min="12553" max="12553" width="4.42578125" style="50" customWidth="1"/>
    <col min="12554" max="12554" width="13.28515625" style="50" customWidth="1"/>
    <col min="12555" max="12559" width="11.42578125" style="50"/>
    <col min="12560" max="12560" width="4.7109375" style="50" customWidth="1"/>
    <col min="12561" max="12808" width="11.42578125" style="50"/>
    <col min="12809" max="12809" width="4.42578125" style="50" customWidth="1"/>
    <col min="12810" max="12810" width="13.28515625" style="50" customWidth="1"/>
    <col min="12811" max="12815" width="11.42578125" style="50"/>
    <col min="12816" max="12816" width="4.7109375" style="50" customWidth="1"/>
    <col min="12817" max="13064" width="11.42578125" style="50"/>
    <col min="13065" max="13065" width="4.42578125" style="50" customWidth="1"/>
    <col min="13066" max="13066" width="13.28515625" style="50" customWidth="1"/>
    <col min="13067" max="13071" width="11.42578125" style="50"/>
    <col min="13072" max="13072" width="4.7109375" style="50" customWidth="1"/>
    <col min="13073" max="13320" width="11.42578125" style="50"/>
    <col min="13321" max="13321" width="4.42578125" style="50" customWidth="1"/>
    <col min="13322" max="13322" width="13.28515625" style="50" customWidth="1"/>
    <col min="13323" max="13327" width="11.42578125" style="50"/>
    <col min="13328" max="13328" width="4.7109375" style="50" customWidth="1"/>
    <col min="13329" max="13576" width="11.42578125" style="50"/>
    <col min="13577" max="13577" width="4.42578125" style="50" customWidth="1"/>
    <col min="13578" max="13578" width="13.28515625" style="50" customWidth="1"/>
    <col min="13579" max="13583" width="11.42578125" style="50"/>
    <col min="13584" max="13584" width="4.7109375" style="50" customWidth="1"/>
    <col min="13585" max="13832" width="11.42578125" style="50"/>
    <col min="13833" max="13833" width="4.42578125" style="50" customWidth="1"/>
    <col min="13834" max="13834" width="13.28515625" style="50" customWidth="1"/>
    <col min="13835" max="13839" width="11.42578125" style="50"/>
    <col min="13840" max="13840" width="4.7109375" style="50" customWidth="1"/>
    <col min="13841" max="14088" width="11.42578125" style="50"/>
    <col min="14089" max="14089" width="4.42578125" style="50" customWidth="1"/>
    <col min="14090" max="14090" width="13.28515625" style="50" customWidth="1"/>
    <col min="14091" max="14095" width="11.42578125" style="50"/>
    <col min="14096" max="14096" width="4.7109375" style="50" customWidth="1"/>
    <col min="14097" max="14344" width="11.42578125" style="50"/>
    <col min="14345" max="14345" width="4.42578125" style="50" customWidth="1"/>
    <col min="14346" max="14346" width="13.28515625" style="50" customWidth="1"/>
    <col min="14347" max="14351" width="11.42578125" style="50"/>
    <col min="14352" max="14352" width="4.7109375" style="50" customWidth="1"/>
    <col min="14353" max="14600" width="11.42578125" style="50"/>
    <col min="14601" max="14601" width="4.42578125" style="50" customWidth="1"/>
    <col min="14602" max="14602" width="13.28515625" style="50" customWidth="1"/>
    <col min="14603" max="14607" width="11.42578125" style="50"/>
    <col min="14608" max="14608" width="4.7109375" style="50" customWidth="1"/>
    <col min="14609" max="14856" width="11.42578125" style="50"/>
    <col min="14857" max="14857" width="4.42578125" style="50" customWidth="1"/>
    <col min="14858" max="14858" width="13.28515625" style="50" customWidth="1"/>
    <col min="14859" max="14863" width="11.42578125" style="50"/>
    <col min="14864" max="14864" width="4.7109375" style="50" customWidth="1"/>
    <col min="14865" max="15112" width="11.42578125" style="50"/>
    <col min="15113" max="15113" width="4.42578125" style="50" customWidth="1"/>
    <col min="15114" max="15114" width="13.28515625" style="50" customWidth="1"/>
    <col min="15115" max="15119" width="11.42578125" style="50"/>
    <col min="15120" max="15120" width="4.7109375" style="50" customWidth="1"/>
    <col min="15121" max="15368" width="11.42578125" style="50"/>
    <col min="15369" max="15369" width="4.42578125" style="50" customWidth="1"/>
    <col min="15370" max="15370" width="13.28515625" style="50" customWidth="1"/>
    <col min="15371" max="15375" width="11.42578125" style="50"/>
    <col min="15376" max="15376" width="4.7109375" style="50" customWidth="1"/>
    <col min="15377" max="15624" width="11.42578125" style="50"/>
    <col min="15625" max="15625" width="4.42578125" style="50" customWidth="1"/>
    <col min="15626" max="15626" width="13.28515625" style="50" customWidth="1"/>
    <col min="15627" max="15631" width="11.42578125" style="50"/>
    <col min="15632" max="15632" width="4.7109375" style="50" customWidth="1"/>
    <col min="15633" max="15880" width="11.42578125" style="50"/>
    <col min="15881" max="15881" width="4.42578125" style="50" customWidth="1"/>
    <col min="15882" max="15882" width="13.28515625" style="50" customWidth="1"/>
    <col min="15883" max="15887" width="11.42578125" style="50"/>
    <col min="15888" max="15888" width="4.7109375" style="50" customWidth="1"/>
    <col min="15889" max="16136" width="11.42578125" style="50"/>
    <col min="16137" max="16137" width="4.42578125" style="50" customWidth="1"/>
    <col min="16138" max="16138" width="13.28515625" style="50" customWidth="1"/>
    <col min="16139" max="16143" width="11.42578125" style="50"/>
    <col min="16144" max="16144" width="4.7109375" style="50" customWidth="1"/>
    <col min="16145" max="16384" width="11.42578125" style="50"/>
  </cols>
  <sheetData>
    <row r="2" spans="2:33">
      <c r="D2" s="109" t="s">
        <v>1</v>
      </c>
    </row>
    <row r="3" spans="2:33">
      <c r="D3" s="109" t="str">
        <f>Indice!E3</f>
        <v>Marzo 2023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-30.550101823812785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J21" sqref="J21"/>
    </sheetView>
  </sheetViews>
  <sheetFormatPr baseColWidth="10" defaultColWidth="11.42578125" defaultRowHeight="12.75"/>
  <cols>
    <col min="1" max="1" width="0.28515625" style="69" customWidth="1"/>
    <col min="2" max="2" width="2.7109375" style="69" customWidth="1"/>
    <col min="3" max="3" width="23.7109375" style="69" customWidth="1"/>
    <col min="4" max="4" width="1.28515625" style="69" customWidth="1"/>
    <col min="5" max="5" width="59.7109375" style="69" customWidth="1"/>
    <col min="6" max="6" width="11.42578125" style="83"/>
    <col min="7" max="7" width="15.7109375" style="83" customWidth="1"/>
    <col min="8" max="16384" width="11.42578125" style="83"/>
  </cols>
  <sheetData>
    <row r="1" spans="2:18" s="69" customFormat="1" ht="0.75" customHeight="1"/>
    <row r="2" spans="2:18" s="69" customFormat="1" ht="21" customHeight="1">
      <c r="E2" s="100" t="s">
        <v>1</v>
      </c>
    </row>
    <row r="3" spans="2:18" s="69" customFormat="1" ht="15" customHeight="1">
      <c r="E3" s="109" t="str">
        <f>Indice!E3</f>
        <v>Marzo 2023</v>
      </c>
    </row>
    <row r="4" spans="2:18" s="71" customFormat="1" ht="20.25" customHeight="1">
      <c r="B4" s="70"/>
      <c r="C4" s="99" t="s">
        <v>67</v>
      </c>
    </row>
    <row r="5" spans="2:18" s="71" customFormat="1" ht="12.75" customHeight="1">
      <c r="B5" s="70"/>
      <c r="C5" s="72"/>
    </row>
    <row r="6" spans="2:18" s="71" customFormat="1" ht="13.5" customHeight="1">
      <c r="B6" s="70"/>
      <c r="C6" s="73"/>
      <c r="D6" s="74"/>
      <c r="E6" s="74"/>
    </row>
    <row r="7" spans="2:18" s="71" customFormat="1" ht="12.75" customHeight="1">
      <c r="B7" s="70"/>
      <c r="C7" s="308" t="s">
        <v>77</v>
      </c>
      <c r="D7" s="74"/>
      <c r="E7" s="75"/>
      <c r="P7" s="76"/>
      <c r="Q7" s="76"/>
      <c r="R7" s="76"/>
    </row>
    <row r="8" spans="2:18" s="71" customFormat="1" ht="12.75" customHeight="1">
      <c r="B8" s="70"/>
      <c r="C8" s="308"/>
      <c r="D8" s="74"/>
      <c r="E8" s="75"/>
      <c r="P8" s="77"/>
      <c r="Q8" s="77"/>
      <c r="R8" s="77"/>
    </row>
    <row r="9" spans="2:18" s="71" customFormat="1" ht="12.75" customHeight="1">
      <c r="B9" s="70"/>
      <c r="C9" s="308"/>
      <c r="D9" s="74"/>
      <c r="E9" s="75"/>
      <c r="P9" s="78"/>
      <c r="Q9" s="78"/>
      <c r="R9" s="78"/>
    </row>
    <row r="10" spans="2:18" s="71" customFormat="1" ht="12.75" customHeight="1">
      <c r="B10" s="70"/>
      <c r="C10" s="85"/>
      <c r="D10" s="74"/>
      <c r="E10" s="75"/>
      <c r="P10" s="78"/>
      <c r="Q10" s="78"/>
      <c r="R10" s="78"/>
    </row>
    <row r="11" spans="2:18" s="71" customFormat="1" ht="12.75" customHeight="1">
      <c r="B11" s="70"/>
      <c r="C11" s="85"/>
      <c r="D11" s="74"/>
      <c r="E11" s="79"/>
      <c r="P11" s="78"/>
      <c r="Q11" s="78"/>
      <c r="R11" s="78"/>
    </row>
    <row r="12" spans="2:18" s="71" customFormat="1" ht="12.75" customHeight="1">
      <c r="B12" s="70"/>
      <c r="C12" s="85"/>
      <c r="D12" s="74"/>
      <c r="E12" s="79"/>
      <c r="P12" s="78"/>
      <c r="Q12" s="78"/>
      <c r="R12" s="78"/>
    </row>
    <row r="13" spans="2:18" s="71" customFormat="1" ht="12.75" customHeight="1">
      <c r="B13" s="70"/>
      <c r="C13" s="85"/>
      <c r="D13" s="74"/>
      <c r="E13" s="79"/>
      <c r="P13" s="78"/>
      <c r="Q13" s="78"/>
      <c r="R13" s="78"/>
    </row>
    <row r="14" spans="2:18" s="71" customFormat="1" ht="12.75" customHeight="1">
      <c r="B14" s="70"/>
      <c r="C14" s="73"/>
      <c r="D14" s="74"/>
      <c r="E14" s="79"/>
      <c r="P14" s="78"/>
      <c r="Q14" s="78"/>
      <c r="R14" s="78"/>
    </row>
    <row r="15" spans="2:18" s="71" customFormat="1" ht="12.75" customHeight="1">
      <c r="B15" s="70"/>
      <c r="C15" s="73"/>
      <c r="D15" s="74"/>
      <c r="E15" s="79"/>
      <c r="P15" s="78"/>
      <c r="Q15" s="78"/>
      <c r="R15" s="78"/>
    </row>
    <row r="16" spans="2:18" s="71" customFormat="1" ht="12.75" customHeight="1">
      <c r="B16" s="70"/>
      <c r="C16" s="73"/>
      <c r="D16" s="74"/>
      <c r="E16" s="79"/>
      <c r="P16" s="78"/>
      <c r="Q16" s="78"/>
      <c r="R16" s="78"/>
    </row>
    <row r="17" spans="2:9" s="71" customFormat="1" ht="12.75" customHeight="1">
      <c r="B17" s="70"/>
      <c r="C17" s="73"/>
      <c r="D17" s="74"/>
      <c r="E17" s="79"/>
      <c r="G17" s="81"/>
      <c r="H17" s="80"/>
      <c r="I17" s="80"/>
    </row>
    <row r="18" spans="2:9" s="71" customFormat="1" ht="12.75" customHeight="1">
      <c r="B18" s="70"/>
      <c r="C18" s="73"/>
      <c r="D18" s="74"/>
      <c r="E18" s="79"/>
      <c r="G18" s="81"/>
      <c r="H18" s="80"/>
      <c r="I18" s="80"/>
    </row>
    <row r="19" spans="2:9" s="71" customFormat="1" ht="12.75" customHeight="1">
      <c r="B19" s="70"/>
      <c r="C19" s="73"/>
      <c r="D19" s="74"/>
      <c r="E19" s="79"/>
      <c r="G19" s="81"/>
      <c r="H19" s="80"/>
      <c r="I19" s="80"/>
    </row>
    <row r="20" spans="2:9" s="71" customFormat="1" ht="12.75" customHeight="1">
      <c r="B20" s="70"/>
      <c r="C20" s="73"/>
      <c r="D20" s="74"/>
      <c r="E20" s="79"/>
      <c r="G20" s="81"/>
      <c r="H20" s="80"/>
      <c r="I20" s="80"/>
    </row>
    <row r="21" spans="2:9" s="71" customFormat="1" ht="12.75" customHeight="1">
      <c r="B21" s="70"/>
      <c r="C21" s="73"/>
      <c r="D21" s="74"/>
      <c r="E21" s="79"/>
      <c r="G21" s="81"/>
      <c r="H21" s="80"/>
      <c r="I21" s="80"/>
    </row>
    <row r="22" spans="2:9">
      <c r="E22" s="82"/>
      <c r="H22" s="80"/>
      <c r="I22" s="80"/>
    </row>
    <row r="23" spans="2:9" ht="12.75" customHeight="1">
      <c r="E23" s="82"/>
      <c r="H23" s="80"/>
    </row>
    <row r="24" spans="2:9" ht="12.75" customHeight="1">
      <c r="E24" s="82"/>
    </row>
    <row r="25" spans="2:9">
      <c r="E25" s="82"/>
    </row>
    <row r="26" spans="2:9">
      <c r="E26" s="82"/>
    </row>
    <row r="27" spans="2:9">
      <c r="E27" s="82"/>
    </row>
    <row r="28" spans="2:9">
      <c r="E28" s="302"/>
    </row>
    <row r="29" spans="2:9">
      <c r="E29" s="302"/>
    </row>
    <row r="30" spans="2:9">
      <c r="F30" s="84"/>
    </row>
    <row r="31" spans="2:9">
      <c r="F31" s="84"/>
    </row>
    <row r="32" spans="2:9">
      <c r="F32" s="84"/>
    </row>
    <row r="33" spans="6:14">
      <c r="F33" s="84"/>
    </row>
    <row r="34" spans="6:14">
      <c r="F34" s="84"/>
    </row>
    <row r="35" spans="6:14">
      <c r="F35" s="84"/>
    </row>
    <row r="40" spans="6:14">
      <c r="F40" s="69"/>
      <c r="G40" s="69"/>
      <c r="H40" s="69"/>
      <c r="I40" s="69"/>
      <c r="J40" s="69"/>
      <c r="K40" s="69"/>
      <c r="L40" s="69"/>
      <c r="N40" s="69"/>
    </row>
    <row r="41" spans="6:14">
      <c r="F41" s="69"/>
      <c r="G41" s="69"/>
      <c r="H41" s="69"/>
      <c r="I41" s="69"/>
      <c r="J41" s="69"/>
      <c r="K41" s="69"/>
      <c r="L41" s="69"/>
      <c r="N41" s="69"/>
    </row>
    <row r="42" spans="6:14">
      <c r="F42" s="69"/>
      <c r="G42" s="69"/>
      <c r="H42" s="69"/>
      <c r="I42" s="69"/>
      <c r="J42" s="69"/>
      <c r="K42" s="69"/>
      <c r="L42" s="69"/>
      <c r="N42" s="69"/>
    </row>
    <row r="43" spans="6:14">
      <c r="F43" s="69"/>
      <c r="G43" s="69"/>
      <c r="H43" s="69"/>
      <c r="I43" s="69"/>
      <c r="J43" s="69"/>
      <c r="K43" s="69"/>
      <c r="L43" s="69"/>
      <c r="N43" s="69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/>
  </sheetViews>
  <sheetFormatPr baseColWidth="10" defaultColWidth="11.42578125" defaultRowHeight="11.25"/>
  <cols>
    <col min="1" max="1" width="11.42578125" style="104"/>
    <col min="2" max="2" width="40.5703125" style="104" customWidth="1"/>
    <col min="3" max="16384" width="11.42578125" style="104"/>
  </cols>
  <sheetData>
    <row r="3" spans="2:7">
      <c r="B3" s="102" t="s">
        <v>56</v>
      </c>
      <c r="C3" s="157"/>
      <c r="D3" s="157"/>
      <c r="E3" s="157"/>
    </row>
    <row r="4" spans="2:7">
      <c r="B4" s="103"/>
      <c r="C4" s="86" t="s">
        <v>57</v>
      </c>
      <c r="D4" s="86" t="s">
        <v>14</v>
      </c>
      <c r="F4" s="103"/>
      <c r="G4" s="86" t="s">
        <v>14</v>
      </c>
    </row>
    <row r="5" spans="2:7">
      <c r="B5" s="127" t="s">
        <v>81</v>
      </c>
      <c r="C5" s="123">
        <f>Dat_01!B33</f>
        <v>3331.4</v>
      </c>
      <c r="D5" s="106">
        <f>C5/$C$17*100</f>
        <v>2.9177381600321919</v>
      </c>
      <c r="F5" s="105" t="s">
        <v>16</v>
      </c>
      <c r="G5" s="106">
        <f>SUM(D5:D10)</f>
        <v>38.723798009498886</v>
      </c>
    </row>
    <row r="6" spans="2:7">
      <c r="B6" s="105" t="s">
        <v>3</v>
      </c>
      <c r="C6" s="123">
        <f>Dat_01!B34</f>
        <v>7117.29</v>
      </c>
      <c r="D6" s="106">
        <f t="shared" ref="D6:D16" si="0">C6/$C$17*100</f>
        <v>6.2335320372862819</v>
      </c>
      <c r="F6" s="194" t="s">
        <v>17</v>
      </c>
      <c r="G6" s="195">
        <f>SUM(D11:D16)</f>
        <v>61.269239146539945</v>
      </c>
    </row>
    <row r="7" spans="2:7">
      <c r="B7" s="105" t="s">
        <v>4</v>
      </c>
      <c r="C7" s="123">
        <f>Dat_01!B35</f>
        <v>3223.165</v>
      </c>
      <c r="D7" s="106">
        <f t="shared" si="0"/>
        <v>2.8229427617758778</v>
      </c>
    </row>
    <row r="8" spans="2:7">
      <c r="B8" s="105" t="s">
        <v>11</v>
      </c>
      <c r="C8" s="123">
        <f>Dat_01!B36</f>
        <v>24561.845000000001</v>
      </c>
      <c r="D8" s="106">
        <f t="shared" si="0"/>
        <v>21.511986683465178</v>
      </c>
    </row>
    <row r="9" spans="2:7">
      <c r="B9" s="105" t="s">
        <v>9</v>
      </c>
      <c r="C9" s="123">
        <f>Dat_01!B37</f>
        <v>5592.9795000000004</v>
      </c>
      <c r="D9" s="106">
        <f t="shared" si="0"/>
        <v>4.8984960423328836</v>
      </c>
    </row>
    <row r="10" spans="2:7">
      <c r="B10" s="105" t="s">
        <v>70</v>
      </c>
      <c r="C10" s="123">
        <f>Dat_01!B39</f>
        <v>387.17849999999999</v>
      </c>
      <c r="D10" s="106">
        <f t="shared" si="0"/>
        <v>0.33910232460647893</v>
      </c>
    </row>
    <row r="11" spans="2:7">
      <c r="B11" s="105" t="s">
        <v>69</v>
      </c>
      <c r="C11" s="123">
        <f>Dat_01!B40</f>
        <v>131.6275</v>
      </c>
      <c r="D11" s="106">
        <f t="shared" si="0"/>
        <v>0.11528323817603331</v>
      </c>
    </row>
    <row r="12" spans="2:7">
      <c r="B12" s="105" t="s">
        <v>5</v>
      </c>
      <c r="C12" s="123">
        <f>Dat_01!B41</f>
        <v>29512.748500000002</v>
      </c>
      <c r="D12" s="106">
        <f t="shared" si="0"/>
        <v>25.848133669293045</v>
      </c>
    </row>
    <row r="13" spans="2:7">
      <c r="B13" s="105" t="s">
        <v>2</v>
      </c>
      <c r="C13" s="123">
        <f>Dat_01!B42</f>
        <v>17092.603029999998</v>
      </c>
      <c r="D13" s="106">
        <f t="shared" si="0"/>
        <v>14.970204753230734</v>
      </c>
    </row>
    <row r="14" spans="2:7">
      <c r="B14" s="105" t="s">
        <v>6</v>
      </c>
      <c r="C14" s="123">
        <f>Dat_01!B43</f>
        <v>19827.333256000002</v>
      </c>
      <c r="D14" s="106">
        <f t="shared" si="0"/>
        <v>17.365361965752097</v>
      </c>
    </row>
    <row r="15" spans="2:7">
      <c r="B15" s="105" t="s">
        <v>7</v>
      </c>
      <c r="C15" s="123">
        <f>Dat_01!B44</f>
        <v>2304.0129999999999</v>
      </c>
      <c r="D15" s="106">
        <f t="shared" si="0"/>
        <v>2.0179223903794954</v>
      </c>
    </row>
    <row r="16" spans="2:7">
      <c r="B16" s="105" t="s">
        <v>8</v>
      </c>
      <c r="C16" s="123">
        <f>Dat_01!B45</f>
        <v>1087.3499999999999</v>
      </c>
      <c r="D16" s="106">
        <f t="shared" si="0"/>
        <v>0.95233312970853212</v>
      </c>
    </row>
    <row r="17" spans="2:7">
      <c r="B17" s="107" t="s">
        <v>15</v>
      </c>
      <c r="C17" s="124">
        <f>SUM(C5:C16)+C18</f>
        <v>114177.483286</v>
      </c>
      <c r="D17" s="108">
        <f>SUM(D5:D16)+D18</f>
        <v>100</v>
      </c>
    </row>
    <row r="18" spans="2:7">
      <c r="B18" s="105" t="s">
        <v>178</v>
      </c>
      <c r="C18" s="123">
        <f>Dat_01!B38</f>
        <v>7.95</v>
      </c>
      <c r="D18" s="106">
        <f>C18/$C$17*100</f>
        <v>6.9628439611742589E-3</v>
      </c>
      <c r="E18" s="157"/>
    </row>
    <row r="19" spans="2:7">
      <c r="B19" s="102" t="s">
        <v>59</v>
      </c>
      <c r="C19" s="157"/>
      <c r="D19" s="157"/>
      <c r="E19" s="157"/>
    </row>
    <row r="20" spans="2:7">
      <c r="B20" s="103"/>
      <c r="C20" s="86" t="s">
        <v>0</v>
      </c>
      <c r="D20" s="86" t="s">
        <v>14</v>
      </c>
      <c r="F20" s="103"/>
      <c r="G20" s="86" t="s">
        <v>14</v>
      </c>
    </row>
    <row r="21" spans="2:7">
      <c r="B21" s="127" t="s">
        <v>81</v>
      </c>
      <c r="C21" s="123">
        <f>Dat_01!B50</f>
        <v>540.07979424799998</v>
      </c>
      <c r="D21" s="106">
        <f>C21/$C$33*100</f>
        <v>2.3586695565897422</v>
      </c>
      <c r="F21" s="105" t="s">
        <v>16</v>
      </c>
      <c r="G21" s="106">
        <f>SUM(D21:D26)</f>
        <v>45.717449284837954</v>
      </c>
    </row>
    <row r="22" spans="2:7">
      <c r="B22" s="105" t="s">
        <v>3</v>
      </c>
      <c r="C22" s="123">
        <f>Dat_01!B51</f>
        <v>5102.2896650000002</v>
      </c>
      <c r="D22" s="106">
        <f t="shared" ref="D22:D24" si="1">C22/$C$33*100</f>
        <v>22.283031933262407</v>
      </c>
      <c r="E22" s="125"/>
      <c r="F22" s="194" t="s">
        <v>17</v>
      </c>
      <c r="G22" s="195">
        <f>SUM(D27:D32)</f>
        <v>54.282550715162024</v>
      </c>
    </row>
    <row r="23" spans="2:7">
      <c r="B23" s="105" t="s">
        <v>4</v>
      </c>
      <c r="C23" s="123">
        <f>Dat_01!B52</f>
        <v>424.61757400000005</v>
      </c>
      <c r="D23" s="106">
        <f t="shared" si="1"/>
        <v>1.8544158764193592</v>
      </c>
      <c r="E23" s="125"/>
    </row>
    <row r="24" spans="2:7">
      <c r="B24" s="105" t="s">
        <v>11</v>
      </c>
      <c r="C24" s="123">
        <f>Dat_01!B53</f>
        <v>2596.673096</v>
      </c>
      <c r="D24" s="106">
        <f t="shared" si="1"/>
        <v>11.340349787532372</v>
      </c>
      <c r="E24" s="125"/>
    </row>
    <row r="25" spans="2:7">
      <c r="B25" s="105" t="s">
        <v>9</v>
      </c>
      <c r="C25" s="123">
        <f>Dat_01!B54</f>
        <v>1694.13301</v>
      </c>
      <c r="D25" s="106">
        <f>C25/$C$33*100</f>
        <v>7.3987214446053908</v>
      </c>
      <c r="E25" s="125"/>
    </row>
    <row r="26" spans="2:7">
      <c r="B26" s="105" t="s">
        <v>70</v>
      </c>
      <c r="C26" s="123">
        <f>Dat_01!B55</f>
        <v>110.4263425</v>
      </c>
      <c r="D26" s="106">
        <f>C26/$C$33*100</f>
        <v>0.48226068642868236</v>
      </c>
      <c r="E26" s="125"/>
    </row>
    <row r="27" spans="2:7">
      <c r="B27" s="105" t="s">
        <v>69</v>
      </c>
      <c r="C27" s="123">
        <f>Dat_01!B56</f>
        <v>62.238713499999996</v>
      </c>
      <c r="D27" s="106">
        <f t="shared" ref="D27:D28" si="2">C27/$C$33*100</f>
        <v>0.27181272163341003</v>
      </c>
      <c r="E27" s="125"/>
    </row>
    <row r="28" spans="2:7">
      <c r="B28" s="105" t="s">
        <v>5</v>
      </c>
      <c r="C28" s="123">
        <f>Dat_01!B57</f>
        <v>6561.4920899999997</v>
      </c>
      <c r="D28" s="106">
        <f t="shared" si="2"/>
        <v>28.655750137878282</v>
      </c>
      <c r="E28" s="125"/>
    </row>
    <row r="29" spans="2:7">
      <c r="B29" s="105" t="s">
        <v>2</v>
      </c>
      <c r="C29" s="123">
        <f>Dat_01!B58</f>
        <v>2039.877995889</v>
      </c>
      <c r="D29" s="106">
        <f>C29/$C$33*100</f>
        <v>8.908680123388077</v>
      </c>
      <c r="E29" s="125"/>
    </row>
    <row r="30" spans="2:7">
      <c r="B30" s="105" t="s">
        <v>6</v>
      </c>
      <c r="C30" s="123">
        <f>Dat_01!B59</f>
        <v>3049.4190860000003</v>
      </c>
      <c r="D30" s="106">
        <f t="shared" ref="D30:D32" si="3">C30/$C$33*100</f>
        <v>13.317609805133998</v>
      </c>
      <c r="E30" s="125"/>
    </row>
    <row r="31" spans="2:7">
      <c r="B31" s="105" t="s">
        <v>7</v>
      </c>
      <c r="C31" s="123">
        <f>Dat_01!B60</f>
        <v>409.577922</v>
      </c>
      <c r="D31" s="106">
        <f t="shared" si="3"/>
        <v>1.7887337870468121</v>
      </c>
      <c r="E31" s="125"/>
    </row>
    <row r="32" spans="2:7">
      <c r="B32" s="105" t="s">
        <v>8</v>
      </c>
      <c r="C32" s="123">
        <f>Dat_01!B61</f>
        <v>306.82023900000002</v>
      </c>
      <c r="D32" s="106">
        <f t="shared" si="3"/>
        <v>1.3399641400814519</v>
      </c>
      <c r="E32" s="125"/>
    </row>
    <row r="33" spans="2:6">
      <c r="B33" s="107" t="s">
        <v>15</v>
      </c>
      <c r="C33" s="124">
        <f>SUM(C21:C32)</f>
        <v>22897.645528137004</v>
      </c>
      <c r="D33" s="108">
        <f>SUM(D21:D32)</f>
        <v>99.999999999999986</v>
      </c>
    </row>
    <row r="34" spans="2:6">
      <c r="B34" s="143"/>
      <c r="C34" s="157"/>
      <c r="D34" s="157"/>
      <c r="E34" s="157"/>
      <c r="F34" s="157"/>
    </row>
    <row r="35" spans="2:6">
      <c r="B35" s="143" t="s">
        <v>145</v>
      </c>
      <c r="C35" s="157"/>
      <c r="D35" s="157"/>
      <c r="E35" s="157"/>
      <c r="F35" s="196" t="str">
        <f>CONCATENATE("Mes",CHAR(13),MID(B35,66,10))</f>
        <v>Mes_x000D_18/08/2018</v>
      </c>
    </row>
    <row r="36" spans="2:6">
      <c r="B36" s="103"/>
      <c r="C36" s="86" t="s">
        <v>14</v>
      </c>
      <c r="E36" s="103"/>
      <c r="F36" s="86" t="s">
        <v>14</v>
      </c>
    </row>
    <row r="37" spans="2:6">
      <c r="B37" s="105" t="s">
        <v>81</v>
      </c>
      <c r="C37" s="106">
        <f>Dat_01!B94</f>
        <v>2.4544697606613557</v>
      </c>
      <c r="E37" s="105" t="s">
        <v>16</v>
      </c>
      <c r="F37" s="106">
        <f>SUM(C37:C42)</f>
        <v>33.571098971854816</v>
      </c>
    </row>
    <row r="38" spans="2:6">
      <c r="B38" s="105" t="s">
        <v>3</v>
      </c>
      <c r="C38" s="106">
        <f>Dat_01!B95</f>
        <v>20.691276507141822</v>
      </c>
      <c r="E38" s="194" t="s">
        <v>17</v>
      </c>
      <c r="F38" s="195">
        <f>SUM(C43:C48)</f>
        <v>66.428901028145177</v>
      </c>
    </row>
    <row r="39" spans="2:6">
      <c r="B39" s="105" t="s">
        <v>4</v>
      </c>
      <c r="C39" s="106">
        <f>Dat_01!B96</f>
        <v>1.6753495101726017</v>
      </c>
    </row>
    <row r="40" spans="2:6">
      <c r="B40" s="105" t="s">
        <v>11</v>
      </c>
      <c r="C40" s="106">
        <f>Dat_01!B97</f>
        <v>2.5818079670024447</v>
      </c>
    </row>
    <row r="41" spans="2:6">
      <c r="B41" s="105" t="s">
        <v>9</v>
      </c>
      <c r="C41" s="106">
        <f>Dat_01!B98</f>
        <v>5.7813158811467114</v>
      </c>
    </row>
    <row r="42" spans="2:6">
      <c r="B42" s="105" t="s">
        <v>70</v>
      </c>
      <c r="C42" s="106">
        <f>Dat_01!B99</f>
        <v>0.38687934572987759</v>
      </c>
    </row>
    <row r="43" spans="2:6">
      <c r="B43" s="105" t="s">
        <v>69</v>
      </c>
      <c r="C43" s="106">
        <f>Dat_01!B100</f>
        <v>0.2235132284710783</v>
      </c>
    </row>
    <row r="44" spans="2:6">
      <c r="B44" s="105" t="s">
        <v>5</v>
      </c>
      <c r="C44" s="106">
        <f>Dat_01!B101</f>
        <v>47.161685551097435</v>
      </c>
    </row>
    <row r="45" spans="2:6">
      <c r="B45" s="105" t="s">
        <v>2</v>
      </c>
      <c r="C45" s="106">
        <f>Dat_01!B102</f>
        <v>5.3387069166096017</v>
      </c>
    </row>
    <row r="46" spans="2:6">
      <c r="B46" s="105" t="s">
        <v>6</v>
      </c>
      <c r="C46" s="106">
        <f>Dat_01!B103</f>
        <v>11.362415671676514</v>
      </c>
    </row>
    <row r="47" spans="2:6">
      <c r="B47" s="105" t="s">
        <v>7</v>
      </c>
      <c r="C47" s="106">
        <f>Dat_01!B104</f>
        <v>1.2519279328584683</v>
      </c>
    </row>
    <row r="48" spans="2:6">
      <c r="B48" s="105" t="s">
        <v>8</v>
      </c>
      <c r="C48" s="106">
        <f>Dat_01!B105</f>
        <v>1.090651727432095</v>
      </c>
      <c r="D48" s="157"/>
      <c r="E48" s="157"/>
      <c r="F48" s="157"/>
    </row>
    <row r="49" spans="2:6">
      <c r="B49" s="107" t="s">
        <v>15</v>
      </c>
      <c r="C49" s="108">
        <f>SUM(C37:C48)</f>
        <v>100</v>
      </c>
      <c r="D49" s="157"/>
      <c r="E49" s="157"/>
      <c r="F49" s="157"/>
    </row>
    <row r="50" spans="2:6">
      <c r="B50" s="143"/>
      <c r="C50" s="157"/>
      <c r="D50" s="157"/>
      <c r="E50" s="157"/>
      <c r="F50" s="157"/>
    </row>
    <row r="51" spans="2:6">
      <c r="B51" s="143" t="s">
        <v>127</v>
      </c>
      <c r="C51" s="157"/>
      <c r="D51" s="157"/>
      <c r="E51" s="157"/>
      <c r="F51" s="196" t="str">
        <f>CONCATENATE("Histórico ",CHAR(13),MID(B51,65,11))</f>
        <v>Histórico _x000D_ 20/03/2018</v>
      </c>
    </row>
    <row r="52" spans="2:6">
      <c r="B52" s="103"/>
      <c r="C52" s="86" t="s">
        <v>14</v>
      </c>
      <c r="E52" s="103"/>
      <c r="F52" s="86" t="s">
        <v>14</v>
      </c>
    </row>
    <row r="53" spans="2:6">
      <c r="B53" s="105" t="s">
        <v>81</v>
      </c>
      <c r="C53" s="106">
        <f>Dat_01!H94</f>
        <v>1.89300339601574</v>
      </c>
      <c r="E53" s="105" t="s">
        <v>16</v>
      </c>
      <c r="F53" s="106">
        <f>SUM(C53:C58)</f>
        <v>33.817315173970691</v>
      </c>
    </row>
    <row r="54" spans="2:6">
      <c r="B54" s="105" t="s">
        <v>3</v>
      </c>
      <c r="C54" s="106">
        <f>Dat_01!H95</f>
        <v>19.689098382024987</v>
      </c>
      <c r="E54" s="194" t="s">
        <v>17</v>
      </c>
      <c r="F54" s="195">
        <f>SUM(C59:C64)</f>
        <v>66.182684826029302</v>
      </c>
    </row>
    <row r="55" spans="2:6">
      <c r="B55" s="105" t="s">
        <v>4</v>
      </c>
      <c r="C55" s="106">
        <f>Dat_01!H96</f>
        <v>1.0535637257369728</v>
      </c>
    </row>
    <row r="56" spans="2:6">
      <c r="B56" s="105" t="s">
        <v>11</v>
      </c>
      <c r="C56" s="106">
        <f>Dat_01!H97</f>
        <v>6.7015039571798409</v>
      </c>
    </row>
    <row r="57" spans="2:6">
      <c r="B57" s="105" t="s">
        <v>9</v>
      </c>
      <c r="C57" s="106">
        <f>Dat_01!H98</f>
        <v>4.2007869887591962</v>
      </c>
    </row>
    <row r="58" spans="2:6">
      <c r="B58" s="105" t="s">
        <v>70</v>
      </c>
      <c r="C58" s="106">
        <f>Dat_01!H99</f>
        <v>0.27935872425395114</v>
      </c>
    </row>
    <row r="59" spans="2:6">
      <c r="B59" s="105" t="s">
        <v>69</v>
      </c>
      <c r="C59" s="106">
        <f>Dat_01!H100</f>
        <v>0.13492486745886967</v>
      </c>
    </row>
    <row r="60" spans="2:6">
      <c r="B60" s="105" t="s">
        <v>5</v>
      </c>
      <c r="C60" s="106">
        <f>Dat_01!H101</f>
        <v>39.185888320239954</v>
      </c>
    </row>
    <row r="61" spans="2:6">
      <c r="B61" s="105" t="s">
        <v>2</v>
      </c>
      <c r="C61" s="106">
        <f>Dat_01!H102</f>
        <v>16.271326000726148</v>
      </c>
    </row>
    <row r="62" spans="2:6">
      <c r="B62" s="105" t="s">
        <v>6</v>
      </c>
      <c r="C62" s="106">
        <f>Dat_01!H103</f>
        <v>8.6296379805489529</v>
      </c>
    </row>
    <row r="63" spans="2:6">
      <c r="B63" s="105" t="s">
        <v>7</v>
      </c>
      <c r="C63" s="106">
        <f>Dat_01!H104</f>
        <v>0.79450716537466837</v>
      </c>
    </row>
    <row r="64" spans="2:6">
      <c r="B64" s="105" t="s">
        <v>8</v>
      </c>
      <c r="C64" s="106">
        <f>Dat_01!H105</f>
        <v>1.1664004916807069</v>
      </c>
    </row>
    <row r="65" spans="2:16">
      <c r="B65" s="107" t="s">
        <v>15</v>
      </c>
      <c r="C65" s="108">
        <f>SUM(C53:C64)</f>
        <v>99.999999999999986</v>
      </c>
    </row>
    <row r="66" spans="2:16">
      <c r="B66" s="143"/>
      <c r="C66" s="157"/>
    </row>
    <row r="67" spans="2:16">
      <c r="B67" s="143" t="s">
        <v>62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</row>
    <row r="68" spans="2:16">
      <c r="B68" s="198"/>
      <c r="C68" s="199" t="str">
        <f>Dat_01!B140</f>
        <v>M</v>
      </c>
      <c r="D68" s="199" t="str">
        <f>Dat_01!C140</f>
        <v>A</v>
      </c>
      <c r="E68" s="199" t="str">
        <f>Dat_01!D140</f>
        <v>M</v>
      </c>
      <c r="F68" s="199" t="str">
        <f>Dat_01!E140</f>
        <v>J</v>
      </c>
      <c r="G68" s="199" t="str">
        <f>Dat_01!F140</f>
        <v>J</v>
      </c>
      <c r="H68" s="199" t="str">
        <f>Dat_01!G140</f>
        <v>A</v>
      </c>
      <c r="I68" s="199" t="str">
        <f>Dat_01!H140</f>
        <v>S</v>
      </c>
      <c r="J68" s="199" t="str">
        <f>Dat_01!I140</f>
        <v>O</v>
      </c>
      <c r="K68" s="199" t="str">
        <f>Dat_01!J140</f>
        <v>N</v>
      </c>
      <c r="L68" s="199" t="str">
        <f>Dat_01!K140</f>
        <v>D</v>
      </c>
      <c r="M68" s="199" t="str">
        <f>Dat_01!L140</f>
        <v>E</v>
      </c>
      <c r="N68" s="199" t="str">
        <f>Dat_01!M140</f>
        <v>F</v>
      </c>
      <c r="O68" s="199" t="str">
        <f>Dat_01!N140</f>
        <v>M</v>
      </c>
      <c r="P68" s="200"/>
    </row>
    <row r="69" spans="2:16">
      <c r="B69" s="120" t="s">
        <v>2</v>
      </c>
      <c r="C69" s="201">
        <f>Dat_01!B142</f>
        <v>1764.5097587759999</v>
      </c>
      <c r="D69" s="201">
        <f>Dat_01!C142</f>
        <v>1781.779774696</v>
      </c>
      <c r="E69" s="201">
        <f>Dat_01!D142</f>
        <v>1922.003550334</v>
      </c>
      <c r="F69" s="201">
        <f>Dat_01!E142</f>
        <v>1190.7040866760001</v>
      </c>
      <c r="G69" s="201">
        <f>Dat_01!F142</f>
        <v>1043.2246898359999</v>
      </c>
      <c r="H69" s="201">
        <f>Dat_01!G142</f>
        <v>972.684938214</v>
      </c>
      <c r="I69" s="201">
        <f>Dat_01!H142</f>
        <v>1153.486740052</v>
      </c>
      <c r="J69" s="201">
        <f>Dat_01!I142</f>
        <v>717.40876467500004</v>
      </c>
      <c r="K69" s="201">
        <f>Dat_01!J142</f>
        <v>1309.0039419320001</v>
      </c>
      <c r="L69" s="201">
        <f>Dat_01!K142</f>
        <v>2744.519164804</v>
      </c>
      <c r="M69" s="201">
        <f>Dat_01!L142</f>
        <v>3853.1091040460001</v>
      </c>
      <c r="N69" s="201">
        <f>Dat_01!M142</f>
        <v>2451.4677244879999</v>
      </c>
      <c r="O69" s="201">
        <f>Dat_01!N142</f>
        <v>2039.877995889</v>
      </c>
    </row>
    <row r="70" spans="2:16">
      <c r="B70" s="120" t="s">
        <v>81</v>
      </c>
      <c r="C70" s="201">
        <f>Dat_01!B143</f>
        <v>273.84815268400001</v>
      </c>
      <c r="D70" s="201">
        <f>Dat_01!C143</f>
        <v>336.71262419200002</v>
      </c>
      <c r="E70" s="201">
        <f>Dat_01!D143</f>
        <v>299.88005130400001</v>
      </c>
      <c r="F70" s="201">
        <f>Dat_01!E143</f>
        <v>270.92395723800001</v>
      </c>
      <c r="G70" s="201">
        <f>Dat_01!F143</f>
        <v>216.61761902000001</v>
      </c>
      <c r="H70" s="201">
        <f>Dat_01!G143</f>
        <v>339.37215041600001</v>
      </c>
      <c r="I70" s="201">
        <f>Dat_01!H143</f>
        <v>304.810324294</v>
      </c>
      <c r="J70" s="201">
        <f>Dat_01!I143</f>
        <v>385.66142858699999</v>
      </c>
      <c r="K70" s="201">
        <f>Dat_01!J143</f>
        <v>361.663865692</v>
      </c>
      <c r="L70" s="201">
        <f>Dat_01!K143</f>
        <v>485.35906038799999</v>
      </c>
      <c r="M70" s="201">
        <f>Dat_01!L143</f>
        <v>542.79743612200002</v>
      </c>
      <c r="N70" s="201">
        <f>Dat_01!M143</f>
        <v>260.87120307999999</v>
      </c>
      <c r="O70" s="201">
        <f>Dat_01!N143</f>
        <v>540.07979424799998</v>
      </c>
    </row>
    <row r="71" spans="2:16">
      <c r="B71" s="120" t="s">
        <v>3</v>
      </c>
      <c r="C71" s="201">
        <f>Dat_01!B144</f>
        <v>4766.6900519999999</v>
      </c>
      <c r="D71" s="201">
        <f>Dat_01!C144</f>
        <v>4414.7154469999996</v>
      </c>
      <c r="E71" s="201">
        <f>Dat_01!D144</f>
        <v>4066.3553609999999</v>
      </c>
      <c r="F71" s="201">
        <f>Dat_01!E144</f>
        <v>4459.4591659999996</v>
      </c>
      <c r="G71" s="201">
        <f>Dat_01!F144</f>
        <v>5073.1524980000004</v>
      </c>
      <c r="H71" s="201">
        <f>Dat_01!G144</f>
        <v>5122.0469300000004</v>
      </c>
      <c r="I71" s="201">
        <f>Dat_01!H144</f>
        <v>4847.367123</v>
      </c>
      <c r="J71" s="201">
        <f>Dat_01!I144</f>
        <v>4021.440771</v>
      </c>
      <c r="K71" s="201">
        <f>Dat_01!J144</f>
        <v>4231.5772440000001</v>
      </c>
      <c r="L71" s="201">
        <f>Dat_01!K144</f>
        <v>5161.2124510000003</v>
      </c>
      <c r="M71" s="201">
        <f>Dat_01!L144</f>
        <v>5086.7635890000001</v>
      </c>
      <c r="N71" s="201">
        <f>Dat_01!M144</f>
        <v>4597.9597160000003</v>
      </c>
      <c r="O71" s="201">
        <f>Dat_01!N144</f>
        <v>5102.2896650000002</v>
      </c>
    </row>
    <row r="72" spans="2:16">
      <c r="B72" s="120" t="s">
        <v>4</v>
      </c>
      <c r="C72" s="201">
        <f>Dat_01!B145</f>
        <v>705.89499799999999</v>
      </c>
      <c r="D72" s="201">
        <f>Dat_01!C145</f>
        <v>691.61008400000003</v>
      </c>
      <c r="E72" s="201">
        <f>Dat_01!D145</f>
        <v>528.18479500000001</v>
      </c>
      <c r="F72" s="201">
        <f>Dat_01!E145</f>
        <v>804.07860300000004</v>
      </c>
      <c r="G72" s="201">
        <f>Dat_01!F145</f>
        <v>832.04332899999997</v>
      </c>
      <c r="H72" s="201">
        <f>Dat_01!G145</f>
        <v>814.32721900000001</v>
      </c>
      <c r="I72" s="201">
        <f>Dat_01!H145</f>
        <v>632.670525</v>
      </c>
      <c r="J72" s="201">
        <f>Dat_01!I145</f>
        <v>381.58525800000001</v>
      </c>
      <c r="K72" s="201">
        <f>Dat_01!J145</f>
        <v>322.05787199999997</v>
      </c>
      <c r="L72" s="201">
        <f>Dat_01!K145</f>
        <v>694.29977599999995</v>
      </c>
      <c r="M72" s="201">
        <f>Dat_01!L145</f>
        <v>296.93498</v>
      </c>
      <c r="N72" s="201">
        <f>Dat_01!M145</f>
        <v>418.656857</v>
      </c>
      <c r="O72" s="201">
        <f>Dat_01!N145</f>
        <v>424.61757399999999</v>
      </c>
    </row>
    <row r="73" spans="2:16">
      <c r="B73" s="120" t="s">
        <v>128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</row>
    <row r="74" spans="2:16">
      <c r="B74" s="120" t="s">
        <v>129</v>
      </c>
      <c r="C74" s="201">
        <f>Dat_01!B146</f>
        <v>3253.6807650000001</v>
      </c>
      <c r="D74" s="201">
        <f>Dat_01!C146</f>
        <v>2574.0641529999998</v>
      </c>
      <c r="E74" s="201">
        <f>Dat_01!D146</f>
        <v>3092.6268949999999</v>
      </c>
      <c r="F74" s="201">
        <f>Dat_01!E146</f>
        <v>5827.7655100000002</v>
      </c>
      <c r="G74" s="201">
        <f>Dat_01!F146</f>
        <v>7767.9818580000001</v>
      </c>
      <c r="H74" s="201">
        <f>Dat_01!G146</f>
        <v>7355.8591020000003</v>
      </c>
      <c r="I74" s="201">
        <f>Dat_01!H146</f>
        <v>7042.528448</v>
      </c>
      <c r="J74" s="201">
        <f>Dat_01!I146</f>
        <v>6464.1513779999996</v>
      </c>
      <c r="K74" s="201">
        <f>Dat_01!J146</f>
        <v>4128.1831039999997</v>
      </c>
      <c r="L74" s="201">
        <f>Dat_01!K146</f>
        <v>3769.7460030000002</v>
      </c>
      <c r="M74" s="201">
        <f>Dat_01!L146</f>
        <v>2192.7146849999999</v>
      </c>
      <c r="N74" s="201">
        <f>Dat_01!M146</f>
        <v>3827.8458970000002</v>
      </c>
      <c r="O74" s="201">
        <f>Dat_01!N146</f>
        <v>2596.673096</v>
      </c>
    </row>
    <row r="75" spans="2:16">
      <c r="B75" s="120" t="s">
        <v>5</v>
      </c>
      <c r="C75" s="201">
        <f>Dat_01!B147</f>
        <v>6418.6873900000001</v>
      </c>
      <c r="D75" s="201">
        <f>Dat_01!C147</f>
        <v>5534.8275679999997</v>
      </c>
      <c r="E75" s="201">
        <f>Dat_01!D147</f>
        <v>4570.7149890000001</v>
      </c>
      <c r="F75" s="201">
        <f>Dat_01!E147</f>
        <v>3647.6150029999999</v>
      </c>
      <c r="G75" s="201">
        <f>Dat_01!F147</f>
        <v>4385.0069640000002</v>
      </c>
      <c r="H75" s="201">
        <f>Dat_01!G147</f>
        <v>4075.1067090000001</v>
      </c>
      <c r="I75" s="201">
        <f>Dat_01!H147</f>
        <v>4067.915176</v>
      </c>
      <c r="J75" s="201">
        <f>Dat_01!I147</f>
        <v>5014.8021500000004</v>
      </c>
      <c r="K75" s="201">
        <f>Dat_01!J147</f>
        <v>6580.0936540000002</v>
      </c>
      <c r="L75" s="201">
        <f>Dat_01!K147</f>
        <v>5532.4193480000004</v>
      </c>
      <c r="M75" s="201">
        <f>Dat_01!L147</f>
        <v>7324.1710220000004</v>
      </c>
      <c r="N75" s="201">
        <f>Dat_01!M147</f>
        <v>4627.0920470000001</v>
      </c>
      <c r="O75" s="201">
        <f>Dat_01!N147</f>
        <v>6561.4920899999997</v>
      </c>
    </row>
    <row r="76" spans="2:16">
      <c r="B76" s="120" t="s">
        <v>130</v>
      </c>
      <c r="C76" s="201">
        <f>Dat_01!B148</f>
        <v>1416.5975470000001</v>
      </c>
      <c r="D76" s="201">
        <f>Dat_01!C148</f>
        <v>2532.4676020000002</v>
      </c>
      <c r="E76" s="201">
        <f>Dat_01!D148</f>
        <v>3320.4046720000001</v>
      </c>
      <c r="F76" s="201">
        <f>Dat_01!E148</f>
        <v>3155.9656839999998</v>
      </c>
      <c r="G76" s="201">
        <f>Dat_01!F148</f>
        <v>3313.8396830000002</v>
      </c>
      <c r="H76" s="201">
        <f>Dat_01!G148</f>
        <v>3177.795181</v>
      </c>
      <c r="I76" s="201">
        <f>Dat_01!H148</f>
        <v>2641.9393719999998</v>
      </c>
      <c r="J76" s="201">
        <f>Dat_01!I148</f>
        <v>1955.4619090000001</v>
      </c>
      <c r="K76" s="201">
        <f>Dat_01!J148</f>
        <v>1492.966302</v>
      </c>
      <c r="L76" s="201">
        <f>Dat_01!K148</f>
        <v>1082.2925849999999</v>
      </c>
      <c r="M76" s="201">
        <f>Dat_01!L148</f>
        <v>1676.1546060000001</v>
      </c>
      <c r="N76" s="201">
        <f>Dat_01!M148</f>
        <v>1986.5279760000001</v>
      </c>
      <c r="O76" s="201">
        <f>Dat_01!N148</f>
        <v>3049.4190859999999</v>
      </c>
    </row>
    <row r="77" spans="2:16">
      <c r="B77" s="120" t="s">
        <v>131</v>
      </c>
      <c r="C77" s="201">
        <f>Dat_01!B149</f>
        <v>120.56837400000001</v>
      </c>
      <c r="D77" s="201">
        <f>Dat_01!C149</f>
        <v>412.77760999999998</v>
      </c>
      <c r="E77" s="201">
        <f>Dat_01!D149</f>
        <v>621.24749499999996</v>
      </c>
      <c r="F77" s="201">
        <f>Dat_01!E149</f>
        <v>534.18592699999999</v>
      </c>
      <c r="G77" s="201">
        <f>Dat_01!F149</f>
        <v>667.23578299999997</v>
      </c>
      <c r="H77" s="201">
        <f>Dat_01!G149</f>
        <v>619.95898999999997</v>
      </c>
      <c r="I77" s="201">
        <f>Dat_01!H149</f>
        <v>437.343279</v>
      </c>
      <c r="J77" s="201">
        <f>Dat_01!I149</f>
        <v>166.240105</v>
      </c>
      <c r="K77" s="201">
        <f>Dat_01!J149</f>
        <v>104.76842600000001</v>
      </c>
      <c r="L77" s="201">
        <f>Dat_01!K149</f>
        <v>59.778182999999999</v>
      </c>
      <c r="M77" s="201">
        <f>Dat_01!L149</f>
        <v>119.507124</v>
      </c>
      <c r="N77" s="201">
        <f>Dat_01!M149</f>
        <v>178.788802</v>
      </c>
      <c r="O77" s="201">
        <f>Dat_01!N149</f>
        <v>409.577922</v>
      </c>
    </row>
    <row r="78" spans="2:16">
      <c r="B78" s="120" t="s">
        <v>9</v>
      </c>
      <c r="C78" s="201">
        <f>Dat_01!B151</f>
        <v>2213.0625329999998</v>
      </c>
      <c r="D78" s="201">
        <f>Dat_01!C151</f>
        <v>1707.8027689999999</v>
      </c>
      <c r="E78" s="201">
        <f>Dat_01!D151</f>
        <v>1868.697737</v>
      </c>
      <c r="F78" s="201">
        <f>Dat_01!E151</f>
        <v>1465.8471500000001</v>
      </c>
      <c r="G78" s="201">
        <f>Dat_01!F151</f>
        <v>1052.5662259999999</v>
      </c>
      <c r="H78" s="201">
        <f>Dat_01!G151</f>
        <v>779.35966299999995</v>
      </c>
      <c r="I78" s="201">
        <f>Dat_01!H151</f>
        <v>737.15349700000002</v>
      </c>
      <c r="J78" s="201">
        <f>Dat_01!I151</f>
        <v>1100.1734710000001</v>
      </c>
      <c r="K78" s="201">
        <f>Dat_01!J151</f>
        <v>1450.809587</v>
      </c>
      <c r="L78" s="201">
        <f>Dat_01!K151</f>
        <v>1095.547366</v>
      </c>
      <c r="M78" s="201">
        <f>Dat_01!L151</f>
        <v>1208.936085</v>
      </c>
      <c r="N78" s="201">
        <f>Dat_01!M151</f>
        <v>1699.2487839999999</v>
      </c>
      <c r="O78" s="201">
        <f>Dat_01!N151</f>
        <v>1694.13301</v>
      </c>
    </row>
    <row r="79" spans="2:16">
      <c r="B79" s="120" t="s">
        <v>132</v>
      </c>
      <c r="C79" s="201">
        <f>Dat_01!B152</f>
        <v>173.90460849999999</v>
      </c>
      <c r="D79" s="201">
        <f>Dat_01!C152</f>
        <v>163.84968900000001</v>
      </c>
      <c r="E79" s="201">
        <f>Dat_01!D152</f>
        <v>158.10162349999999</v>
      </c>
      <c r="F79" s="201">
        <f>Dat_01!E152</f>
        <v>142.17442550000001</v>
      </c>
      <c r="G79" s="201">
        <f>Dat_01!F152</f>
        <v>164.320076</v>
      </c>
      <c r="H79" s="201">
        <f>Dat_01!G152</f>
        <v>150.58758700000001</v>
      </c>
      <c r="I79" s="201">
        <f>Dat_01!H152</f>
        <v>125.723592</v>
      </c>
      <c r="J79" s="201">
        <f>Dat_01!I152</f>
        <v>143.37030100000001</v>
      </c>
      <c r="K79" s="201">
        <f>Dat_01!J152</f>
        <v>116.98180050000001</v>
      </c>
      <c r="L79" s="201">
        <f>Dat_01!K152</f>
        <v>123.7646755</v>
      </c>
      <c r="M79" s="201">
        <f>Dat_01!L152</f>
        <v>95.565625499999996</v>
      </c>
      <c r="N79" s="201">
        <f>Dat_01!M152</f>
        <v>101.400882</v>
      </c>
      <c r="O79" s="201">
        <f>Dat_01!N152</f>
        <v>110.4263425</v>
      </c>
    </row>
    <row r="80" spans="2:16">
      <c r="B80" s="120" t="s">
        <v>133</v>
      </c>
      <c r="C80" s="201">
        <f>Dat_01!B153</f>
        <v>71.978253499999994</v>
      </c>
      <c r="D80" s="201">
        <f>Dat_01!C153</f>
        <v>64.772149999999996</v>
      </c>
      <c r="E80" s="201">
        <f>Dat_01!D153</f>
        <v>67.480593499999998</v>
      </c>
      <c r="F80" s="201">
        <f>Dat_01!E153</f>
        <v>63.217403500000003</v>
      </c>
      <c r="G80" s="201">
        <f>Dat_01!F153</f>
        <v>59.032142</v>
      </c>
      <c r="H80" s="201">
        <f>Dat_01!G153</f>
        <v>51.306201000000001</v>
      </c>
      <c r="I80" s="201">
        <f>Dat_01!H153</f>
        <v>45.615575</v>
      </c>
      <c r="J80" s="201">
        <f>Dat_01!I153</f>
        <v>60.185411000000002</v>
      </c>
      <c r="K80" s="201">
        <f>Dat_01!J153</f>
        <v>56.959399500000004</v>
      </c>
      <c r="L80" s="201">
        <f>Dat_01!K153</f>
        <v>62.369816499999999</v>
      </c>
      <c r="M80" s="201">
        <f>Dat_01!L153</f>
        <v>60.303250499999997</v>
      </c>
      <c r="N80" s="201">
        <f>Dat_01!M153</f>
        <v>61.687733999999999</v>
      </c>
      <c r="O80" s="201">
        <f>Dat_01!N153</f>
        <v>62.238713500000003</v>
      </c>
    </row>
    <row r="81" spans="2:15">
      <c r="B81" s="120" t="s">
        <v>134</v>
      </c>
      <c r="C81" s="201">
        <f>Dat_01!B150</f>
        <v>422.68645199999997</v>
      </c>
      <c r="D81" s="201">
        <f>Dat_01!C150</f>
        <v>429.59813000000003</v>
      </c>
      <c r="E81" s="201">
        <f>Dat_01!D150</f>
        <v>396.44819200000001</v>
      </c>
      <c r="F81" s="201">
        <f>Dat_01!E150</f>
        <v>414.94150100000002</v>
      </c>
      <c r="G81" s="201">
        <f>Dat_01!F150</f>
        <v>408.56224500000002</v>
      </c>
      <c r="H81" s="201">
        <f>Dat_01!G150</f>
        <v>382.67027999999999</v>
      </c>
      <c r="I81" s="201">
        <f>Dat_01!H150</f>
        <v>340.65072099999998</v>
      </c>
      <c r="J81" s="201">
        <f>Dat_01!I150</f>
        <v>366.13620400000002</v>
      </c>
      <c r="K81" s="201">
        <f>Dat_01!J150</f>
        <v>363.687163</v>
      </c>
      <c r="L81" s="201">
        <f>Dat_01!K150</f>
        <v>318.780441</v>
      </c>
      <c r="M81" s="201">
        <f>Dat_01!L150</f>
        <v>289.24336799999998</v>
      </c>
      <c r="N81" s="201">
        <f>Dat_01!M150</f>
        <v>355.14206999999999</v>
      </c>
      <c r="O81" s="201">
        <f>Dat_01!N150</f>
        <v>306.82023900000002</v>
      </c>
    </row>
    <row r="82" spans="2:15">
      <c r="B82" s="120" t="s">
        <v>135</v>
      </c>
      <c r="C82" s="201">
        <f>Dat_01!B154</f>
        <v>21602.108884460002</v>
      </c>
      <c r="D82" s="201">
        <f>Dat_01!C154</f>
        <v>20644.977600888</v>
      </c>
      <c r="E82" s="201">
        <f>Dat_01!D154</f>
        <v>20912.145954637996</v>
      </c>
      <c r="F82" s="201">
        <f>Dat_01!E154</f>
        <v>21976.878416913998</v>
      </c>
      <c r="G82" s="201">
        <f>Dat_01!F154</f>
        <v>24983.583112856002</v>
      </c>
      <c r="H82" s="201">
        <f>Dat_01!G154</f>
        <v>23841.074950630002</v>
      </c>
      <c r="I82" s="201">
        <f>Dat_01!H154</f>
        <v>22377.204372345994</v>
      </c>
      <c r="J82" s="201">
        <f>Dat_01!I154</f>
        <v>20776.617151261995</v>
      </c>
      <c r="K82" s="201">
        <f>Dat_01!J154</f>
        <v>20518.752359623999</v>
      </c>
      <c r="L82" s="201">
        <f>Dat_01!K154</f>
        <v>21130.088870191994</v>
      </c>
      <c r="M82" s="201">
        <f>Dat_01!L154</f>
        <v>22746.200875168</v>
      </c>
      <c r="N82" s="201">
        <f>Dat_01!M154</f>
        <v>20566.689692568001</v>
      </c>
      <c r="O82" s="201">
        <f>Dat_01!N154</f>
        <v>22897.645528137</v>
      </c>
    </row>
    <row r="83" spans="2:15">
      <c r="B83" s="120" t="s">
        <v>136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</row>
    <row r="84" spans="2:15">
      <c r="B84" s="120" t="s">
        <v>137</v>
      </c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</row>
    <row r="85" spans="2:15">
      <c r="B85" s="120" t="s">
        <v>138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</row>
    <row r="86" spans="2:15">
      <c r="B86" s="202" t="s">
        <v>139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8" spans="2:15">
      <c r="B88" s="204" t="s">
        <v>17</v>
      </c>
      <c r="C88" s="205">
        <f t="shared" ref="C88:O88" si="4">SUM(C69,C75:C77,C80:C81)</f>
        <v>10215.027775275999</v>
      </c>
      <c r="D88" s="205">
        <f t="shared" si="4"/>
        <v>10756.222834696</v>
      </c>
      <c r="E88" s="205">
        <f t="shared" si="4"/>
        <v>10898.299491834001</v>
      </c>
      <c r="F88" s="205">
        <f t="shared" si="4"/>
        <v>9006.629605176</v>
      </c>
      <c r="G88" s="205">
        <f t="shared" si="4"/>
        <v>9876.9015068360004</v>
      </c>
      <c r="H88" s="205">
        <f t="shared" si="4"/>
        <v>9279.5222992139988</v>
      </c>
      <c r="I88" s="205">
        <f t="shared" si="4"/>
        <v>8686.9508630519995</v>
      </c>
      <c r="J88" s="205">
        <f t="shared" si="4"/>
        <v>8280.2345436750002</v>
      </c>
      <c r="K88" s="205">
        <f t="shared" si="4"/>
        <v>9907.4788864320017</v>
      </c>
      <c r="L88" s="205">
        <f t="shared" si="4"/>
        <v>9800.1595383040021</v>
      </c>
      <c r="M88" s="205">
        <f t="shared" si="4"/>
        <v>13322.488474545999</v>
      </c>
      <c r="N88" s="205">
        <f t="shared" si="4"/>
        <v>9660.7063534879981</v>
      </c>
      <c r="O88" s="205">
        <f t="shared" si="4"/>
        <v>12429.426046389002</v>
      </c>
    </row>
    <row r="89" spans="2:15">
      <c r="B89" s="202" t="s">
        <v>16</v>
      </c>
      <c r="C89" s="203">
        <f t="shared" ref="C89:O89" si="5">SUM(C70:C74,C78:C79)</f>
        <v>11387.081109184001</v>
      </c>
      <c r="D89" s="203">
        <f t="shared" si="5"/>
        <v>9888.7547661919998</v>
      </c>
      <c r="E89" s="203">
        <f t="shared" si="5"/>
        <v>10013.846462804</v>
      </c>
      <c r="F89" s="203">
        <f t="shared" si="5"/>
        <v>12970.248811737998</v>
      </c>
      <c r="G89" s="203">
        <f t="shared" si="5"/>
        <v>15106.68160602</v>
      </c>
      <c r="H89" s="203">
        <f t="shared" si="5"/>
        <v>14561.552651415999</v>
      </c>
      <c r="I89" s="203">
        <f t="shared" si="5"/>
        <v>13690.253509294</v>
      </c>
      <c r="J89" s="203">
        <f t="shared" si="5"/>
        <v>12496.382607587</v>
      </c>
      <c r="K89" s="203">
        <f t="shared" si="5"/>
        <v>10611.273473192001</v>
      </c>
      <c r="L89" s="203">
        <f t="shared" si="5"/>
        <v>11329.929331888001</v>
      </c>
      <c r="M89" s="203">
        <f t="shared" si="5"/>
        <v>9423.7124006220001</v>
      </c>
      <c r="N89" s="203">
        <f t="shared" si="5"/>
        <v>10905.983339079999</v>
      </c>
      <c r="O89" s="203">
        <f t="shared" si="5"/>
        <v>10468.219481748001</v>
      </c>
    </row>
    <row r="91" spans="2:15">
      <c r="B91" s="204" t="s">
        <v>17</v>
      </c>
      <c r="C91" s="206">
        <f>SUM(C69/SUM(C88:C89)*100,C75/SUM(C88:C89)*100,C76/SUM(C88:C89)*100,C77/SUM(C88:C89)*100,C80/SUM(C88:C89)*100,C81/SUM(C88:C89)*100)</f>
        <v>47.287178441288326</v>
      </c>
      <c r="D91" s="206">
        <f t="shared" ref="D91:O91" si="6">SUM(D69/SUM(D88:D89)*100,D75/SUM(D88:D89)*100,D76/SUM(D88:D89)*100,D77/SUM(D88:D89)*100,D80/SUM(D88:D89)*100,D81/SUM(D88:D89)*100)</f>
        <v>52.100917921234959</v>
      </c>
      <c r="E91" s="206">
        <f t="shared" si="6"/>
        <v>52.1146873949439</v>
      </c>
      <c r="F91" s="206">
        <f t="shared" si="6"/>
        <v>40.982297095679691</v>
      </c>
      <c r="G91" s="206">
        <f t="shared" si="6"/>
        <v>39.533566751494362</v>
      </c>
      <c r="H91" s="206">
        <f t="shared" si="6"/>
        <v>38.922415698243462</v>
      </c>
      <c r="I91" s="206">
        <f t="shared" si="6"/>
        <v>38.820536821782035</v>
      </c>
      <c r="J91" s="206">
        <f t="shared" si="6"/>
        <v>39.853622384200541</v>
      </c>
      <c r="K91" s="206">
        <f t="shared" si="6"/>
        <v>48.28499663521233</v>
      </c>
      <c r="L91" s="206">
        <f t="shared" si="6"/>
        <v>46.380115097996502</v>
      </c>
      <c r="M91" s="206">
        <f t="shared" si="6"/>
        <v>58.570169795212479</v>
      </c>
      <c r="N91" s="206">
        <f t="shared" si="6"/>
        <v>46.97258770320731</v>
      </c>
      <c r="O91" s="206">
        <f t="shared" si="6"/>
        <v>54.282550715162024</v>
      </c>
    </row>
    <row r="92" spans="2:15">
      <c r="B92" s="202" t="s">
        <v>16</v>
      </c>
      <c r="C92" s="269">
        <f t="shared" ref="C92" si="7">100-C91</f>
        <v>52.712821558711674</v>
      </c>
      <c r="D92" s="269">
        <f t="shared" ref="D92:O92" si="8">100-D91</f>
        <v>47.899082078765041</v>
      </c>
      <c r="E92" s="269">
        <f t="shared" si="8"/>
        <v>47.8853126050561</v>
      </c>
      <c r="F92" s="269">
        <f t="shared" si="8"/>
        <v>59.017702904320309</v>
      </c>
      <c r="G92" s="269">
        <f t="shared" si="8"/>
        <v>60.466433248505638</v>
      </c>
      <c r="H92" s="269">
        <f t="shared" si="8"/>
        <v>61.077584301756538</v>
      </c>
      <c r="I92" s="269">
        <f t="shared" si="8"/>
        <v>61.179463178217965</v>
      </c>
      <c r="J92" s="269">
        <f t="shared" si="8"/>
        <v>60.146377615799459</v>
      </c>
      <c r="K92" s="269">
        <f t="shared" si="8"/>
        <v>51.71500336478767</v>
      </c>
      <c r="L92" s="269">
        <f t="shared" si="8"/>
        <v>53.619884902003498</v>
      </c>
      <c r="M92" s="269">
        <f t="shared" si="8"/>
        <v>41.429830204787521</v>
      </c>
      <c r="N92" s="269">
        <f t="shared" si="8"/>
        <v>53.02741229679269</v>
      </c>
      <c r="O92" s="269">
        <f t="shared" si="8"/>
        <v>45.717449284837976</v>
      </c>
    </row>
    <row r="94" spans="2:15">
      <c r="B94" s="104" t="s">
        <v>84</v>
      </c>
    </row>
    <row r="95" spans="2:15">
      <c r="B95" s="104" t="s">
        <v>85</v>
      </c>
    </row>
    <row r="97" spans="2:16">
      <c r="B97" s="143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</row>
    <row r="98" spans="2:16">
      <c r="B98" s="279"/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00"/>
    </row>
    <row r="99" spans="2:16">
      <c r="B99" s="12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</row>
    <row r="100" spans="2:16">
      <c r="B100" s="120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</row>
    <row r="101" spans="2:16">
      <c r="B101" s="120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</row>
    <row r="102" spans="2:16">
      <c r="B102" s="12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</row>
    <row r="103" spans="2:16">
      <c r="B103" s="120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2:16">
      <c r="B104" s="120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</row>
    <row r="105" spans="2:16">
      <c r="B105" s="120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</row>
    <row r="106" spans="2:16">
      <c r="B106" s="120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</row>
    <row r="107" spans="2:16">
      <c r="B107" s="12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</row>
    <row r="108" spans="2:16">
      <c r="B108" s="120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</row>
    <row r="109" spans="2:16">
      <c r="B109" s="120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</row>
    <row r="110" spans="2:16">
      <c r="B110" s="120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</row>
    <row r="111" spans="2:16">
      <c r="B111" s="120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</row>
    <row r="112" spans="2:16">
      <c r="B112" s="120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</row>
    <row r="113" spans="2:18">
      <c r="B113" s="120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</row>
    <row r="114" spans="2:18">
      <c r="B114" s="120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</row>
    <row r="115" spans="2:18">
      <c r="B115" s="120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</row>
    <row r="116" spans="2:18">
      <c r="B116" s="120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</row>
    <row r="118" spans="2:18">
      <c r="B118" s="120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</row>
    <row r="119" spans="2:18">
      <c r="B119" s="120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R119" s="207"/>
    </row>
    <row r="121" spans="2:18">
      <c r="B121" s="120"/>
      <c r="C121" s="281"/>
      <c r="D121" s="281"/>
      <c r="E121" s="281"/>
      <c r="F121" s="281"/>
      <c r="G121" s="281"/>
      <c r="H121" s="281"/>
      <c r="I121" s="281"/>
      <c r="J121" s="281"/>
      <c r="K121" s="281"/>
      <c r="L121" s="281"/>
      <c r="M121" s="281"/>
      <c r="N121" s="281"/>
      <c r="O121" s="281"/>
    </row>
    <row r="122" spans="2:18">
      <c r="B122" s="120"/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  <c r="O122" s="282"/>
    </row>
    <row r="124" spans="2:18">
      <c r="B124" s="143" t="s">
        <v>140</v>
      </c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</row>
    <row r="125" spans="2:18">
      <c r="B125" s="198"/>
      <c r="C125" s="199" t="str">
        <f>Dat_01!B140</f>
        <v>M</v>
      </c>
      <c r="D125" s="199" t="str">
        <f>Dat_01!C140</f>
        <v>A</v>
      </c>
      <c r="E125" s="199" t="str">
        <f>Dat_01!D140</f>
        <v>M</v>
      </c>
      <c r="F125" s="199" t="str">
        <f>Dat_01!E140</f>
        <v>J</v>
      </c>
      <c r="G125" s="199" t="str">
        <f>Dat_01!F140</f>
        <v>J</v>
      </c>
      <c r="H125" s="199" t="str">
        <f>Dat_01!G140</f>
        <v>A</v>
      </c>
      <c r="I125" s="199" t="str">
        <f>Dat_01!H140</f>
        <v>S</v>
      </c>
      <c r="J125" s="199" t="str">
        <f>Dat_01!I140</f>
        <v>O</v>
      </c>
      <c r="K125" s="199" t="str">
        <f>Dat_01!J140</f>
        <v>N</v>
      </c>
      <c r="L125" s="199" t="str">
        <f>Dat_01!K140</f>
        <v>D</v>
      </c>
      <c r="M125" s="199" t="str">
        <f>Dat_01!L140</f>
        <v>E</v>
      </c>
      <c r="N125" s="199" t="str">
        <f>Dat_01!M140</f>
        <v>F</v>
      </c>
      <c r="O125" s="199" t="str">
        <f>Dat_01!N140</f>
        <v>M</v>
      </c>
    </row>
    <row r="126" spans="2:18">
      <c r="B126" s="120" t="s">
        <v>2</v>
      </c>
      <c r="C126" s="201">
        <f>C69</f>
        <v>1764.5097587759999</v>
      </c>
      <c r="D126" s="201">
        <f t="shared" ref="D126:O126" si="9">D69</f>
        <v>1781.779774696</v>
      </c>
      <c r="E126" s="201">
        <f t="shared" si="9"/>
        <v>1922.003550334</v>
      </c>
      <c r="F126" s="201">
        <f t="shared" si="9"/>
        <v>1190.7040866760001</v>
      </c>
      <c r="G126" s="201">
        <f t="shared" si="9"/>
        <v>1043.2246898359999</v>
      </c>
      <c r="H126" s="201">
        <f t="shared" si="9"/>
        <v>972.684938214</v>
      </c>
      <c r="I126" s="201">
        <f t="shared" si="9"/>
        <v>1153.486740052</v>
      </c>
      <c r="J126" s="201">
        <f t="shared" si="9"/>
        <v>717.40876467500004</v>
      </c>
      <c r="K126" s="201">
        <f t="shared" si="9"/>
        <v>1309.0039419320001</v>
      </c>
      <c r="L126" s="201">
        <f t="shared" si="9"/>
        <v>2744.519164804</v>
      </c>
      <c r="M126" s="201">
        <f t="shared" si="9"/>
        <v>3853.1091040460001</v>
      </c>
      <c r="N126" s="201">
        <f t="shared" si="9"/>
        <v>2451.4677244879999</v>
      </c>
      <c r="O126" s="201">
        <f t="shared" si="9"/>
        <v>2039.877995889</v>
      </c>
      <c r="P126" s="209"/>
    </row>
    <row r="127" spans="2:18">
      <c r="B127" s="120" t="s">
        <v>81</v>
      </c>
      <c r="C127" s="201">
        <f t="shared" ref="C127:O139" si="10">C70</f>
        <v>273.84815268400001</v>
      </c>
      <c r="D127" s="201">
        <f t="shared" si="10"/>
        <v>336.71262419200002</v>
      </c>
      <c r="E127" s="201">
        <f t="shared" si="10"/>
        <v>299.88005130400001</v>
      </c>
      <c r="F127" s="201">
        <f t="shared" si="10"/>
        <v>270.92395723800001</v>
      </c>
      <c r="G127" s="201">
        <f t="shared" si="10"/>
        <v>216.61761902000001</v>
      </c>
      <c r="H127" s="201">
        <f t="shared" si="10"/>
        <v>339.37215041600001</v>
      </c>
      <c r="I127" s="201">
        <f t="shared" si="10"/>
        <v>304.810324294</v>
      </c>
      <c r="J127" s="201">
        <f t="shared" si="10"/>
        <v>385.66142858699999</v>
      </c>
      <c r="K127" s="201">
        <f t="shared" si="10"/>
        <v>361.663865692</v>
      </c>
      <c r="L127" s="201">
        <f t="shared" si="10"/>
        <v>485.35906038799999</v>
      </c>
      <c r="M127" s="201">
        <f t="shared" si="10"/>
        <v>542.79743612200002</v>
      </c>
      <c r="N127" s="201">
        <f t="shared" si="10"/>
        <v>260.87120307999999</v>
      </c>
      <c r="O127" s="201">
        <f t="shared" si="10"/>
        <v>540.07979424799998</v>
      </c>
    </row>
    <row r="128" spans="2:18">
      <c r="B128" s="120" t="s">
        <v>3</v>
      </c>
      <c r="C128" s="201">
        <f t="shared" si="10"/>
        <v>4766.6900519999999</v>
      </c>
      <c r="D128" s="201">
        <f t="shared" si="10"/>
        <v>4414.7154469999996</v>
      </c>
      <c r="E128" s="201">
        <f t="shared" si="10"/>
        <v>4066.3553609999999</v>
      </c>
      <c r="F128" s="201">
        <f t="shared" si="10"/>
        <v>4459.4591659999996</v>
      </c>
      <c r="G128" s="201">
        <f t="shared" si="10"/>
        <v>5073.1524980000004</v>
      </c>
      <c r="H128" s="201">
        <f t="shared" si="10"/>
        <v>5122.0469300000004</v>
      </c>
      <c r="I128" s="201">
        <f t="shared" si="10"/>
        <v>4847.367123</v>
      </c>
      <c r="J128" s="201">
        <f t="shared" si="10"/>
        <v>4021.440771</v>
      </c>
      <c r="K128" s="201">
        <f t="shared" si="10"/>
        <v>4231.5772440000001</v>
      </c>
      <c r="L128" s="201">
        <f t="shared" si="10"/>
        <v>5161.2124510000003</v>
      </c>
      <c r="M128" s="201">
        <f t="shared" si="10"/>
        <v>5086.7635890000001</v>
      </c>
      <c r="N128" s="201">
        <f t="shared" si="10"/>
        <v>4597.9597160000003</v>
      </c>
      <c r="O128" s="201">
        <f t="shared" si="10"/>
        <v>5102.2896650000002</v>
      </c>
    </row>
    <row r="129" spans="2:15">
      <c r="B129" s="120" t="s">
        <v>4</v>
      </c>
      <c r="C129" s="201">
        <f t="shared" si="10"/>
        <v>705.89499799999999</v>
      </c>
      <c r="D129" s="201">
        <f t="shared" si="10"/>
        <v>691.61008400000003</v>
      </c>
      <c r="E129" s="201">
        <f t="shared" si="10"/>
        <v>528.18479500000001</v>
      </c>
      <c r="F129" s="201">
        <f t="shared" si="10"/>
        <v>804.07860300000004</v>
      </c>
      <c r="G129" s="201">
        <f t="shared" si="10"/>
        <v>832.04332899999997</v>
      </c>
      <c r="H129" s="201">
        <f t="shared" si="10"/>
        <v>814.32721900000001</v>
      </c>
      <c r="I129" s="201">
        <f t="shared" si="10"/>
        <v>632.670525</v>
      </c>
      <c r="J129" s="201">
        <f t="shared" si="10"/>
        <v>381.58525800000001</v>
      </c>
      <c r="K129" s="201">
        <f t="shared" si="10"/>
        <v>322.05787199999997</v>
      </c>
      <c r="L129" s="201">
        <f t="shared" si="10"/>
        <v>694.29977599999995</v>
      </c>
      <c r="M129" s="201">
        <f t="shared" si="10"/>
        <v>296.93498</v>
      </c>
      <c r="N129" s="201">
        <f t="shared" si="10"/>
        <v>418.656857</v>
      </c>
      <c r="O129" s="201">
        <f t="shared" si="10"/>
        <v>424.61757399999999</v>
      </c>
    </row>
    <row r="130" spans="2:15">
      <c r="B130" s="120" t="s">
        <v>128</v>
      </c>
      <c r="C130" s="201">
        <f t="shared" si="10"/>
        <v>0</v>
      </c>
      <c r="D130" s="201">
        <f t="shared" si="10"/>
        <v>0</v>
      </c>
      <c r="E130" s="201">
        <f t="shared" si="10"/>
        <v>0</v>
      </c>
      <c r="F130" s="201">
        <f t="shared" si="10"/>
        <v>0</v>
      </c>
      <c r="G130" s="201">
        <f t="shared" si="10"/>
        <v>0</v>
      </c>
      <c r="H130" s="201">
        <f t="shared" si="10"/>
        <v>0</v>
      </c>
      <c r="I130" s="201">
        <f t="shared" si="10"/>
        <v>0</v>
      </c>
      <c r="J130" s="201">
        <f t="shared" si="10"/>
        <v>0</v>
      </c>
      <c r="K130" s="201">
        <f t="shared" si="10"/>
        <v>0</v>
      </c>
      <c r="L130" s="201">
        <f t="shared" si="10"/>
        <v>0</v>
      </c>
      <c r="M130" s="201">
        <f t="shared" si="10"/>
        <v>0</v>
      </c>
      <c r="N130" s="201">
        <f t="shared" si="10"/>
        <v>0</v>
      </c>
      <c r="O130" s="201">
        <f t="shared" si="10"/>
        <v>0</v>
      </c>
    </row>
    <row r="131" spans="2:15">
      <c r="B131" s="120" t="s">
        <v>129</v>
      </c>
      <c r="C131" s="201">
        <f t="shared" si="10"/>
        <v>3253.6807650000001</v>
      </c>
      <c r="D131" s="201">
        <f t="shared" si="10"/>
        <v>2574.0641529999998</v>
      </c>
      <c r="E131" s="201">
        <f t="shared" si="10"/>
        <v>3092.6268949999999</v>
      </c>
      <c r="F131" s="201">
        <f t="shared" si="10"/>
        <v>5827.7655100000002</v>
      </c>
      <c r="G131" s="201">
        <f t="shared" si="10"/>
        <v>7767.9818580000001</v>
      </c>
      <c r="H131" s="201">
        <f t="shared" si="10"/>
        <v>7355.8591020000003</v>
      </c>
      <c r="I131" s="201">
        <f t="shared" si="10"/>
        <v>7042.528448</v>
      </c>
      <c r="J131" s="201">
        <f t="shared" si="10"/>
        <v>6464.1513779999996</v>
      </c>
      <c r="K131" s="201">
        <f t="shared" si="10"/>
        <v>4128.1831039999997</v>
      </c>
      <c r="L131" s="201">
        <f t="shared" si="10"/>
        <v>3769.7460030000002</v>
      </c>
      <c r="M131" s="201">
        <f t="shared" si="10"/>
        <v>2192.7146849999999</v>
      </c>
      <c r="N131" s="201">
        <f t="shared" si="10"/>
        <v>3827.8458970000002</v>
      </c>
      <c r="O131" s="201">
        <f t="shared" si="10"/>
        <v>2596.673096</v>
      </c>
    </row>
    <row r="132" spans="2:15">
      <c r="B132" s="120" t="s">
        <v>5</v>
      </c>
      <c r="C132" s="201">
        <f t="shared" si="10"/>
        <v>6418.6873900000001</v>
      </c>
      <c r="D132" s="201">
        <f t="shared" si="10"/>
        <v>5534.8275679999997</v>
      </c>
      <c r="E132" s="201">
        <f t="shared" si="10"/>
        <v>4570.7149890000001</v>
      </c>
      <c r="F132" s="201">
        <f t="shared" si="10"/>
        <v>3647.6150029999999</v>
      </c>
      <c r="G132" s="201">
        <f t="shared" si="10"/>
        <v>4385.0069640000002</v>
      </c>
      <c r="H132" s="201">
        <f t="shared" si="10"/>
        <v>4075.1067090000001</v>
      </c>
      <c r="I132" s="201">
        <f t="shared" si="10"/>
        <v>4067.915176</v>
      </c>
      <c r="J132" s="201">
        <f t="shared" si="10"/>
        <v>5014.8021500000004</v>
      </c>
      <c r="K132" s="201">
        <f t="shared" si="10"/>
        <v>6580.0936540000002</v>
      </c>
      <c r="L132" s="201">
        <f t="shared" si="10"/>
        <v>5532.4193480000004</v>
      </c>
      <c r="M132" s="201">
        <f t="shared" si="10"/>
        <v>7324.1710220000004</v>
      </c>
      <c r="N132" s="201">
        <f t="shared" si="10"/>
        <v>4627.0920470000001</v>
      </c>
      <c r="O132" s="201">
        <f t="shared" si="10"/>
        <v>6561.4920899999997</v>
      </c>
    </row>
    <row r="133" spans="2:15">
      <c r="B133" s="120" t="s">
        <v>130</v>
      </c>
      <c r="C133" s="201">
        <f t="shared" si="10"/>
        <v>1416.5975470000001</v>
      </c>
      <c r="D133" s="201">
        <f t="shared" si="10"/>
        <v>2532.4676020000002</v>
      </c>
      <c r="E133" s="201">
        <f t="shared" si="10"/>
        <v>3320.4046720000001</v>
      </c>
      <c r="F133" s="201">
        <f t="shared" si="10"/>
        <v>3155.9656839999998</v>
      </c>
      <c r="G133" s="201">
        <f t="shared" si="10"/>
        <v>3313.8396830000002</v>
      </c>
      <c r="H133" s="201">
        <f t="shared" si="10"/>
        <v>3177.795181</v>
      </c>
      <c r="I133" s="201">
        <f t="shared" si="10"/>
        <v>2641.9393719999998</v>
      </c>
      <c r="J133" s="201">
        <f t="shared" si="10"/>
        <v>1955.4619090000001</v>
      </c>
      <c r="K133" s="201">
        <f t="shared" si="10"/>
        <v>1492.966302</v>
      </c>
      <c r="L133" s="201">
        <f t="shared" si="10"/>
        <v>1082.2925849999999</v>
      </c>
      <c r="M133" s="201">
        <f t="shared" si="10"/>
        <v>1676.1546060000001</v>
      </c>
      <c r="N133" s="201">
        <f t="shared" si="10"/>
        <v>1986.5279760000001</v>
      </c>
      <c r="O133" s="201">
        <f t="shared" si="10"/>
        <v>3049.4190859999999</v>
      </c>
    </row>
    <row r="134" spans="2:15">
      <c r="B134" s="120" t="s">
        <v>131</v>
      </c>
      <c r="C134" s="201">
        <f t="shared" si="10"/>
        <v>120.56837400000001</v>
      </c>
      <c r="D134" s="201">
        <f t="shared" si="10"/>
        <v>412.77760999999998</v>
      </c>
      <c r="E134" s="201">
        <f t="shared" si="10"/>
        <v>621.24749499999996</v>
      </c>
      <c r="F134" s="201">
        <f t="shared" si="10"/>
        <v>534.18592699999999</v>
      </c>
      <c r="G134" s="201">
        <f t="shared" si="10"/>
        <v>667.23578299999997</v>
      </c>
      <c r="H134" s="201">
        <f t="shared" si="10"/>
        <v>619.95898999999997</v>
      </c>
      <c r="I134" s="201">
        <f t="shared" si="10"/>
        <v>437.343279</v>
      </c>
      <c r="J134" s="201">
        <f t="shared" si="10"/>
        <v>166.240105</v>
      </c>
      <c r="K134" s="201">
        <f t="shared" si="10"/>
        <v>104.76842600000001</v>
      </c>
      <c r="L134" s="201">
        <f t="shared" si="10"/>
        <v>59.778182999999999</v>
      </c>
      <c r="M134" s="201">
        <f t="shared" si="10"/>
        <v>119.507124</v>
      </c>
      <c r="N134" s="201">
        <f t="shared" si="10"/>
        <v>178.788802</v>
      </c>
      <c r="O134" s="201">
        <f t="shared" si="10"/>
        <v>409.577922</v>
      </c>
    </row>
    <row r="135" spans="2:15">
      <c r="B135" s="120" t="s">
        <v>9</v>
      </c>
      <c r="C135" s="201">
        <f t="shared" si="10"/>
        <v>2213.0625329999998</v>
      </c>
      <c r="D135" s="201">
        <f t="shared" si="10"/>
        <v>1707.8027689999999</v>
      </c>
      <c r="E135" s="201">
        <f t="shared" si="10"/>
        <v>1868.697737</v>
      </c>
      <c r="F135" s="201">
        <f t="shared" si="10"/>
        <v>1465.8471500000001</v>
      </c>
      <c r="G135" s="201">
        <f t="shared" si="10"/>
        <v>1052.5662259999999</v>
      </c>
      <c r="H135" s="201">
        <f t="shared" si="10"/>
        <v>779.35966299999995</v>
      </c>
      <c r="I135" s="201">
        <f t="shared" si="10"/>
        <v>737.15349700000002</v>
      </c>
      <c r="J135" s="201">
        <f t="shared" si="10"/>
        <v>1100.1734710000001</v>
      </c>
      <c r="K135" s="201">
        <f t="shared" si="10"/>
        <v>1450.809587</v>
      </c>
      <c r="L135" s="201">
        <f t="shared" si="10"/>
        <v>1095.547366</v>
      </c>
      <c r="M135" s="201">
        <f t="shared" si="10"/>
        <v>1208.936085</v>
      </c>
      <c r="N135" s="201">
        <f t="shared" si="10"/>
        <v>1699.2487839999999</v>
      </c>
      <c r="O135" s="201">
        <f t="shared" si="10"/>
        <v>1694.13301</v>
      </c>
    </row>
    <row r="136" spans="2:15">
      <c r="B136" s="120" t="s">
        <v>132</v>
      </c>
      <c r="C136" s="201">
        <f t="shared" si="10"/>
        <v>173.90460849999999</v>
      </c>
      <c r="D136" s="201">
        <f t="shared" si="10"/>
        <v>163.84968900000001</v>
      </c>
      <c r="E136" s="201">
        <f t="shared" si="10"/>
        <v>158.10162349999999</v>
      </c>
      <c r="F136" s="201">
        <f t="shared" si="10"/>
        <v>142.17442550000001</v>
      </c>
      <c r="G136" s="201">
        <f t="shared" si="10"/>
        <v>164.320076</v>
      </c>
      <c r="H136" s="201">
        <f t="shared" si="10"/>
        <v>150.58758700000001</v>
      </c>
      <c r="I136" s="201">
        <f t="shared" si="10"/>
        <v>125.723592</v>
      </c>
      <c r="J136" s="201">
        <f t="shared" si="10"/>
        <v>143.37030100000001</v>
      </c>
      <c r="K136" s="201">
        <f t="shared" si="10"/>
        <v>116.98180050000001</v>
      </c>
      <c r="L136" s="201">
        <f t="shared" si="10"/>
        <v>123.7646755</v>
      </c>
      <c r="M136" s="201">
        <f t="shared" si="10"/>
        <v>95.565625499999996</v>
      </c>
      <c r="N136" s="201">
        <f t="shared" si="10"/>
        <v>101.400882</v>
      </c>
      <c r="O136" s="201">
        <f t="shared" si="10"/>
        <v>110.4263425</v>
      </c>
    </row>
    <row r="137" spans="2:15">
      <c r="B137" s="120" t="s">
        <v>133</v>
      </c>
      <c r="C137" s="201">
        <f t="shared" si="10"/>
        <v>71.978253499999994</v>
      </c>
      <c r="D137" s="201">
        <f t="shared" si="10"/>
        <v>64.772149999999996</v>
      </c>
      <c r="E137" s="201">
        <f t="shared" si="10"/>
        <v>67.480593499999998</v>
      </c>
      <c r="F137" s="201">
        <f t="shared" si="10"/>
        <v>63.217403500000003</v>
      </c>
      <c r="G137" s="201">
        <f t="shared" si="10"/>
        <v>59.032142</v>
      </c>
      <c r="H137" s="201">
        <f t="shared" si="10"/>
        <v>51.306201000000001</v>
      </c>
      <c r="I137" s="201">
        <f t="shared" si="10"/>
        <v>45.615575</v>
      </c>
      <c r="J137" s="201">
        <f t="shared" si="10"/>
        <v>60.185411000000002</v>
      </c>
      <c r="K137" s="201">
        <f t="shared" si="10"/>
        <v>56.959399500000004</v>
      </c>
      <c r="L137" s="201">
        <f t="shared" si="10"/>
        <v>62.369816499999999</v>
      </c>
      <c r="M137" s="201">
        <f t="shared" si="10"/>
        <v>60.303250499999997</v>
      </c>
      <c r="N137" s="201">
        <f t="shared" si="10"/>
        <v>61.687733999999999</v>
      </c>
      <c r="O137" s="201">
        <f t="shared" si="10"/>
        <v>62.238713500000003</v>
      </c>
    </row>
    <row r="138" spans="2:15">
      <c r="B138" s="120" t="s">
        <v>134</v>
      </c>
      <c r="C138" s="201">
        <f t="shared" si="10"/>
        <v>422.68645199999997</v>
      </c>
      <c r="D138" s="201">
        <f t="shared" si="10"/>
        <v>429.59813000000003</v>
      </c>
      <c r="E138" s="201">
        <f t="shared" si="10"/>
        <v>396.44819200000001</v>
      </c>
      <c r="F138" s="201">
        <f t="shared" si="10"/>
        <v>414.94150100000002</v>
      </c>
      <c r="G138" s="201">
        <f t="shared" si="10"/>
        <v>408.56224500000002</v>
      </c>
      <c r="H138" s="201">
        <f t="shared" si="10"/>
        <v>382.67027999999999</v>
      </c>
      <c r="I138" s="201">
        <f t="shared" si="10"/>
        <v>340.65072099999998</v>
      </c>
      <c r="J138" s="201">
        <f t="shared" si="10"/>
        <v>366.13620400000002</v>
      </c>
      <c r="K138" s="201">
        <f t="shared" si="10"/>
        <v>363.687163</v>
      </c>
      <c r="L138" s="201">
        <f t="shared" si="10"/>
        <v>318.780441</v>
      </c>
      <c r="M138" s="201">
        <f t="shared" si="10"/>
        <v>289.24336799999998</v>
      </c>
      <c r="N138" s="201">
        <f t="shared" si="10"/>
        <v>355.14206999999999</v>
      </c>
      <c r="O138" s="201">
        <f t="shared" si="10"/>
        <v>306.82023900000002</v>
      </c>
    </row>
    <row r="139" spans="2:15">
      <c r="B139" s="120" t="s">
        <v>135</v>
      </c>
      <c r="C139" s="201">
        <f t="shared" si="10"/>
        <v>21602.108884460002</v>
      </c>
      <c r="D139" s="201">
        <f t="shared" si="10"/>
        <v>20644.977600888</v>
      </c>
      <c r="E139" s="201">
        <f t="shared" si="10"/>
        <v>20912.145954637996</v>
      </c>
      <c r="F139" s="201">
        <f t="shared" si="10"/>
        <v>21976.878416913998</v>
      </c>
      <c r="G139" s="201">
        <f t="shared" si="10"/>
        <v>24983.583112856002</v>
      </c>
      <c r="H139" s="201">
        <f t="shared" si="10"/>
        <v>23841.074950630002</v>
      </c>
      <c r="I139" s="201">
        <f t="shared" si="10"/>
        <v>22377.204372345994</v>
      </c>
      <c r="J139" s="201">
        <f t="shared" si="10"/>
        <v>20776.617151261995</v>
      </c>
      <c r="K139" s="201">
        <f t="shared" si="10"/>
        <v>20518.752359623999</v>
      </c>
      <c r="L139" s="201">
        <f t="shared" si="10"/>
        <v>21130.088870191994</v>
      </c>
      <c r="M139" s="201">
        <f t="shared" si="10"/>
        <v>22746.200875168</v>
      </c>
      <c r="N139" s="201">
        <f t="shared" si="10"/>
        <v>20566.689692568001</v>
      </c>
      <c r="O139" s="201">
        <f t="shared" si="10"/>
        <v>22897.645528137</v>
      </c>
    </row>
    <row r="140" spans="2:15">
      <c r="B140" s="120" t="s">
        <v>136</v>
      </c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</row>
    <row r="141" spans="2:15">
      <c r="B141" s="120" t="s">
        <v>137</v>
      </c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</row>
    <row r="142" spans="2:15">
      <c r="B142" s="120" t="s">
        <v>138</v>
      </c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</row>
    <row r="143" spans="2:15">
      <c r="B143" s="202" t="s">
        <v>139</v>
      </c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</row>
    <row r="145" spans="2:15">
      <c r="B145" s="204" t="s">
        <v>17</v>
      </c>
      <c r="C145" s="205">
        <f>SUM(C126,C132:C134,C137:C138)</f>
        <v>10215.027775275999</v>
      </c>
      <c r="D145" s="205">
        <f t="shared" ref="D145:N145" si="11">SUM(D126,D132:D134,D137:D138)</f>
        <v>10756.222834696</v>
      </c>
      <c r="E145" s="205">
        <f t="shared" si="11"/>
        <v>10898.299491834001</v>
      </c>
      <c r="F145" s="205">
        <f t="shared" si="11"/>
        <v>9006.629605176</v>
      </c>
      <c r="G145" s="205">
        <f t="shared" si="11"/>
        <v>9876.9015068360004</v>
      </c>
      <c r="H145" s="205">
        <f t="shared" si="11"/>
        <v>9279.5222992139988</v>
      </c>
      <c r="I145" s="205">
        <f t="shared" si="11"/>
        <v>8686.9508630519995</v>
      </c>
      <c r="J145" s="205">
        <f t="shared" si="11"/>
        <v>8280.2345436750002</v>
      </c>
      <c r="K145" s="205">
        <f t="shared" si="11"/>
        <v>9907.4788864320017</v>
      </c>
      <c r="L145" s="205">
        <f t="shared" si="11"/>
        <v>9800.1595383040021</v>
      </c>
      <c r="M145" s="205">
        <f t="shared" si="11"/>
        <v>13322.488474545999</v>
      </c>
      <c r="N145" s="205">
        <f t="shared" si="11"/>
        <v>9660.7063534879981</v>
      </c>
      <c r="O145" s="205">
        <f>SUM(O126,O132:O134,O137:O138)</f>
        <v>12429.426046389002</v>
      </c>
    </row>
    <row r="146" spans="2:15">
      <c r="B146" s="202" t="s">
        <v>16</v>
      </c>
      <c r="C146" s="203">
        <f>SUM(C127:C131,C135:C136)</f>
        <v>11387.081109184001</v>
      </c>
      <c r="D146" s="203">
        <f t="shared" ref="D146:O146" si="12">SUM(D127:D131,D135:D136)</f>
        <v>9888.7547661919998</v>
      </c>
      <c r="E146" s="203">
        <f t="shared" si="12"/>
        <v>10013.846462804</v>
      </c>
      <c r="F146" s="203">
        <f t="shared" si="12"/>
        <v>12970.248811737998</v>
      </c>
      <c r="G146" s="203">
        <f t="shared" si="12"/>
        <v>15106.68160602</v>
      </c>
      <c r="H146" s="203">
        <f t="shared" si="12"/>
        <v>14561.552651415999</v>
      </c>
      <c r="I146" s="203">
        <f t="shared" si="12"/>
        <v>13690.253509294</v>
      </c>
      <c r="J146" s="203">
        <f t="shared" si="12"/>
        <v>12496.382607587</v>
      </c>
      <c r="K146" s="203">
        <f t="shared" si="12"/>
        <v>10611.273473192001</v>
      </c>
      <c r="L146" s="203">
        <f t="shared" si="12"/>
        <v>11329.929331888001</v>
      </c>
      <c r="M146" s="203">
        <f t="shared" si="12"/>
        <v>9423.7124006220001</v>
      </c>
      <c r="N146" s="203">
        <f t="shared" si="12"/>
        <v>10905.983339079999</v>
      </c>
      <c r="O146" s="203">
        <f t="shared" si="12"/>
        <v>10468.219481748001</v>
      </c>
    </row>
    <row r="148" spans="2:15">
      <c r="B148" s="204" t="s">
        <v>17</v>
      </c>
      <c r="C148" s="206">
        <f>SUM(C126/SUM(C145:C146)*100,C132/SUM(C145:C146)*100,C133/SUM(C145:C146)*100,C134/SUM(C145:C146)*100,C137/SUM(C145:C146)*100,C138/SUM(C145:C146)*100)</f>
        <v>47.287178441288326</v>
      </c>
      <c r="D148" s="206">
        <f t="shared" ref="D148:I148" si="13">SUM(D126/SUM(D145:D146)*100,D132/SUM(D145:D146)*100,D133/SUM(D145:D146)*100,D134/SUM(D145:D146)*100,D137/SUM(D145:D146)*100,D138/SUM(D145:D146)*100)</f>
        <v>52.100917921234959</v>
      </c>
      <c r="E148" s="206">
        <f t="shared" si="13"/>
        <v>52.1146873949439</v>
      </c>
      <c r="F148" s="206">
        <f t="shared" si="13"/>
        <v>40.982297095679691</v>
      </c>
      <c r="G148" s="206">
        <f t="shared" si="13"/>
        <v>39.533566751494362</v>
      </c>
      <c r="H148" s="206">
        <f t="shared" si="13"/>
        <v>38.922415698243462</v>
      </c>
      <c r="I148" s="206">
        <f t="shared" si="13"/>
        <v>38.820536821782035</v>
      </c>
      <c r="J148" s="206">
        <f>SUM(J126/SUM(J145:J146)*100,J132/SUM(J145:J146)*100,J133/SUM(J145:J146)*100,J134/SUM(J145:J146)*100,J137/SUM(J145:J146)*100,J138/SUM(J145:J146)*100)</f>
        <v>39.853622384200541</v>
      </c>
      <c r="K148" s="206">
        <f t="shared" ref="K148:O148" si="14">SUM(K126/SUM(K145:K146)*100,K132/SUM(K145:K146)*100,K133/SUM(K145:K146)*100,K134/SUM(K145:K146)*100,K137/SUM(K145:K146)*100,K138/SUM(K145:K146)*100)</f>
        <v>48.28499663521233</v>
      </c>
      <c r="L148" s="206">
        <f t="shared" si="14"/>
        <v>46.380115097996502</v>
      </c>
      <c r="M148" s="206">
        <f t="shared" si="14"/>
        <v>58.570169795212479</v>
      </c>
      <c r="N148" s="206">
        <f t="shared" si="14"/>
        <v>46.97258770320731</v>
      </c>
      <c r="O148" s="206">
        <f t="shared" si="14"/>
        <v>54.282550715162024</v>
      </c>
    </row>
    <row r="149" spans="2:15">
      <c r="B149" s="202" t="s">
        <v>16</v>
      </c>
      <c r="C149" s="269">
        <f t="shared" ref="C149" si="15">100-C148</f>
        <v>52.712821558711674</v>
      </c>
      <c r="D149" s="269">
        <f t="shared" ref="D149:J149" si="16">100-D148</f>
        <v>47.899082078765041</v>
      </c>
      <c r="E149" s="269">
        <f t="shared" si="16"/>
        <v>47.8853126050561</v>
      </c>
      <c r="F149" s="269">
        <f t="shared" si="16"/>
        <v>59.017702904320309</v>
      </c>
      <c r="G149" s="269">
        <f t="shared" si="16"/>
        <v>60.466433248505638</v>
      </c>
      <c r="H149" s="269">
        <f t="shared" si="16"/>
        <v>61.077584301756538</v>
      </c>
      <c r="I149" s="269">
        <f t="shared" si="16"/>
        <v>61.179463178217965</v>
      </c>
      <c r="J149" s="269">
        <f t="shared" si="16"/>
        <v>60.146377615799459</v>
      </c>
      <c r="K149" s="269">
        <f t="shared" ref="K149:O149" si="17">100-K148</f>
        <v>51.71500336478767</v>
      </c>
      <c r="L149" s="269">
        <f t="shared" si="17"/>
        <v>53.619884902003498</v>
      </c>
      <c r="M149" s="269">
        <f t="shared" si="17"/>
        <v>41.429830204787521</v>
      </c>
      <c r="N149" s="269">
        <f t="shared" si="17"/>
        <v>53.02741229679269</v>
      </c>
      <c r="O149" s="269">
        <f t="shared" si="17"/>
        <v>45.717449284837976</v>
      </c>
    </row>
    <row r="153" spans="2:15">
      <c r="B153" s="143" t="s">
        <v>24</v>
      </c>
    </row>
    <row r="154" spans="2:15">
      <c r="B154" s="204"/>
      <c r="C154" s="204"/>
      <c r="D154" s="312" t="s">
        <v>22</v>
      </c>
      <c r="E154" s="312" t="s">
        <v>23</v>
      </c>
    </row>
    <row r="155" spans="2:15">
      <c r="B155" s="202" t="s">
        <v>141</v>
      </c>
      <c r="C155" s="202" t="s">
        <v>142</v>
      </c>
      <c r="D155" s="313"/>
      <c r="E155" s="313"/>
    </row>
    <row r="156" spans="2:15">
      <c r="B156" s="210">
        <f>DATE(YEAR(Dat_01!B$2),MONTH(Dat_01!B$2),Dat_01!A180)</f>
        <v>44986</v>
      </c>
      <c r="C156" s="120">
        <f>Dat_01!A180</f>
        <v>1</v>
      </c>
      <c r="D156" s="201">
        <f>Dat_01!W180</f>
        <v>185.10878299999999</v>
      </c>
      <c r="E156" s="211">
        <f>Dat_01!V180</f>
        <v>21.91328851247048</v>
      </c>
    </row>
    <row r="157" spans="2:15">
      <c r="B157" s="210">
        <f>DATE(YEAR(Dat_01!B$2),MONTH(Dat_01!B$2),Dat_01!A181)</f>
        <v>44987</v>
      </c>
      <c r="C157" s="120">
        <f>Dat_01!A181</f>
        <v>2</v>
      </c>
      <c r="D157" s="201">
        <f>Dat_01!W181</f>
        <v>210.87724</v>
      </c>
      <c r="E157" s="211">
        <f>Dat_01!V181</f>
        <v>24.675911444148834</v>
      </c>
    </row>
    <row r="158" spans="2:15">
      <c r="B158" s="210">
        <f>DATE(YEAR(Dat_01!B$2),MONTH(Dat_01!B$2),Dat_01!A182)</f>
        <v>44988</v>
      </c>
      <c r="C158" s="120">
        <f>Dat_01!A182</f>
        <v>3</v>
      </c>
      <c r="D158" s="201">
        <f>Dat_01!W182</f>
        <v>181.54143500000001</v>
      </c>
      <c r="E158" s="211">
        <f>Dat_01!V182</f>
        <v>21.937503843938938</v>
      </c>
    </row>
    <row r="159" spans="2:15">
      <c r="B159" s="210">
        <f>DATE(YEAR(Dat_01!B$2),MONTH(Dat_01!B$2),Dat_01!A183)</f>
        <v>44989</v>
      </c>
      <c r="C159" s="120">
        <f>Dat_01!A183</f>
        <v>4</v>
      </c>
      <c r="D159" s="201">
        <f>Dat_01!W183</f>
        <v>100.40978299999999</v>
      </c>
      <c r="E159" s="211">
        <f>Dat_01!V183</f>
        <v>13.978661182250358</v>
      </c>
    </row>
    <row r="160" spans="2:15">
      <c r="B160" s="210">
        <f>DATE(YEAR(Dat_01!B$2),MONTH(Dat_01!B$2),Dat_01!A184)</f>
        <v>44990</v>
      </c>
      <c r="C160" s="120">
        <f>Dat_01!A184</f>
        <v>5</v>
      </c>
      <c r="D160" s="201">
        <f>Dat_01!W184</f>
        <v>62.852412999999999</v>
      </c>
      <c r="E160" s="211">
        <f>Dat_01!V184</f>
        <v>9.3306636183061809</v>
      </c>
    </row>
    <row r="161" spans="2:5">
      <c r="B161" s="210">
        <f>DATE(YEAR(Dat_01!B$2),MONTH(Dat_01!B$2),Dat_01!A185)</f>
        <v>44991</v>
      </c>
      <c r="C161" s="120">
        <f>Dat_01!A185</f>
        <v>6</v>
      </c>
      <c r="D161" s="201">
        <f>Dat_01!W185</f>
        <v>150.749279</v>
      </c>
      <c r="E161" s="211">
        <f>Dat_01!V185</f>
        <v>19.440059108987928</v>
      </c>
    </row>
    <row r="162" spans="2:5">
      <c r="B162" s="210">
        <f>DATE(YEAR(Dat_01!B$2),MONTH(Dat_01!B$2),Dat_01!A186)</f>
        <v>44992</v>
      </c>
      <c r="C162" s="120">
        <f>Dat_01!A186</f>
        <v>7</v>
      </c>
      <c r="D162" s="201">
        <f>Dat_01!W186</f>
        <v>335.52214199999997</v>
      </c>
      <c r="E162" s="211">
        <f>Dat_01!V186</f>
        <v>42.875025284685748</v>
      </c>
    </row>
    <row r="163" spans="2:5">
      <c r="B163" s="210">
        <f>DATE(YEAR(Dat_01!B$2),MONTH(Dat_01!B$2),Dat_01!A187)</f>
        <v>44993</v>
      </c>
      <c r="C163" s="120">
        <f>Dat_01!A187</f>
        <v>8</v>
      </c>
      <c r="D163" s="201">
        <f>Dat_01!W187</f>
        <v>391.56401</v>
      </c>
      <c r="E163" s="211">
        <f>Dat_01!V187</f>
        <v>47.845035836009373</v>
      </c>
    </row>
    <row r="164" spans="2:5">
      <c r="B164" s="210">
        <f>DATE(YEAR(Dat_01!B$2),MONTH(Dat_01!B$2),Dat_01!A188)</f>
        <v>44994</v>
      </c>
      <c r="C164" s="120">
        <f>Dat_01!A188</f>
        <v>9</v>
      </c>
      <c r="D164" s="201">
        <f>Dat_01!W188</f>
        <v>409.97294199999999</v>
      </c>
      <c r="E164" s="211">
        <f>Dat_01!V188</f>
        <v>51.088403062095821</v>
      </c>
    </row>
    <row r="165" spans="2:5">
      <c r="B165" s="210">
        <f>DATE(YEAR(Dat_01!B$2),MONTH(Dat_01!B$2),Dat_01!A189)</f>
        <v>44995</v>
      </c>
      <c r="C165" s="120">
        <f>Dat_01!A189</f>
        <v>10</v>
      </c>
      <c r="D165" s="201">
        <f>Dat_01!W189</f>
        <v>386.65187099999997</v>
      </c>
      <c r="E165" s="211">
        <f>Dat_01!V189</f>
        <v>47.161685551097428</v>
      </c>
    </row>
    <row r="166" spans="2:5">
      <c r="B166" s="210">
        <f>DATE(YEAR(Dat_01!B$2),MONTH(Dat_01!B$2),Dat_01!A190)</f>
        <v>44996</v>
      </c>
      <c r="C166" s="120">
        <f>Dat_01!A190</f>
        <v>11</v>
      </c>
      <c r="D166" s="201">
        <f>Dat_01!W190</f>
        <v>345.56345799999997</v>
      </c>
      <c r="E166" s="211">
        <f>Dat_01!V190</f>
        <v>46.28407509410907</v>
      </c>
    </row>
    <row r="167" spans="2:5">
      <c r="B167" s="210">
        <f>DATE(YEAR(Dat_01!B$2),MONTH(Dat_01!B$2),Dat_01!A191)</f>
        <v>44997</v>
      </c>
      <c r="C167" s="120">
        <f>Dat_01!A191</f>
        <v>12</v>
      </c>
      <c r="D167" s="201">
        <f>Dat_01!W191</f>
        <v>178.319478</v>
      </c>
      <c r="E167" s="211">
        <f>Dat_01!V191</f>
        <v>26.229243747475866</v>
      </c>
    </row>
    <row r="168" spans="2:5">
      <c r="B168" s="210">
        <f>DATE(YEAR(Dat_01!B$2),MONTH(Dat_01!B$2),Dat_01!A192)</f>
        <v>44998</v>
      </c>
      <c r="C168" s="120">
        <f>Dat_01!A192</f>
        <v>13</v>
      </c>
      <c r="D168" s="201">
        <f>Dat_01!W192</f>
        <v>285.38542200000001</v>
      </c>
      <c r="E168" s="211">
        <f>Dat_01!V192</f>
        <v>38.886380684836467</v>
      </c>
    </row>
    <row r="169" spans="2:5">
      <c r="B169" s="210">
        <f>DATE(YEAR(Dat_01!B$2),MONTH(Dat_01!B$2),Dat_01!A193)</f>
        <v>44999</v>
      </c>
      <c r="C169" s="120">
        <f>Dat_01!A193</f>
        <v>14</v>
      </c>
      <c r="D169" s="201">
        <f>Dat_01!W193</f>
        <v>253.69801899999999</v>
      </c>
      <c r="E169" s="211">
        <f>Dat_01!V193</f>
        <v>32.526375622247109</v>
      </c>
    </row>
    <row r="170" spans="2:5">
      <c r="B170" s="210">
        <f>DATE(YEAR(Dat_01!B$2),MONTH(Dat_01!B$2),Dat_01!A194)</f>
        <v>45000</v>
      </c>
      <c r="C170" s="120">
        <f>Dat_01!A194</f>
        <v>15</v>
      </c>
      <c r="D170" s="201">
        <f>Dat_01!W194</f>
        <v>90.665316000000004</v>
      </c>
      <c r="E170" s="211">
        <f>Dat_01!V194</f>
        <v>12.487453063674375</v>
      </c>
    </row>
    <row r="171" spans="2:5">
      <c r="B171" s="210">
        <f>DATE(YEAR(Dat_01!B$2),MONTH(Dat_01!B$2),Dat_01!A195)</f>
        <v>45001</v>
      </c>
      <c r="C171" s="120">
        <f>Dat_01!A195</f>
        <v>16</v>
      </c>
      <c r="D171" s="201">
        <f>Dat_01!W195</f>
        <v>230.406139</v>
      </c>
      <c r="E171" s="211">
        <f>Dat_01!V195</f>
        <v>30.625201651823403</v>
      </c>
    </row>
    <row r="172" spans="2:5">
      <c r="B172" s="210">
        <f>DATE(YEAR(Dat_01!B$2),MONTH(Dat_01!B$2),Dat_01!A196)</f>
        <v>45002</v>
      </c>
      <c r="C172" s="120">
        <f>Dat_01!A196</f>
        <v>17</v>
      </c>
      <c r="D172" s="201">
        <f>Dat_01!W196</f>
        <v>279.33156600000001</v>
      </c>
      <c r="E172" s="211">
        <f>Dat_01!V196</f>
        <v>36.832584371457266</v>
      </c>
    </row>
    <row r="173" spans="2:5">
      <c r="B173" s="210">
        <f>DATE(YEAR(Dat_01!B$2),MONTH(Dat_01!B$2),Dat_01!A197)</f>
        <v>45003</v>
      </c>
      <c r="C173" s="120">
        <f>Dat_01!A197</f>
        <v>18</v>
      </c>
      <c r="D173" s="201">
        <f>Dat_01!W197</f>
        <v>180.95620499999998</v>
      </c>
      <c r="E173" s="211">
        <f>Dat_01!V197</f>
        <v>27.303145155613535</v>
      </c>
    </row>
    <row r="174" spans="2:5">
      <c r="B174" s="210">
        <f>DATE(YEAR(Dat_01!B$2),MONTH(Dat_01!B$2),Dat_01!A198)</f>
        <v>45004</v>
      </c>
      <c r="C174" s="120">
        <f>Dat_01!A198</f>
        <v>19</v>
      </c>
      <c r="D174" s="201">
        <f>Dat_01!W198</f>
        <v>87.045945000000003</v>
      </c>
      <c r="E174" s="211">
        <f>Dat_01!V198</f>
        <v>13.300435872561678</v>
      </c>
    </row>
    <row r="175" spans="2:5">
      <c r="B175" s="210">
        <f>DATE(YEAR(Dat_01!B$2),MONTH(Dat_01!B$2),Dat_01!A199)</f>
        <v>45005</v>
      </c>
      <c r="C175" s="120">
        <f>Dat_01!A199</f>
        <v>20</v>
      </c>
      <c r="D175" s="201">
        <f>Dat_01!W199</f>
        <v>70.674600999999996</v>
      </c>
      <c r="E175" s="211">
        <f>Dat_01!V199</f>
        <v>10.062139099460754</v>
      </c>
    </row>
    <row r="176" spans="2:5">
      <c r="B176" s="210">
        <f>DATE(YEAR(Dat_01!B$2),MONTH(Dat_01!B$2),Dat_01!A200)</f>
        <v>45006</v>
      </c>
      <c r="C176" s="120">
        <f>Dat_01!A200</f>
        <v>21</v>
      </c>
      <c r="D176" s="201">
        <f>Dat_01!W200</f>
        <v>55.528963000000005</v>
      </c>
      <c r="E176" s="211">
        <f>Dat_01!V200</f>
        <v>8.1177339702284907</v>
      </c>
    </row>
    <row r="177" spans="2:27">
      <c r="B177" s="210">
        <f>DATE(YEAR(Dat_01!B$2),MONTH(Dat_01!B$2),Dat_01!A201)</f>
        <v>45007</v>
      </c>
      <c r="C177" s="120">
        <f>Dat_01!A201</f>
        <v>22</v>
      </c>
      <c r="D177" s="201">
        <f>Dat_01!W201</f>
        <v>123.831396</v>
      </c>
      <c r="E177" s="211">
        <f>Dat_01!V201</f>
        <v>17.870208782209847</v>
      </c>
    </row>
    <row r="178" spans="2:27">
      <c r="B178" s="210">
        <f>DATE(YEAR(Dat_01!B$2),MONTH(Dat_01!B$2),Dat_01!A202)</f>
        <v>45008</v>
      </c>
      <c r="C178" s="120">
        <f>Dat_01!A202</f>
        <v>23</v>
      </c>
      <c r="D178" s="201">
        <f>Dat_01!W202</f>
        <v>202.489126</v>
      </c>
      <c r="E178" s="211">
        <f>Dat_01!V202</f>
        <v>28.183814464861847</v>
      </c>
    </row>
    <row r="179" spans="2:27">
      <c r="B179" s="210">
        <f>DATE(YEAR(Dat_01!B$2),MONTH(Dat_01!B$2),Dat_01!A203)</f>
        <v>45009</v>
      </c>
      <c r="C179" s="120">
        <f>Dat_01!A203</f>
        <v>24</v>
      </c>
      <c r="D179" s="201">
        <f>Dat_01!W203</f>
        <v>251.95039000000003</v>
      </c>
      <c r="E179" s="211">
        <f>Dat_01!V203</f>
        <v>34.838116916928399</v>
      </c>
    </row>
    <row r="180" spans="2:27">
      <c r="B180" s="210">
        <f>DATE(YEAR(Dat_01!B$2),MONTH(Dat_01!B$2),Dat_01!A204)</f>
        <v>45010</v>
      </c>
      <c r="C180" s="120">
        <f>Dat_01!A204</f>
        <v>25</v>
      </c>
      <c r="D180" s="201">
        <f>Dat_01!W204</f>
        <v>161.919456</v>
      </c>
      <c r="E180" s="211">
        <f>Dat_01!V204</f>
        <v>25.368728157132058</v>
      </c>
    </row>
    <row r="181" spans="2:27">
      <c r="B181" s="210">
        <f>DATE(YEAR(Dat_01!B$2),MONTH(Dat_01!B$2),Dat_01!A205)</f>
        <v>45011</v>
      </c>
      <c r="C181" s="120">
        <f>Dat_01!A205</f>
        <v>26</v>
      </c>
      <c r="D181" s="201">
        <f>Dat_01!W205</f>
        <v>252.54104699999999</v>
      </c>
      <c r="E181" s="211">
        <f>Dat_01!V205</f>
        <v>38.152612553951869</v>
      </c>
    </row>
    <row r="182" spans="2:27">
      <c r="B182" s="210">
        <f>DATE(YEAR(Dat_01!B$2),MONTH(Dat_01!B$2),Dat_01!A206)</f>
        <v>45012</v>
      </c>
      <c r="C182" s="120">
        <f>Dat_01!A206</f>
        <v>27</v>
      </c>
      <c r="D182" s="201">
        <f>Dat_01!W206</f>
        <v>163.91375600000001</v>
      </c>
      <c r="E182" s="211">
        <f>Dat_01!V206</f>
        <v>22.508486651142004</v>
      </c>
    </row>
    <row r="183" spans="2:27">
      <c r="B183" s="210">
        <f>DATE(YEAR(Dat_01!B$2),MONTH(Dat_01!B$2),Dat_01!A207)</f>
        <v>45013</v>
      </c>
      <c r="C183" s="120">
        <f>Dat_01!A207</f>
        <v>28</v>
      </c>
      <c r="D183" s="201">
        <f>Dat_01!W207</f>
        <v>105.192367</v>
      </c>
      <c r="E183" s="211">
        <f>Dat_01!V207</f>
        <v>14.662203999803245</v>
      </c>
    </row>
    <row r="184" spans="2:27">
      <c r="B184" s="210">
        <f>DATE(YEAR(Dat_01!B$2),MONTH(Dat_01!B$2),Dat_01!A208)</f>
        <v>45014</v>
      </c>
      <c r="C184" s="120">
        <f>Dat_01!A208</f>
        <v>29</v>
      </c>
      <c r="D184" s="201">
        <f>Dat_01!W208</f>
        <v>205.62376399999999</v>
      </c>
      <c r="E184" s="211">
        <f>Dat_01!V208</f>
        <v>28.33347810302536</v>
      </c>
    </row>
    <row r="185" spans="2:27">
      <c r="B185" s="210">
        <f>DATE(YEAR(Dat_01!B$2),MONTH(Dat_01!B$2),Dat_01!A209)</f>
        <v>45015</v>
      </c>
      <c r="C185" s="120">
        <f>Dat_01!A209</f>
        <v>30</v>
      </c>
      <c r="D185" s="201">
        <f>Dat_01!W209</f>
        <v>254.87414799999999</v>
      </c>
      <c r="E185" s="211">
        <f>Dat_01!V209</f>
        <v>34.807357931124919</v>
      </c>
    </row>
    <row r="186" spans="2:27">
      <c r="B186" s="210">
        <f>DATE(YEAR(Dat_01!B$2),MONTH(Dat_01!B$2),Dat_01!A210)</f>
        <v>45016</v>
      </c>
      <c r="C186" s="120">
        <f>Dat_01!A210</f>
        <v>31</v>
      </c>
      <c r="D186" s="201">
        <f>Dat_01!W210</f>
        <v>366.33163000000002</v>
      </c>
      <c r="E186" s="211">
        <f>Dat_01!V210</f>
        <v>48.142647355984039</v>
      </c>
    </row>
    <row r="187" spans="2:27">
      <c r="B187" s="212"/>
      <c r="C187" s="120"/>
      <c r="D187" s="201"/>
      <c r="E187" s="201"/>
    </row>
    <row r="188" spans="2:27">
      <c r="B188" s="120"/>
      <c r="C188" s="120"/>
      <c r="D188" s="120"/>
      <c r="E188" s="120"/>
    </row>
    <row r="189" spans="2:27">
      <c r="B189" s="202" t="s">
        <v>143</v>
      </c>
      <c r="C189" s="202"/>
      <c r="D189" s="202">
        <f>MAX(D156:D186)</f>
        <v>409.97294199999999</v>
      </c>
      <c r="E189" s="213">
        <f>VLOOKUP(D189,D156:E186,2)</f>
        <v>48.142647355984039</v>
      </c>
    </row>
    <row r="191" spans="2:27">
      <c r="B191" s="143" t="s">
        <v>144</v>
      </c>
    </row>
    <row r="192" spans="2:27">
      <c r="B192" s="214"/>
      <c r="C192" s="215">
        <v>1</v>
      </c>
      <c r="D192" s="215">
        <v>2</v>
      </c>
      <c r="E192" s="215">
        <v>3</v>
      </c>
      <c r="F192" s="215">
        <v>4</v>
      </c>
      <c r="G192" s="215">
        <v>5</v>
      </c>
      <c r="H192" s="215">
        <v>6</v>
      </c>
      <c r="I192" s="215">
        <v>7</v>
      </c>
      <c r="J192" s="215">
        <v>8</v>
      </c>
      <c r="K192" s="215">
        <v>9</v>
      </c>
      <c r="L192" s="215">
        <v>10</v>
      </c>
      <c r="M192" s="215">
        <v>11</v>
      </c>
      <c r="N192" s="215">
        <v>12</v>
      </c>
      <c r="O192" s="215">
        <v>13</v>
      </c>
      <c r="P192" s="215">
        <v>14</v>
      </c>
      <c r="Q192" s="215">
        <v>15</v>
      </c>
      <c r="R192" s="215">
        <v>16</v>
      </c>
      <c r="S192" s="215">
        <v>17</v>
      </c>
      <c r="T192" s="215">
        <v>18</v>
      </c>
      <c r="U192" s="215">
        <v>19</v>
      </c>
      <c r="V192" s="215">
        <v>20</v>
      </c>
      <c r="W192" s="215">
        <v>21</v>
      </c>
      <c r="X192" s="215">
        <v>22</v>
      </c>
      <c r="Y192" s="215">
        <v>23</v>
      </c>
      <c r="Z192" s="215">
        <v>24</v>
      </c>
      <c r="AA192" s="216" t="s">
        <v>15</v>
      </c>
    </row>
    <row r="193" spans="2:27">
      <c r="B193" s="120" t="s">
        <v>5</v>
      </c>
      <c r="C193" s="201">
        <v>9.1643000000000008</v>
      </c>
      <c r="D193" s="201">
        <v>8.7952999999999992</v>
      </c>
      <c r="E193" s="201">
        <v>8.8308</v>
      </c>
      <c r="F193" s="201">
        <v>8.5412999999999997</v>
      </c>
      <c r="G193" s="201">
        <v>8.3774999999999995</v>
      </c>
      <c r="H193" s="201">
        <v>8.2622</v>
      </c>
      <c r="I193" s="201">
        <v>8.3582999999999998</v>
      </c>
      <c r="J193" s="201">
        <v>8.2825000000000006</v>
      </c>
      <c r="K193" s="201">
        <v>7.7236000000000002</v>
      </c>
      <c r="L193" s="201">
        <v>7.4927000000000001</v>
      </c>
      <c r="M193" s="201">
        <v>7.0507</v>
      </c>
      <c r="N193" s="201">
        <v>6.7298999999999998</v>
      </c>
      <c r="O193" s="201">
        <v>5.7401</v>
      </c>
      <c r="P193" s="201">
        <v>5.3799000000000001</v>
      </c>
      <c r="Q193" s="201">
        <v>4.9191000000000003</v>
      </c>
      <c r="R193" s="201">
        <v>5.3954000000000004</v>
      </c>
      <c r="S193" s="201">
        <v>5.3757000000000001</v>
      </c>
      <c r="T193" s="201">
        <v>5.6306000000000003</v>
      </c>
      <c r="U193" s="201">
        <v>5.8331</v>
      </c>
      <c r="V193" s="201">
        <v>6.3666999999999998</v>
      </c>
      <c r="W193" s="201">
        <v>6.7653999999999996</v>
      </c>
      <c r="X193" s="201">
        <v>6.9931999999999999</v>
      </c>
      <c r="Y193" s="201">
        <v>7.2034000000000002</v>
      </c>
      <c r="Z193" s="201">
        <v>7.3064</v>
      </c>
      <c r="AA193" s="201">
        <f t="shared" ref="AA193:AA194" si="18">SUM(C193:Z193)</f>
        <v>170.5181</v>
      </c>
    </row>
    <row r="194" spans="2:27">
      <c r="B194" s="120" t="s">
        <v>10</v>
      </c>
      <c r="C194" s="201">
        <v>25.1279</v>
      </c>
      <c r="D194" s="201">
        <v>24.4297</v>
      </c>
      <c r="E194" s="201">
        <v>23.810600000000001</v>
      </c>
      <c r="F194" s="201">
        <v>23.1861</v>
      </c>
      <c r="G194" s="201">
        <v>22.812899999999999</v>
      </c>
      <c r="H194" s="201">
        <v>22.671399999999998</v>
      </c>
      <c r="I194" s="201">
        <v>22.881699999999999</v>
      </c>
      <c r="J194" s="201">
        <v>22.9634</v>
      </c>
      <c r="K194" s="201">
        <v>23.478000000000002</v>
      </c>
      <c r="L194" s="201">
        <v>24.83</v>
      </c>
      <c r="M194" s="201">
        <v>25.264600000000002</v>
      </c>
      <c r="N194" s="201">
        <v>26.226400000000002</v>
      </c>
      <c r="O194" s="201">
        <v>26.419699999999999</v>
      </c>
      <c r="P194" s="201">
        <v>26.6785</v>
      </c>
      <c r="Q194" s="201">
        <v>26.776900000000001</v>
      </c>
      <c r="R194" s="201">
        <v>26.777999999999999</v>
      </c>
      <c r="S194" s="201">
        <v>26.0596</v>
      </c>
      <c r="T194" s="201">
        <v>25.779599999999999</v>
      </c>
      <c r="U194" s="201">
        <v>26.1708</v>
      </c>
      <c r="V194" s="201">
        <v>27.240100000000002</v>
      </c>
      <c r="W194" s="201">
        <v>27.512499999999999</v>
      </c>
      <c r="X194" s="201">
        <v>27.726400000000002</v>
      </c>
      <c r="Y194" s="201">
        <v>27.232600000000001</v>
      </c>
      <c r="Z194" s="201">
        <v>25.386600000000001</v>
      </c>
      <c r="AA194" s="201">
        <f t="shared" si="18"/>
        <v>607.44400000000019</v>
      </c>
    </row>
    <row r="195" spans="2:27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</row>
    <row r="196" spans="2:27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</row>
    <row r="197" spans="2:27">
      <c r="B197" s="202" t="s">
        <v>124</v>
      </c>
      <c r="C197" s="217">
        <f>C193/C194*100</f>
        <v>36.470616326871728</v>
      </c>
      <c r="D197" s="217">
        <f t="shared" ref="D197:AA197" si="19">D193/D194*100</f>
        <v>36.002488773910443</v>
      </c>
      <c r="E197" s="217">
        <f t="shared" si="19"/>
        <v>37.087683636699623</v>
      </c>
      <c r="F197" s="217">
        <f t="shared" si="19"/>
        <v>36.838019330547176</v>
      </c>
      <c r="G197" s="217">
        <f t="shared" si="19"/>
        <v>36.722643767342163</v>
      </c>
      <c r="H197" s="217">
        <f t="shared" si="19"/>
        <v>36.443272140229546</v>
      </c>
      <c r="I197" s="217">
        <f t="shared" si="19"/>
        <v>36.528317389005188</v>
      </c>
      <c r="J197" s="217">
        <f t="shared" si="19"/>
        <v>36.068265152372909</v>
      </c>
      <c r="K197" s="217">
        <f t="shared" si="19"/>
        <v>32.897180339040801</v>
      </c>
      <c r="L197" s="217">
        <f t="shared" si="19"/>
        <v>30.175996778091026</v>
      </c>
      <c r="M197" s="217">
        <f t="shared" si="19"/>
        <v>27.90742778433064</v>
      </c>
      <c r="N197" s="217">
        <f t="shared" si="19"/>
        <v>25.660784552969524</v>
      </c>
      <c r="O197" s="217">
        <f t="shared" si="19"/>
        <v>21.726590385204979</v>
      </c>
      <c r="P197" s="217">
        <f t="shared" si="19"/>
        <v>20.165676481061528</v>
      </c>
      <c r="Q197" s="217">
        <f t="shared" si="19"/>
        <v>18.370685180136611</v>
      </c>
      <c r="R197" s="217">
        <f t="shared" si="19"/>
        <v>20.148629471954592</v>
      </c>
      <c r="S197" s="217">
        <f t="shared" si="19"/>
        <v>20.62848240187877</v>
      </c>
      <c r="T197" s="217">
        <f t="shared" si="19"/>
        <v>21.841300873558943</v>
      </c>
      <c r="U197" s="217">
        <f t="shared" si="19"/>
        <v>22.288581166796583</v>
      </c>
      <c r="V197" s="217">
        <f t="shared" si="19"/>
        <v>23.372528000998528</v>
      </c>
      <c r="W197" s="217">
        <f t="shared" si="19"/>
        <v>24.590277146751475</v>
      </c>
      <c r="X197" s="217">
        <f t="shared" si="19"/>
        <v>25.222170927347221</v>
      </c>
      <c r="Y197" s="217">
        <f t="shared" si="19"/>
        <v>26.451385471824214</v>
      </c>
      <c r="Z197" s="217">
        <f t="shared" si="19"/>
        <v>28.780537764017232</v>
      </c>
      <c r="AA197" s="217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zoomScale="90" zoomScaleNormal="90" workbookViewId="0">
      <selection activeCell="O158" sqref="O158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20" width="14.7109375" customWidth="1"/>
    <col min="21" max="26" width="17.5703125" customWidth="1"/>
    <col min="27" max="235" width="14.7109375" customWidth="1"/>
  </cols>
  <sheetData>
    <row r="1" spans="1:13">
      <c r="A1" s="170" t="s">
        <v>30</v>
      </c>
      <c r="B1" s="170" t="s">
        <v>108</v>
      </c>
    </row>
    <row r="2" spans="1:13">
      <c r="A2" s="275" t="s">
        <v>225</v>
      </c>
      <c r="B2" s="275" t="s">
        <v>226</v>
      </c>
    </row>
    <row r="4" spans="1:13">
      <c r="A4" s="166" t="s">
        <v>30</v>
      </c>
      <c r="B4" s="314" t="s">
        <v>225</v>
      </c>
      <c r="C4" s="315"/>
      <c r="D4" s="315"/>
      <c r="E4" s="315"/>
      <c r="F4" s="315"/>
      <c r="G4" s="315"/>
      <c r="H4" s="315"/>
      <c r="I4" s="315"/>
      <c r="J4" s="315"/>
      <c r="L4" s="272" t="s">
        <v>106</v>
      </c>
      <c r="M4" s="273" t="s">
        <v>185</v>
      </c>
    </row>
    <row r="5" spans="1:13">
      <c r="A5" s="166" t="s">
        <v>105</v>
      </c>
      <c r="B5" s="316" t="s">
        <v>98</v>
      </c>
      <c r="C5" s="317"/>
      <c r="D5" s="317"/>
      <c r="E5" s="317"/>
      <c r="F5" s="317"/>
      <c r="G5" s="317"/>
      <c r="H5" s="317"/>
      <c r="I5" s="317"/>
      <c r="J5" s="317"/>
      <c r="L5" s="272" t="s">
        <v>30</v>
      </c>
      <c r="M5" s="273" t="s">
        <v>229</v>
      </c>
    </row>
    <row r="6" spans="1:13">
      <c r="A6" s="166" t="s">
        <v>106</v>
      </c>
      <c r="B6" s="167" t="s">
        <v>99</v>
      </c>
      <c r="C6" s="167" t="s">
        <v>168</v>
      </c>
      <c r="D6" s="167" t="s">
        <v>100</v>
      </c>
      <c r="E6" s="167" t="s">
        <v>101</v>
      </c>
      <c r="F6" s="167" t="s">
        <v>156</v>
      </c>
      <c r="G6" s="167" t="s">
        <v>102</v>
      </c>
      <c r="H6" s="167" t="s">
        <v>103</v>
      </c>
      <c r="I6" s="167" t="s">
        <v>169</v>
      </c>
      <c r="J6" s="167" t="s">
        <v>104</v>
      </c>
      <c r="L6" s="272" t="s">
        <v>186</v>
      </c>
      <c r="M6" s="274"/>
    </row>
    <row r="7" spans="1:13">
      <c r="A7" s="166" t="s">
        <v>107</v>
      </c>
      <c r="B7" s="168"/>
      <c r="C7" s="168"/>
      <c r="D7" s="168"/>
      <c r="E7" s="168"/>
      <c r="F7" s="168"/>
      <c r="G7" s="168"/>
      <c r="H7" s="168"/>
      <c r="I7" s="168"/>
      <c r="J7" s="168"/>
      <c r="L7" s="246" t="s">
        <v>4</v>
      </c>
      <c r="M7" s="288">
        <v>3223.165</v>
      </c>
    </row>
    <row r="8" spans="1:13">
      <c r="A8" s="275" t="s">
        <v>2</v>
      </c>
      <c r="B8" s="284">
        <v>2039877.9958889999</v>
      </c>
      <c r="C8" s="284">
        <v>1764509.758776</v>
      </c>
      <c r="D8" s="285">
        <v>0.15605934499999999</v>
      </c>
      <c r="E8" s="284">
        <v>8344454.8244230002</v>
      </c>
      <c r="F8" s="284">
        <v>5024792.6158499997</v>
      </c>
      <c r="G8" s="285">
        <v>0.66065656090000002</v>
      </c>
      <c r="H8" s="284">
        <v>21179270.475641999</v>
      </c>
      <c r="I8" s="284">
        <v>22358231.490556002</v>
      </c>
      <c r="J8" s="285">
        <v>-5.2730512899999998E-2</v>
      </c>
      <c r="L8" s="246" t="s">
        <v>129</v>
      </c>
      <c r="M8" s="288">
        <v>24561.845000000001</v>
      </c>
    </row>
    <row r="9" spans="1:13">
      <c r="A9" s="275" t="s">
        <v>81</v>
      </c>
      <c r="B9" s="284">
        <v>540079.79424800002</v>
      </c>
      <c r="C9" s="284">
        <v>273848.15268399997</v>
      </c>
      <c r="D9" s="285">
        <v>0.97218710060000002</v>
      </c>
      <c r="E9" s="284">
        <v>1343748.4334499999</v>
      </c>
      <c r="F9" s="284">
        <v>774565.83284199995</v>
      </c>
      <c r="G9" s="285">
        <v>0.73484083140000001</v>
      </c>
      <c r="H9" s="284">
        <v>4344749.5145810004</v>
      </c>
      <c r="I9" s="284">
        <v>2371270.921842</v>
      </c>
      <c r="J9" s="285">
        <v>0.83224509459999996</v>
      </c>
      <c r="L9" s="246" t="s">
        <v>9</v>
      </c>
      <c r="M9" s="288">
        <v>5592.9795000000004</v>
      </c>
    </row>
    <row r="10" spans="1:13">
      <c r="A10" s="275" t="s">
        <v>3</v>
      </c>
      <c r="B10" s="284">
        <v>5102289.665</v>
      </c>
      <c r="C10" s="284">
        <v>4766690.0520000001</v>
      </c>
      <c r="D10" s="285">
        <v>7.0405167800000001E-2</v>
      </c>
      <c r="E10" s="284">
        <v>14787012.970000001</v>
      </c>
      <c r="F10" s="284">
        <v>14586173.272</v>
      </c>
      <c r="G10" s="285">
        <v>1.37691836E-2</v>
      </c>
      <c r="H10" s="284">
        <v>56184339.961000003</v>
      </c>
      <c r="I10" s="284">
        <v>54235872.377999999</v>
      </c>
      <c r="J10" s="285">
        <v>3.59258088E-2</v>
      </c>
      <c r="L10" s="246" t="s">
        <v>5</v>
      </c>
      <c r="M10" s="288">
        <v>29512.748500000002</v>
      </c>
    </row>
    <row r="11" spans="1:13">
      <c r="A11" s="275" t="s">
        <v>4</v>
      </c>
      <c r="B11" s="284">
        <v>424617.57400000002</v>
      </c>
      <c r="C11" s="284">
        <v>705894.99800000002</v>
      </c>
      <c r="D11" s="285">
        <v>-0.39846921260000001</v>
      </c>
      <c r="E11" s="284">
        <v>1140209.4110000001</v>
      </c>
      <c r="F11" s="284">
        <v>1985695.3389999999</v>
      </c>
      <c r="G11" s="285">
        <v>-0.42578834300000001</v>
      </c>
      <c r="H11" s="284">
        <v>6841066.8720000004</v>
      </c>
      <c r="I11" s="284">
        <v>5945968.6639999999</v>
      </c>
      <c r="J11" s="285">
        <v>0.15053866890000001</v>
      </c>
      <c r="L11" s="246" t="s">
        <v>95</v>
      </c>
      <c r="M11" s="288">
        <v>7.95</v>
      </c>
    </row>
    <row r="12" spans="1:13">
      <c r="A12" s="275" t="s">
        <v>95</v>
      </c>
      <c r="B12" s="284">
        <v>-1E-3</v>
      </c>
      <c r="C12" s="284">
        <v>0</v>
      </c>
      <c r="D12" s="285">
        <v>0</v>
      </c>
      <c r="E12" s="284">
        <v>-1E-3</v>
      </c>
      <c r="F12" s="284">
        <v>0</v>
      </c>
      <c r="G12" s="285">
        <v>0</v>
      </c>
      <c r="H12" s="284">
        <v>-1E-3</v>
      </c>
      <c r="I12" s="284">
        <v>-1E-3</v>
      </c>
      <c r="J12" s="285">
        <v>0</v>
      </c>
      <c r="L12" s="246" t="s">
        <v>2</v>
      </c>
      <c r="M12" s="288">
        <v>17092.603029999998</v>
      </c>
    </row>
    <row r="13" spans="1:13">
      <c r="A13" s="275" t="s">
        <v>11</v>
      </c>
      <c r="B13" s="284">
        <v>2596673.0959999999</v>
      </c>
      <c r="C13" s="284">
        <v>3253680.7650000001</v>
      </c>
      <c r="D13" s="285">
        <v>-0.20192751419999999</v>
      </c>
      <c r="E13" s="284">
        <v>8617233.6779999994</v>
      </c>
      <c r="F13" s="284">
        <v>12538949.829</v>
      </c>
      <c r="G13" s="285">
        <v>-0.31276272770000002</v>
      </c>
      <c r="H13" s="284">
        <v>56640140.129000001</v>
      </c>
      <c r="I13" s="284">
        <v>45202029.181999996</v>
      </c>
      <c r="J13" s="285">
        <v>0.25304419189999999</v>
      </c>
      <c r="L13" s="246" t="s">
        <v>3</v>
      </c>
      <c r="M13" s="288">
        <v>7117.29</v>
      </c>
    </row>
    <row r="14" spans="1:13">
      <c r="A14" s="275" t="s">
        <v>5</v>
      </c>
      <c r="B14" s="284">
        <v>6561492.0899999999</v>
      </c>
      <c r="C14" s="284">
        <v>6418687.3899999997</v>
      </c>
      <c r="D14" s="285">
        <v>2.22482715E-2</v>
      </c>
      <c r="E14" s="284">
        <v>18512755.159000002</v>
      </c>
      <c r="F14" s="284">
        <v>16396893.67</v>
      </c>
      <c r="G14" s="285">
        <v>0.12904038600000001</v>
      </c>
      <c r="H14" s="284">
        <v>61921256.719999999</v>
      </c>
      <c r="I14" s="284">
        <v>56824802.895999998</v>
      </c>
      <c r="J14" s="285">
        <v>8.9687136000000001E-2</v>
      </c>
      <c r="L14" s="246" t="s">
        <v>134</v>
      </c>
      <c r="M14" s="288">
        <v>1087.3499999999999</v>
      </c>
    </row>
    <row r="15" spans="1:13">
      <c r="A15" s="275" t="s">
        <v>6</v>
      </c>
      <c r="B15" s="284">
        <v>3049419.0860000001</v>
      </c>
      <c r="C15" s="284">
        <v>1416597.547</v>
      </c>
      <c r="D15" s="285">
        <v>1.1526361474</v>
      </c>
      <c r="E15" s="284">
        <v>6712101.6679999996</v>
      </c>
      <c r="F15" s="284">
        <v>4609664.1840000004</v>
      </c>
      <c r="G15" s="285">
        <v>0.45609341590000002</v>
      </c>
      <c r="H15" s="284">
        <v>29385234.658</v>
      </c>
      <c r="I15" s="284">
        <v>21719405.390999999</v>
      </c>
      <c r="J15" s="285">
        <v>0.3529483947</v>
      </c>
      <c r="L15" s="246" t="s">
        <v>184</v>
      </c>
      <c r="M15" s="288">
        <v>387.17849999999999</v>
      </c>
    </row>
    <row r="16" spans="1:13">
      <c r="A16" s="275" t="s">
        <v>7</v>
      </c>
      <c r="B16" s="284">
        <v>409577.92200000002</v>
      </c>
      <c r="C16" s="284">
        <v>120568.374</v>
      </c>
      <c r="D16" s="285">
        <v>2.3970593482</v>
      </c>
      <c r="E16" s="284">
        <v>707873.848</v>
      </c>
      <c r="F16" s="284">
        <v>499739.57699999999</v>
      </c>
      <c r="G16" s="285">
        <v>0.41648546679999998</v>
      </c>
      <c r="H16" s="284">
        <v>4331409.6459999997</v>
      </c>
      <c r="I16" s="284">
        <v>4609433.6629999997</v>
      </c>
      <c r="J16" s="285">
        <v>-6.0316307200000002E-2</v>
      </c>
      <c r="L16" s="246" t="s">
        <v>133</v>
      </c>
      <c r="M16" s="288">
        <v>131.6275</v>
      </c>
    </row>
    <row r="17" spans="1:13">
      <c r="A17" s="275" t="s">
        <v>8</v>
      </c>
      <c r="B17" s="284">
        <v>306820.239</v>
      </c>
      <c r="C17" s="284">
        <v>422686.45199999999</v>
      </c>
      <c r="D17" s="285">
        <v>-0.27411858709999998</v>
      </c>
      <c r="E17" s="284">
        <v>951205.67700000003</v>
      </c>
      <c r="F17" s="284">
        <v>1224115.2479999999</v>
      </c>
      <c r="G17" s="285">
        <v>-0.22294434399999999</v>
      </c>
      <c r="H17" s="284">
        <v>4372680.5539999995</v>
      </c>
      <c r="I17" s="284">
        <v>4821238.4510000004</v>
      </c>
      <c r="J17" s="285">
        <v>-9.3037899199999996E-2</v>
      </c>
      <c r="L17" s="246" t="s">
        <v>130</v>
      </c>
      <c r="M17" s="288">
        <v>19827.333256000002</v>
      </c>
    </row>
    <row r="18" spans="1:13">
      <c r="A18" s="275" t="s">
        <v>9</v>
      </c>
      <c r="B18" s="284">
        <v>1694133.01</v>
      </c>
      <c r="C18" s="284">
        <v>2213062.5329999998</v>
      </c>
      <c r="D18" s="285">
        <v>-0.23448479890000001</v>
      </c>
      <c r="E18" s="284">
        <v>4602317.8789999997</v>
      </c>
      <c r="F18" s="284">
        <v>6473667.4510000004</v>
      </c>
      <c r="G18" s="285">
        <v>-0.28907100749999998</v>
      </c>
      <c r="H18" s="284">
        <v>15860275.345000001</v>
      </c>
      <c r="I18" s="284">
        <v>26036853.294</v>
      </c>
      <c r="J18" s="285">
        <v>-0.39085283589999997</v>
      </c>
      <c r="L18" s="246" t="s">
        <v>131</v>
      </c>
      <c r="M18" s="288">
        <v>2304.0129999999999</v>
      </c>
    </row>
    <row r="19" spans="1:13">
      <c r="A19" s="275" t="s">
        <v>69</v>
      </c>
      <c r="B19" s="284">
        <v>62238.713499999998</v>
      </c>
      <c r="C19" s="284">
        <v>71978.253500000006</v>
      </c>
      <c r="D19" s="285">
        <v>-0.13531225790000001</v>
      </c>
      <c r="E19" s="284">
        <v>184229.698</v>
      </c>
      <c r="F19" s="284">
        <v>207860.26149999999</v>
      </c>
      <c r="G19" s="285">
        <v>-0.1136848541</v>
      </c>
      <c r="H19" s="284">
        <v>715168.39</v>
      </c>
      <c r="I19" s="284">
        <v>786933.16650000005</v>
      </c>
      <c r="J19" s="285">
        <v>-9.1195516399999996E-2</v>
      </c>
      <c r="L19" s="246" t="s">
        <v>81</v>
      </c>
      <c r="M19" s="288">
        <v>3331.4</v>
      </c>
    </row>
    <row r="20" spans="1:13">
      <c r="A20" s="275" t="s">
        <v>70</v>
      </c>
      <c r="B20" s="284">
        <v>110426.3425</v>
      </c>
      <c r="C20" s="284">
        <v>173904.6085</v>
      </c>
      <c r="D20" s="285">
        <v>-0.36501773329999998</v>
      </c>
      <c r="E20" s="284">
        <v>307392.84999999998</v>
      </c>
      <c r="F20" s="284">
        <v>471984.15149999998</v>
      </c>
      <c r="G20" s="285">
        <v>-0.34872209370000001</v>
      </c>
      <c r="H20" s="284">
        <v>1596266.62</v>
      </c>
      <c r="I20" s="284">
        <v>2073357.4435000001</v>
      </c>
      <c r="J20" s="285">
        <v>-0.2301054384</v>
      </c>
      <c r="L20" s="289" t="s">
        <v>15</v>
      </c>
      <c r="M20" s="290">
        <v>114177.483286</v>
      </c>
    </row>
    <row r="21" spans="1:13">
      <c r="A21" s="276" t="s">
        <v>10</v>
      </c>
      <c r="B21" s="286">
        <v>22897645.527137</v>
      </c>
      <c r="C21" s="286">
        <v>21602108.884459998</v>
      </c>
      <c r="D21" s="287">
        <v>5.9972692899999999E-2</v>
      </c>
      <c r="E21" s="286">
        <v>66210536.094873004</v>
      </c>
      <c r="F21" s="286">
        <v>64794101.431691997</v>
      </c>
      <c r="G21" s="287">
        <v>2.18605495E-2</v>
      </c>
      <c r="H21" s="286">
        <v>263371858.88422301</v>
      </c>
      <c r="I21" s="286">
        <v>246985396.94039801</v>
      </c>
      <c r="J21" s="287">
        <v>6.6345873700000002E-2</v>
      </c>
    </row>
    <row r="22" spans="1:13">
      <c r="A22" s="275" t="s">
        <v>121</v>
      </c>
      <c r="B22" s="284">
        <v>-930182.13100000005</v>
      </c>
      <c r="C22" s="284">
        <v>-411096.67570999998</v>
      </c>
      <c r="D22" s="285">
        <v>1.2626846334999999</v>
      </c>
      <c r="E22" s="284">
        <v>-2278018.886068</v>
      </c>
      <c r="F22" s="284">
        <v>-1288816.4806619999</v>
      </c>
      <c r="G22" s="285">
        <v>0.76752774369999999</v>
      </c>
      <c r="H22" s="284">
        <v>-7081648.1752359997</v>
      </c>
      <c r="I22" s="284">
        <v>-3742064.46141</v>
      </c>
      <c r="J22" s="285">
        <v>0.8924441971</v>
      </c>
      <c r="M22" s="283"/>
    </row>
    <row r="23" spans="1:13">
      <c r="A23" s="275" t="s">
        <v>97</v>
      </c>
      <c r="B23" s="284">
        <v>-82194.308000000005</v>
      </c>
      <c r="C23" s="284">
        <v>-30689.280999999999</v>
      </c>
      <c r="D23" s="285">
        <v>1.6782741505000001</v>
      </c>
      <c r="E23" s="284">
        <v>-295878.701</v>
      </c>
      <c r="F23" s="284">
        <v>-89351.122000000003</v>
      </c>
      <c r="G23" s="285">
        <v>2.3114156194</v>
      </c>
      <c r="H23" s="284">
        <v>-809261.28300000005</v>
      </c>
      <c r="I23" s="284">
        <v>-599932.09499999997</v>
      </c>
      <c r="J23" s="285">
        <v>0.3489214692</v>
      </c>
    </row>
    <row r="24" spans="1:13">
      <c r="A24" s="275" t="s">
        <v>122</v>
      </c>
      <c r="B24" s="284">
        <v>-2606845.8590000002</v>
      </c>
      <c r="C24" s="284">
        <v>-880298.03</v>
      </c>
      <c r="D24" s="285">
        <v>1.9613219275</v>
      </c>
      <c r="E24" s="284">
        <v>-4452401.9680000003</v>
      </c>
      <c r="F24" s="284">
        <v>-2528187.1469999999</v>
      </c>
      <c r="G24" s="285">
        <v>0.76110458169999995</v>
      </c>
      <c r="H24" s="284">
        <v>-21725952.188999999</v>
      </c>
      <c r="I24" s="284">
        <v>-1917922.7339999999</v>
      </c>
      <c r="J24" s="285">
        <v>10.327855811799999</v>
      </c>
    </row>
    <row r="25" spans="1:13">
      <c r="A25" s="276" t="s">
        <v>123</v>
      </c>
      <c r="B25" s="286">
        <v>19278423.229137</v>
      </c>
      <c r="C25" s="286">
        <v>20280024.897750001</v>
      </c>
      <c r="D25" s="287">
        <v>-4.9388581799999998E-2</v>
      </c>
      <c r="E25" s="286">
        <v>59184236.539805003</v>
      </c>
      <c r="F25" s="286">
        <v>60887746.68203</v>
      </c>
      <c r="G25" s="287">
        <v>-2.7977881199999999E-2</v>
      </c>
      <c r="H25" s="286">
        <v>233754997.23698699</v>
      </c>
      <c r="I25" s="286">
        <v>240725477.649988</v>
      </c>
      <c r="J25" s="287">
        <v>-2.89561391E-2</v>
      </c>
    </row>
    <row r="26" spans="1:13">
      <c r="A26" s="275" t="s">
        <v>221</v>
      </c>
      <c r="B26" s="284">
        <v>2563.5770000000002</v>
      </c>
      <c r="C26" s="284">
        <v>0</v>
      </c>
      <c r="D26" s="285">
        <v>0</v>
      </c>
      <c r="E26" s="284">
        <v>5573.0789999999997</v>
      </c>
      <c r="F26" s="284">
        <v>0</v>
      </c>
      <c r="G26" s="285">
        <v>0</v>
      </c>
      <c r="H26" s="284">
        <v>5878.808</v>
      </c>
      <c r="I26" s="284">
        <v>0</v>
      </c>
      <c r="J26" s="285">
        <v>0</v>
      </c>
    </row>
    <row r="31" spans="1:13">
      <c r="A31" s="102" t="s">
        <v>56</v>
      </c>
      <c r="B31" s="157"/>
      <c r="C31" s="157"/>
      <c r="D31" s="157"/>
      <c r="E31" s="104"/>
      <c r="F31" s="104"/>
    </row>
    <row r="32" spans="1:13">
      <c r="A32" s="103"/>
      <c r="B32" s="86" t="s">
        <v>57</v>
      </c>
      <c r="C32" s="86" t="s">
        <v>14</v>
      </c>
      <c r="D32" s="104"/>
      <c r="E32" s="161"/>
      <c r="F32" s="162" t="s">
        <v>14</v>
      </c>
      <c r="I32" s="44"/>
    </row>
    <row r="33" spans="1:9">
      <c r="A33" s="127" t="s">
        <v>81</v>
      </c>
      <c r="B33" s="123">
        <f>VLOOKUP(A33,L$7:M$21,2,FALSE)</f>
        <v>3331.4</v>
      </c>
      <c r="C33" s="106">
        <f>B33/$B$46*100</f>
        <v>2.9177381600321914</v>
      </c>
      <c r="D33" s="104"/>
      <c r="E33" s="159" t="s">
        <v>16</v>
      </c>
      <c r="F33" s="160">
        <f>SUM(C33:C39)</f>
        <v>38.730760853460062</v>
      </c>
      <c r="I33" s="44"/>
    </row>
    <row r="34" spans="1:9">
      <c r="A34" s="105" t="s">
        <v>3</v>
      </c>
      <c r="B34" s="123">
        <f t="shared" ref="B34:B45" si="0">VLOOKUP(A34,L$7:M$21,2,FALSE)</f>
        <v>7117.29</v>
      </c>
      <c r="C34" s="106">
        <f t="shared" ref="C34:C45" si="1">B34/$B$46*100</f>
        <v>6.233532037286281</v>
      </c>
      <c r="D34" s="104"/>
      <c r="E34" s="163" t="s">
        <v>17</v>
      </c>
      <c r="F34" s="164">
        <f>SUM(C40:C45)</f>
        <v>61.269239146539924</v>
      </c>
      <c r="I34" s="44"/>
    </row>
    <row r="35" spans="1:9">
      <c r="A35" s="105" t="s">
        <v>4</v>
      </c>
      <c r="B35" s="123">
        <f t="shared" si="0"/>
        <v>3223.165</v>
      </c>
      <c r="C35" s="106">
        <f t="shared" si="1"/>
        <v>2.8229427617758778</v>
      </c>
      <c r="D35" s="104"/>
      <c r="E35" s="104"/>
      <c r="F35" s="104"/>
      <c r="I35" s="44"/>
    </row>
    <row r="36" spans="1:9">
      <c r="A36" s="105" t="s">
        <v>11</v>
      </c>
      <c r="B36" s="123">
        <f t="shared" si="0"/>
        <v>24561.845000000001</v>
      </c>
      <c r="C36" s="106">
        <f t="shared" si="1"/>
        <v>21.511986683465175</v>
      </c>
      <c r="D36" s="104"/>
      <c r="E36" s="104"/>
      <c r="F36" s="104"/>
      <c r="I36" s="44"/>
    </row>
    <row r="37" spans="1:9">
      <c r="A37" s="105" t="s">
        <v>9</v>
      </c>
      <c r="B37" s="123">
        <f t="shared" si="0"/>
        <v>5592.9795000000004</v>
      </c>
      <c r="C37" s="106">
        <f t="shared" si="1"/>
        <v>4.8984960423328836</v>
      </c>
      <c r="D37" s="104"/>
      <c r="E37" s="104"/>
      <c r="F37" s="104"/>
      <c r="I37" s="44"/>
    </row>
    <row r="38" spans="1:9">
      <c r="A38" s="105" t="s">
        <v>187</v>
      </c>
      <c r="B38" s="123">
        <f t="shared" si="0"/>
        <v>7.95</v>
      </c>
      <c r="C38" s="106">
        <f t="shared" si="1"/>
        <v>6.9628439611742572E-3</v>
      </c>
      <c r="D38" s="104"/>
      <c r="E38" s="104"/>
      <c r="F38" s="104"/>
      <c r="I38" s="44"/>
    </row>
    <row r="39" spans="1:9">
      <c r="A39" s="105" t="s">
        <v>70</v>
      </c>
      <c r="B39" s="123">
        <f t="shared" si="0"/>
        <v>387.17849999999999</v>
      </c>
      <c r="C39" s="106">
        <f t="shared" si="1"/>
        <v>0.33910232460647893</v>
      </c>
      <c r="D39" s="104"/>
      <c r="E39" s="104"/>
      <c r="F39" s="104"/>
      <c r="I39" s="44"/>
    </row>
    <row r="40" spans="1:9">
      <c r="A40" s="105" t="s">
        <v>69</v>
      </c>
      <c r="B40" s="123">
        <f t="shared" si="0"/>
        <v>131.6275</v>
      </c>
      <c r="C40" s="106">
        <f t="shared" si="1"/>
        <v>0.11528323817603328</v>
      </c>
      <c r="D40" s="104"/>
      <c r="E40" s="104"/>
      <c r="F40" s="104"/>
      <c r="I40" s="44"/>
    </row>
    <row r="41" spans="1:9">
      <c r="A41" s="105" t="s">
        <v>5</v>
      </c>
      <c r="B41" s="123">
        <f>VLOOKUP(A41,L$7:M$21,2,FALSE)</f>
        <v>29512.748500000002</v>
      </c>
      <c r="C41" s="106">
        <f t="shared" si="1"/>
        <v>25.848133669293038</v>
      </c>
      <c r="D41" s="104"/>
      <c r="E41" s="104"/>
      <c r="F41" s="104"/>
      <c r="I41" s="44"/>
    </row>
    <row r="42" spans="1:9">
      <c r="A42" s="105" t="s">
        <v>2</v>
      </c>
      <c r="B42" s="123">
        <f t="shared" si="0"/>
        <v>17092.603029999998</v>
      </c>
      <c r="C42" s="106">
        <f t="shared" si="1"/>
        <v>14.970204753230732</v>
      </c>
      <c r="D42" s="104"/>
      <c r="E42" s="104"/>
      <c r="F42" s="104"/>
      <c r="I42" s="44"/>
    </row>
    <row r="43" spans="1:9">
      <c r="A43" s="105" t="s">
        <v>6</v>
      </c>
      <c r="B43" s="123">
        <f t="shared" si="0"/>
        <v>19827.333256000002</v>
      </c>
      <c r="C43" s="106">
        <f t="shared" si="1"/>
        <v>17.365361965752093</v>
      </c>
      <c r="D43" s="104"/>
      <c r="E43" s="104"/>
      <c r="F43" s="104"/>
      <c r="I43" s="44"/>
    </row>
    <row r="44" spans="1:9">
      <c r="A44" s="105" t="s">
        <v>7</v>
      </c>
      <c r="B44" s="123">
        <f t="shared" si="0"/>
        <v>2304.0129999999999</v>
      </c>
      <c r="C44" s="106">
        <f t="shared" si="1"/>
        <v>2.0179223903794954</v>
      </c>
      <c r="D44" s="104"/>
      <c r="E44" s="104"/>
      <c r="F44" s="104"/>
    </row>
    <row r="45" spans="1:9">
      <c r="A45" s="105" t="s">
        <v>8</v>
      </c>
      <c r="B45" s="123">
        <f t="shared" si="0"/>
        <v>1087.3499999999999</v>
      </c>
      <c r="C45" s="106">
        <f t="shared" si="1"/>
        <v>0.9523331297085319</v>
      </c>
      <c r="E45" s="104"/>
      <c r="F45" s="104"/>
    </row>
    <row r="46" spans="1:9">
      <c r="A46" s="107" t="s">
        <v>15</v>
      </c>
      <c r="B46" s="124">
        <f>SUM(B33:B45)</f>
        <v>114177.48328600002</v>
      </c>
      <c r="C46" s="108">
        <f>SUM(C33:C45)</f>
        <v>99.999999999999986</v>
      </c>
      <c r="D46" s="104" t="str">
        <f>CONCATENATE(TEXT(B46,"#.##0")," MW")</f>
        <v>114.177 MW</v>
      </c>
    </row>
    <row r="48" spans="1:9">
      <c r="A48" s="102" t="s">
        <v>59</v>
      </c>
      <c r="B48" s="157"/>
      <c r="C48" s="157"/>
      <c r="D48" s="157"/>
      <c r="E48" s="104"/>
      <c r="F48" s="104"/>
    </row>
    <row r="49" spans="1:10">
      <c r="A49" s="103"/>
      <c r="B49" s="86" t="s">
        <v>0</v>
      </c>
      <c r="C49" s="86" t="s">
        <v>14</v>
      </c>
      <c r="D49" s="104"/>
      <c r="E49" s="161"/>
      <c r="F49" s="162" t="s">
        <v>14</v>
      </c>
    </row>
    <row r="50" spans="1:10">
      <c r="A50" s="127" t="s">
        <v>81</v>
      </c>
      <c r="B50" s="165">
        <f>VLOOKUP(A33,A$8:B$22,2,FALSE)/1000</f>
        <v>540.07979424799998</v>
      </c>
      <c r="C50" s="106">
        <f t="shared" ref="C50:C61" si="2">B50/$B$62*100</f>
        <v>2.3586695565897422</v>
      </c>
      <c r="D50" s="125"/>
      <c r="E50" s="159" t="s">
        <v>16</v>
      </c>
      <c r="F50" s="160">
        <f>SUM(C50:C55)</f>
        <v>45.717449284837954</v>
      </c>
      <c r="G50" s="160"/>
      <c r="J50" s="44"/>
    </row>
    <row r="51" spans="1:10">
      <c r="A51" s="105" t="s">
        <v>3</v>
      </c>
      <c r="B51" s="165">
        <f t="shared" ref="B51:B54" si="3">VLOOKUP(A34,A$8:B$22,2,FALSE)/1000</f>
        <v>5102.2896650000002</v>
      </c>
      <c r="C51" s="106">
        <f t="shared" si="2"/>
        <v>22.283031933262407</v>
      </c>
      <c r="D51" s="125"/>
      <c r="E51" s="163" t="s">
        <v>17</v>
      </c>
      <c r="F51" s="164">
        <f>SUM(C56:C61)</f>
        <v>54.282550715162024</v>
      </c>
      <c r="J51" s="44"/>
    </row>
    <row r="52" spans="1:10">
      <c r="A52" s="105" t="s">
        <v>4</v>
      </c>
      <c r="B52" s="165">
        <f t="shared" si="3"/>
        <v>424.61757400000005</v>
      </c>
      <c r="C52" s="106">
        <f t="shared" si="2"/>
        <v>1.8544158764193592</v>
      </c>
      <c r="D52" s="125"/>
      <c r="E52" s="104"/>
      <c r="F52" s="104"/>
      <c r="J52" s="44"/>
    </row>
    <row r="53" spans="1:10">
      <c r="A53" s="105" t="s">
        <v>11</v>
      </c>
      <c r="B53" s="165">
        <f t="shared" si="3"/>
        <v>2596.673096</v>
      </c>
      <c r="C53" s="106">
        <f t="shared" si="2"/>
        <v>11.340349787532372</v>
      </c>
      <c r="D53" s="125"/>
      <c r="E53" s="104"/>
      <c r="F53" s="104"/>
      <c r="J53" s="44"/>
    </row>
    <row r="54" spans="1:10">
      <c r="A54" s="105" t="s">
        <v>9</v>
      </c>
      <c r="B54" s="165">
        <f t="shared" si="3"/>
        <v>1694.13301</v>
      </c>
      <c r="C54" s="106">
        <f t="shared" si="2"/>
        <v>7.3987214446053908</v>
      </c>
      <c r="D54" s="125"/>
      <c r="E54" s="104"/>
      <c r="F54" s="158"/>
      <c r="J54" s="44"/>
    </row>
    <row r="55" spans="1:10">
      <c r="A55" s="105" t="s">
        <v>70</v>
      </c>
      <c r="B55" s="165">
        <f t="shared" ref="B55:B61" si="4">VLOOKUP(A39,A$8:B$22,2,FALSE)/1000</f>
        <v>110.4263425</v>
      </c>
      <c r="C55" s="106">
        <f t="shared" si="2"/>
        <v>0.48226068642868236</v>
      </c>
      <c r="D55" s="125"/>
      <c r="E55" s="104"/>
      <c r="F55" s="104"/>
      <c r="J55" s="44"/>
    </row>
    <row r="56" spans="1:10">
      <c r="A56" s="105" t="s">
        <v>69</v>
      </c>
      <c r="B56" s="165">
        <f t="shared" si="4"/>
        <v>62.238713499999996</v>
      </c>
      <c r="C56" s="106">
        <f t="shared" si="2"/>
        <v>0.27181272163341003</v>
      </c>
      <c r="D56" s="125"/>
      <c r="E56" s="104"/>
      <c r="F56" s="104"/>
      <c r="J56" s="44"/>
    </row>
    <row r="57" spans="1:10">
      <c r="A57" s="105" t="s">
        <v>5</v>
      </c>
      <c r="B57" s="165">
        <f t="shared" si="4"/>
        <v>6561.4920899999997</v>
      </c>
      <c r="C57" s="106">
        <f t="shared" si="2"/>
        <v>28.655750137878282</v>
      </c>
      <c r="D57" s="125"/>
      <c r="E57" s="104"/>
      <c r="F57" s="104"/>
      <c r="J57" s="44"/>
    </row>
    <row r="58" spans="1:10">
      <c r="A58" s="105" t="s">
        <v>2</v>
      </c>
      <c r="B58" s="165">
        <f t="shared" si="4"/>
        <v>2039.877995889</v>
      </c>
      <c r="C58" s="106">
        <f t="shared" si="2"/>
        <v>8.908680123388077</v>
      </c>
      <c r="D58" s="125"/>
      <c r="E58" s="104"/>
      <c r="F58" s="104"/>
      <c r="J58" s="44"/>
    </row>
    <row r="59" spans="1:10">
      <c r="A59" s="105" t="s">
        <v>6</v>
      </c>
      <c r="B59" s="165">
        <f t="shared" si="4"/>
        <v>3049.4190860000003</v>
      </c>
      <c r="C59" s="106">
        <f t="shared" si="2"/>
        <v>13.317609805133998</v>
      </c>
      <c r="D59" s="125"/>
      <c r="E59" s="104"/>
      <c r="F59" s="104"/>
      <c r="J59" s="44"/>
    </row>
    <row r="60" spans="1:10">
      <c r="A60" s="105" t="s">
        <v>7</v>
      </c>
      <c r="B60" s="165">
        <f t="shared" si="4"/>
        <v>409.577922</v>
      </c>
      <c r="C60" s="106">
        <f t="shared" si="2"/>
        <v>1.7887337870468121</v>
      </c>
      <c r="D60" s="125"/>
      <c r="E60" s="104"/>
      <c r="F60" s="104"/>
      <c r="J60" s="44"/>
    </row>
    <row r="61" spans="1:10">
      <c r="A61" s="105" t="s">
        <v>8</v>
      </c>
      <c r="B61" s="165">
        <f t="shared" si="4"/>
        <v>306.82023900000002</v>
      </c>
      <c r="C61" s="106">
        <f t="shared" si="2"/>
        <v>1.3399641400814519</v>
      </c>
      <c r="D61" s="125"/>
      <c r="E61" s="104"/>
      <c r="F61" s="104"/>
      <c r="J61" s="44"/>
    </row>
    <row r="62" spans="1:10">
      <c r="A62" s="107" t="s">
        <v>15</v>
      </c>
      <c r="B62" s="124">
        <f>SUM(B50:B61)</f>
        <v>22897.645528137004</v>
      </c>
      <c r="C62" s="108">
        <f>SUM(C50:C61)</f>
        <v>99.999999999999986</v>
      </c>
      <c r="D62" s="104"/>
      <c r="E62" s="104"/>
      <c r="F62" s="104"/>
    </row>
    <row r="66" spans="1:8">
      <c r="A66" s="166" t="s">
        <v>31</v>
      </c>
      <c r="B66" s="297" t="s">
        <v>231</v>
      </c>
      <c r="G66" s="166" t="s">
        <v>31</v>
      </c>
      <c r="H66" s="297" t="s">
        <v>223</v>
      </c>
    </row>
    <row r="67" spans="1:8">
      <c r="A67" s="166" t="s">
        <v>106</v>
      </c>
      <c r="B67" s="167" t="s">
        <v>109</v>
      </c>
      <c r="G67" s="166" t="s">
        <v>106</v>
      </c>
      <c r="H67" s="167" t="s">
        <v>109</v>
      </c>
    </row>
    <row r="68" spans="1:8">
      <c r="A68" s="166" t="s">
        <v>110</v>
      </c>
      <c r="B68" s="168"/>
      <c r="G68" s="166" t="s">
        <v>233</v>
      </c>
      <c r="H68" s="168"/>
    </row>
    <row r="69" spans="1:8">
      <c r="A69" s="275" t="s">
        <v>2</v>
      </c>
      <c r="B69" s="291">
        <v>43.769025511000002</v>
      </c>
      <c r="G69" s="275" t="s">
        <v>2</v>
      </c>
      <c r="H69" s="291">
        <v>140.579691524</v>
      </c>
    </row>
    <row r="70" spans="1:8">
      <c r="A70" s="275" t="s">
        <v>81</v>
      </c>
      <c r="B70" s="291">
        <v>20.122803377</v>
      </c>
      <c r="G70" s="275" t="s">
        <v>81</v>
      </c>
      <c r="H70" s="291">
        <v>16.355018235999999</v>
      </c>
    </row>
    <row r="71" spans="1:8">
      <c r="A71" s="275" t="s">
        <v>3</v>
      </c>
      <c r="B71" s="291">
        <v>169.63602299999999</v>
      </c>
      <c r="G71" s="275" t="s">
        <v>3</v>
      </c>
      <c r="H71" s="291">
        <v>170.10828599999999</v>
      </c>
    </row>
    <row r="72" spans="1:8">
      <c r="A72" s="275" t="s">
        <v>4</v>
      </c>
      <c r="B72" s="291">
        <v>13.735239</v>
      </c>
      <c r="G72" s="275" t="s">
        <v>4</v>
      </c>
      <c r="H72" s="291">
        <v>9.1024949999999993</v>
      </c>
    </row>
    <row r="73" spans="1:8">
      <c r="A73" s="275" t="s">
        <v>95</v>
      </c>
      <c r="B73" s="291">
        <v>0</v>
      </c>
      <c r="G73" s="275" t="s">
        <v>95</v>
      </c>
      <c r="H73" s="291">
        <v>0</v>
      </c>
    </row>
    <row r="74" spans="1:8">
      <c r="A74" s="275" t="s">
        <v>11</v>
      </c>
      <c r="B74" s="291">
        <v>21.166777</v>
      </c>
      <c r="G74" s="275" t="s">
        <v>11</v>
      </c>
      <c r="H74" s="291">
        <v>57.899113999999997</v>
      </c>
    </row>
    <row r="75" spans="1:8">
      <c r="A75" s="275" t="s">
        <v>5</v>
      </c>
      <c r="B75" s="291">
        <v>386.65187100000003</v>
      </c>
      <c r="G75" s="275" t="s">
        <v>5</v>
      </c>
      <c r="H75" s="291">
        <v>338.55508099999997</v>
      </c>
    </row>
    <row r="76" spans="1:8">
      <c r="A76" s="275" t="s">
        <v>6</v>
      </c>
      <c r="B76" s="291">
        <v>93.153992000000002</v>
      </c>
      <c r="G76" s="275" t="s">
        <v>6</v>
      </c>
      <c r="H76" s="291">
        <v>74.557651000000007</v>
      </c>
    </row>
    <row r="77" spans="1:8">
      <c r="A77" s="275" t="s">
        <v>7</v>
      </c>
      <c r="B77" s="291">
        <v>10.263845999999999</v>
      </c>
      <c r="G77" s="275" t="s">
        <v>7</v>
      </c>
      <c r="H77" s="291">
        <v>6.8643190000000001</v>
      </c>
    </row>
    <row r="78" spans="1:8">
      <c r="A78" s="275" t="s">
        <v>8</v>
      </c>
      <c r="B78" s="291">
        <v>8.9416340000000005</v>
      </c>
      <c r="G78" s="275" t="s">
        <v>8</v>
      </c>
      <c r="H78" s="291">
        <v>10.077373</v>
      </c>
    </row>
    <row r="79" spans="1:8">
      <c r="A79" s="275" t="s">
        <v>9</v>
      </c>
      <c r="B79" s="291">
        <v>47.397725000000001</v>
      </c>
      <c r="G79" s="275" t="s">
        <v>9</v>
      </c>
      <c r="H79" s="291">
        <v>36.293621000000002</v>
      </c>
    </row>
    <row r="80" spans="1:8">
      <c r="A80" s="275" t="s">
        <v>69</v>
      </c>
      <c r="B80" s="291">
        <v>1.8324579999999999</v>
      </c>
      <c r="G80" s="275" t="s">
        <v>69</v>
      </c>
      <c r="H80" s="291">
        <v>1.165713</v>
      </c>
    </row>
    <row r="81" spans="1:11">
      <c r="A81" s="275" t="s">
        <v>70</v>
      </c>
      <c r="B81" s="291">
        <v>3.1718039999999998</v>
      </c>
      <c r="G81" s="275" t="s">
        <v>70</v>
      </c>
      <c r="H81" s="291">
        <v>2.4135810000000002</v>
      </c>
    </row>
    <row r="82" spans="1:11">
      <c r="A82" s="276" t="s">
        <v>10</v>
      </c>
      <c r="B82" s="292">
        <v>819.84319788799996</v>
      </c>
      <c r="C82">
        <f>SUM(B69,B75:B78,B80)</f>
        <v>544.61282651099998</v>
      </c>
      <c r="G82" s="276" t="s">
        <v>10</v>
      </c>
      <c r="H82" s="292">
        <v>863.97194376000004</v>
      </c>
      <c r="I82">
        <f>SUM(H69,H75:H78,H80)</f>
        <v>571.79982852399996</v>
      </c>
    </row>
    <row r="83" spans="1:11">
      <c r="A83" s="275" t="s">
        <v>121</v>
      </c>
      <c r="B83" s="291">
        <v>-58.033997999999997</v>
      </c>
      <c r="G83" s="275" t="s">
        <v>121</v>
      </c>
      <c r="H83" s="291">
        <v>-33.93468</v>
      </c>
    </row>
    <row r="84" spans="1:11">
      <c r="A84" s="275" t="s">
        <v>97</v>
      </c>
      <c r="B84" s="291">
        <v>-3.1525629999999998</v>
      </c>
      <c r="G84" s="275" t="s">
        <v>97</v>
      </c>
      <c r="H84" s="291">
        <v>-4.8965899999999998</v>
      </c>
    </row>
    <row r="85" spans="1:11">
      <c r="A85" s="275" t="s">
        <v>122</v>
      </c>
      <c r="B85" s="291">
        <v>-114.920592</v>
      </c>
      <c r="G85" s="275" t="s">
        <v>122</v>
      </c>
      <c r="H85" s="291">
        <v>-67.498549999999994</v>
      </c>
    </row>
    <row r="86" spans="1:11">
      <c r="A86" s="276" t="s">
        <v>123</v>
      </c>
      <c r="B86" s="292">
        <v>643.73604488800004</v>
      </c>
      <c r="G86" s="276" t="s">
        <v>123</v>
      </c>
      <c r="H86" s="292">
        <v>757.64212376</v>
      </c>
    </row>
    <row r="87" spans="1:11">
      <c r="A87" s="275" t="s">
        <v>221</v>
      </c>
      <c r="B87" s="291">
        <v>7.6085E-2</v>
      </c>
      <c r="G87" s="275" t="s">
        <v>221</v>
      </c>
      <c r="H87" s="291">
        <v>5.2087000000000001E-2</v>
      </c>
    </row>
    <row r="91" spans="1:11">
      <c r="B91" s="175" t="str">
        <f>"Mes " &amp;B66</f>
        <v>Mes 10/03/2023</v>
      </c>
      <c r="H91" s="175" t="str">
        <f>"Histórico " &amp;H66</f>
        <v>Histórico 27/01/2023</v>
      </c>
    </row>
    <row r="92" spans="1:11">
      <c r="A92" s="143" t="str">
        <f>"Estructura de generacion mensual de energía eléctrica peninsular " &amp; B66</f>
        <v>Estructura de generacion mensual de energía eléctrica peninsular 10/03/2023</v>
      </c>
      <c r="B92" s="157"/>
      <c r="C92" s="157"/>
      <c r="D92" s="157"/>
      <c r="E92" s="174" t="str">
        <f>CONCATENATE("Mes",CHAR(13),MID(A92,66,10))</f>
        <v>Mes_x000D_10/03/2023</v>
      </c>
      <c r="G92" s="143" t="str">
        <f>"Estructura de generacion mensual de energía eléctrica peninsular " &amp; H66</f>
        <v>Estructura de generacion mensual de energía eléctrica peninsular 27/01/2023</v>
      </c>
      <c r="H92" s="157"/>
      <c r="I92" s="157"/>
      <c r="J92" s="157"/>
      <c r="K92" s="157"/>
    </row>
    <row r="93" spans="1:11">
      <c r="A93" s="103"/>
      <c r="B93" s="86" t="s">
        <v>14</v>
      </c>
      <c r="C93" s="104"/>
      <c r="G93" s="103"/>
      <c r="H93" s="86" t="s">
        <v>14</v>
      </c>
      <c r="I93" s="104"/>
    </row>
    <row r="94" spans="1:11">
      <c r="A94" s="105" t="s">
        <v>81</v>
      </c>
      <c r="B94" s="173">
        <f>IF(B$72&lt;0,VLOOKUP(A94,A$69:B$84,2,FALSE)/SUM(B$69:B$71,B$73:B$81)*100,VLOOKUP(A94,A$69:B$84,2,FALSE)/VLOOKUP("Generación",A$69:B$84,2,FALSE)*100)</f>
        <v>2.4544697606613557</v>
      </c>
      <c r="C94" s="104"/>
      <c r="G94" s="105" t="s">
        <v>81</v>
      </c>
      <c r="H94" s="173">
        <f>VLOOKUP(G94,G$69:H$84,2,FALSE)/VLOOKUP("Generación",G$69:H$84,2,FALSE)*100</f>
        <v>1.89300339601574</v>
      </c>
      <c r="I94" s="104"/>
    </row>
    <row r="95" spans="1:11">
      <c r="A95" s="105" t="s">
        <v>3</v>
      </c>
      <c r="B95" s="173">
        <f>IF(B$72&lt;0,VLOOKUP(A95,A$69:B$84,2,FALSE)/SUM(B$69:B$71,B$73:B$81)*100,VLOOKUP(A95,A$69:B$84,2,FALSE)/VLOOKUP("Generación",A$69:B$84,2,FALSE)*100)</f>
        <v>20.691276507141822</v>
      </c>
      <c r="C95" s="104"/>
      <c r="G95" s="105" t="s">
        <v>3</v>
      </c>
      <c r="H95" s="173">
        <f>VLOOKUP(G95,G$69:H$84,2,FALSE)/VLOOKUP("Generación",G$69:H$84,2,FALSE)*100</f>
        <v>19.689098382024987</v>
      </c>
      <c r="I95" s="104"/>
    </row>
    <row r="96" spans="1:11">
      <c r="A96" s="105" t="s">
        <v>4</v>
      </c>
      <c r="B96" s="173">
        <f>IF(B$72&lt;0,,VLOOKUP(A96,A$69:B$84,2,FALSE)/VLOOKUP("Generación",A$69:B$84,2,FALSE)*100)</f>
        <v>1.6753495101726017</v>
      </c>
      <c r="C96" s="104"/>
      <c r="D96" s="104"/>
      <c r="E96" s="104"/>
      <c r="G96" s="105" t="s">
        <v>4</v>
      </c>
      <c r="H96" s="173">
        <f>IF(H$72&lt;0,,VLOOKUP(G96,G$69:H$84,2,FALSE)/VLOOKUP("Generación",G$69:H$84,2,FALSE)*100)</f>
        <v>1.0535637257369728</v>
      </c>
      <c r="I96" s="104"/>
      <c r="J96" s="104"/>
      <c r="K96" s="104"/>
    </row>
    <row r="97" spans="1:11">
      <c r="A97" s="105" t="s">
        <v>11</v>
      </c>
      <c r="B97" s="173">
        <f t="shared" ref="B97:B105" si="5">IF(B$72&lt;0,VLOOKUP(A97,A$69:B$84,2,FALSE)/SUM(B$69:B$71,B$73:B$81)*100,VLOOKUP(A97,A$69:B$84,2,FALSE)/VLOOKUP("Generación",A$69:B$84,2,FALSE)*100)</f>
        <v>2.5818079670024447</v>
      </c>
      <c r="C97" s="104"/>
      <c r="D97" s="104"/>
      <c r="E97" s="104"/>
      <c r="G97" s="105" t="s">
        <v>11</v>
      </c>
      <c r="H97" s="173">
        <f t="shared" ref="H97:H105" si="6">VLOOKUP(G97,G$69:H$84,2,FALSE)/VLOOKUP("Generación",G$69:H$84,2,FALSE)*100</f>
        <v>6.7015039571798409</v>
      </c>
      <c r="I97" s="104"/>
      <c r="J97" s="104"/>
      <c r="K97" s="104"/>
    </row>
    <row r="98" spans="1:11">
      <c r="A98" s="105" t="s">
        <v>9</v>
      </c>
      <c r="B98" s="173">
        <f t="shared" si="5"/>
        <v>5.7813158811467114</v>
      </c>
      <c r="C98" s="104"/>
      <c r="D98" s="104"/>
      <c r="E98" s="104"/>
      <c r="G98" s="105" t="s">
        <v>9</v>
      </c>
      <c r="H98" s="173">
        <f t="shared" si="6"/>
        <v>4.2007869887591962</v>
      </c>
      <c r="I98" s="104"/>
      <c r="J98" s="104"/>
      <c r="K98" s="104"/>
    </row>
    <row r="99" spans="1:11">
      <c r="A99" s="105" t="s">
        <v>70</v>
      </c>
      <c r="B99" s="173">
        <f t="shared" si="5"/>
        <v>0.38687934572987759</v>
      </c>
      <c r="C99" s="104"/>
      <c r="D99" s="104"/>
      <c r="E99" s="104"/>
      <c r="G99" s="105" t="s">
        <v>70</v>
      </c>
      <c r="H99" s="173">
        <f t="shared" si="6"/>
        <v>0.27935872425395114</v>
      </c>
      <c r="I99" s="104"/>
      <c r="J99" s="104"/>
      <c r="K99" s="104"/>
    </row>
    <row r="100" spans="1:11">
      <c r="A100" s="105" t="s">
        <v>69</v>
      </c>
      <c r="B100" s="173">
        <f t="shared" si="5"/>
        <v>0.2235132284710783</v>
      </c>
      <c r="C100" s="104"/>
      <c r="D100" s="104"/>
      <c r="E100" s="104"/>
      <c r="G100" s="105" t="s">
        <v>69</v>
      </c>
      <c r="H100" s="173">
        <f t="shared" si="6"/>
        <v>0.13492486745886967</v>
      </c>
      <c r="I100" s="104"/>
      <c r="J100" s="104"/>
      <c r="K100" s="104"/>
    </row>
    <row r="101" spans="1:11">
      <c r="A101" s="105" t="s">
        <v>5</v>
      </c>
      <c r="B101" s="173">
        <f t="shared" si="5"/>
        <v>47.161685551097435</v>
      </c>
      <c r="C101" s="104"/>
      <c r="D101" s="104"/>
      <c r="E101" s="104"/>
      <c r="G101" s="105" t="s">
        <v>5</v>
      </c>
      <c r="H101" s="173">
        <f t="shared" si="6"/>
        <v>39.185888320239954</v>
      </c>
      <c r="I101" s="104"/>
      <c r="J101" s="104"/>
      <c r="K101" s="104"/>
    </row>
    <row r="102" spans="1:11">
      <c r="A102" s="105" t="s">
        <v>2</v>
      </c>
      <c r="B102" s="173">
        <f t="shared" si="5"/>
        <v>5.3387069166096017</v>
      </c>
      <c r="C102" s="104"/>
      <c r="D102" s="104"/>
      <c r="E102" s="104"/>
      <c r="G102" s="105" t="s">
        <v>2</v>
      </c>
      <c r="H102" s="173">
        <f t="shared" si="6"/>
        <v>16.271326000726148</v>
      </c>
      <c r="I102" s="104"/>
      <c r="J102" s="104"/>
      <c r="K102" s="104"/>
    </row>
    <row r="103" spans="1:11">
      <c r="A103" s="105" t="s">
        <v>6</v>
      </c>
      <c r="B103" s="173">
        <f t="shared" si="5"/>
        <v>11.362415671676514</v>
      </c>
      <c r="C103" s="104"/>
      <c r="D103" s="104"/>
      <c r="E103" s="104"/>
      <c r="G103" s="105" t="s">
        <v>6</v>
      </c>
      <c r="H103" s="173">
        <f t="shared" si="6"/>
        <v>8.6296379805489529</v>
      </c>
      <c r="I103" s="104"/>
      <c r="J103" s="104"/>
      <c r="K103" s="104"/>
    </row>
    <row r="104" spans="1:11">
      <c r="A104" s="105" t="s">
        <v>7</v>
      </c>
      <c r="B104" s="173">
        <f t="shared" si="5"/>
        <v>1.2519279328584683</v>
      </c>
      <c r="C104" s="104"/>
      <c r="D104" s="104"/>
      <c r="E104" s="104"/>
      <c r="G104" s="105" t="s">
        <v>7</v>
      </c>
      <c r="H104" s="173">
        <f t="shared" si="6"/>
        <v>0.79450716537466837</v>
      </c>
      <c r="I104" s="104"/>
      <c r="J104" s="104"/>
      <c r="K104" s="104"/>
    </row>
    <row r="105" spans="1:11">
      <c r="A105" s="105" t="s">
        <v>8</v>
      </c>
      <c r="B105" s="173">
        <f t="shared" si="5"/>
        <v>1.090651727432095</v>
      </c>
      <c r="C105" s="157"/>
      <c r="D105" s="157"/>
      <c r="E105" s="157"/>
      <c r="G105" s="105" t="s">
        <v>8</v>
      </c>
      <c r="H105" s="173">
        <f t="shared" si="6"/>
        <v>1.1664004916807069</v>
      </c>
      <c r="I105" s="104"/>
      <c r="J105" s="104"/>
      <c r="K105" s="104"/>
    </row>
    <row r="106" spans="1:11">
      <c r="A106" s="107" t="s">
        <v>15</v>
      </c>
      <c r="B106" s="108">
        <f>SUM(B94:B105)</f>
        <v>100</v>
      </c>
      <c r="C106" s="157"/>
      <c r="D106" s="157"/>
      <c r="E106" s="157"/>
      <c r="G106" s="107" t="s">
        <v>15</v>
      </c>
      <c r="H106" s="108">
        <f>SUM(H94:H105)</f>
        <v>99.999999999999986</v>
      </c>
      <c r="I106" s="104"/>
      <c r="J106" s="104"/>
      <c r="K106" s="104"/>
    </row>
    <row r="108" spans="1:11">
      <c r="A108" s="161"/>
      <c r="B108" s="162" t="s">
        <v>14</v>
      </c>
      <c r="G108" s="161"/>
      <c r="H108" s="162" t="s">
        <v>14</v>
      </c>
    </row>
    <row r="109" spans="1:11">
      <c r="A109" s="159" t="s">
        <v>16</v>
      </c>
      <c r="B109" s="160">
        <f>SUM(B94:B99)</f>
        <v>33.571098971854816</v>
      </c>
      <c r="G109" s="159" t="s">
        <v>16</v>
      </c>
      <c r="H109" s="160">
        <f>SUM(H94:H99)</f>
        <v>33.817315173970691</v>
      </c>
    </row>
    <row r="110" spans="1:11">
      <c r="A110" s="163" t="s">
        <v>17</v>
      </c>
      <c r="B110" s="164">
        <f>SUM(B100:B105)</f>
        <v>66.428901028145177</v>
      </c>
      <c r="G110" s="163" t="s">
        <v>17</v>
      </c>
      <c r="H110" s="164">
        <f>SUM(H100:H105)</f>
        <v>66.182684826029302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66" t="s">
        <v>105</v>
      </c>
      <c r="B115" s="314" t="s">
        <v>98</v>
      </c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</row>
    <row r="116" spans="1:26">
      <c r="A116" s="166" t="s">
        <v>106</v>
      </c>
      <c r="B116" s="318" t="s">
        <v>109</v>
      </c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</row>
    <row r="117" spans="1:26">
      <c r="A117" s="170" t="s">
        <v>30</v>
      </c>
      <c r="B117" s="297" t="s">
        <v>177</v>
      </c>
      <c r="C117" s="297" t="s">
        <v>179</v>
      </c>
      <c r="D117" s="297" t="s">
        <v>181</v>
      </c>
      <c r="E117" s="297" t="s">
        <v>183</v>
      </c>
      <c r="F117" s="297" t="s">
        <v>188</v>
      </c>
      <c r="G117" s="297" t="s">
        <v>189</v>
      </c>
      <c r="H117" s="297" t="s">
        <v>190</v>
      </c>
      <c r="I117" s="297" t="s">
        <v>191</v>
      </c>
      <c r="J117" s="297" t="s">
        <v>192</v>
      </c>
      <c r="K117" s="297" t="s">
        <v>193</v>
      </c>
      <c r="L117" s="297" t="s">
        <v>195</v>
      </c>
      <c r="M117" s="297" t="s">
        <v>204</v>
      </c>
      <c r="N117" s="297" t="s">
        <v>205</v>
      </c>
      <c r="O117" s="297" t="s">
        <v>206</v>
      </c>
      <c r="P117" s="297" t="s">
        <v>209</v>
      </c>
      <c r="Q117" s="297" t="s">
        <v>213</v>
      </c>
      <c r="R117" s="297" t="s">
        <v>214</v>
      </c>
      <c r="S117" s="297" t="s">
        <v>215</v>
      </c>
      <c r="T117" s="297" t="s">
        <v>216</v>
      </c>
      <c r="U117" s="297" t="s">
        <v>217</v>
      </c>
      <c r="V117" s="297" t="s">
        <v>218</v>
      </c>
      <c r="W117" s="297" t="s">
        <v>220</v>
      </c>
      <c r="X117" s="297" t="s">
        <v>222</v>
      </c>
      <c r="Y117" s="297" t="s">
        <v>224</v>
      </c>
      <c r="Z117" s="297" t="s">
        <v>225</v>
      </c>
    </row>
    <row r="118" spans="1:26">
      <c r="A118" s="166" t="s">
        <v>107</v>
      </c>
      <c r="B118" s="277"/>
      <c r="C118" s="277"/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77"/>
      <c r="X118" s="277"/>
      <c r="Y118" s="277"/>
      <c r="Z118" s="277"/>
    </row>
    <row r="119" spans="1:26">
      <c r="A119" s="275" t="s">
        <v>2</v>
      </c>
      <c r="B119" s="291">
        <v>3715.13373508</v>
      </c>
      <c r="C119" s="291">
        <v>2744.8811701320001</v>
      </c>
      <c r="D119" s="291">
        <v>2159.2153889599999</v>
      </c>
      <c r="E119" s="291">
        <v>2181.9703714279999</v>
      </c>
      <c r="F119" s="291">
        <v>2209.1749067780001</v>
      </c>
      <c r="G119" s="291">
        <v>1882.980148332</v>
      </c>
      <c r="H119" s="291">
        <v>1396.4213517400001</v>
      </c>
      <c r="I119" s="291">
        <v>1022.93294184</v>
      </c>
      <c r="J119" s="291">
        <v>1199.2142875120001</v>
      </c>
      <c r="K119" s="291">
        <v>2536.648307984</v>
      </c>
      <c r="L119" s="291">
        <v>2085.563255944</v>
      </c>
      <c r="M119" s="291">
        <v>1174.71960113</v>
      </c>
      <c r="N119" s="291">
        <v>1764.5097587759999</v>
      </c>
      <c r="O119" s="291">
        <v>1781.779774696</v>
      </c>
      <c r="P119" s="291">
        <v>1922.003550334</v>
      </c>
      <c r="Q119" s="291">
        <v>1190.7040866760001</v>
      </c>
      <c r="R119" s="291">
        <v>1043.2246898359999</v>
      </c>
      <c r="S119" s="291">
        <v>972.684938214</v>
      </c>
      <c r="T119" s="291">
        <v>1153.486740052</v>
      </c>
      <c r="U119" s="291">
        <v>717.40876467500004</v>
      </c>
      <c r="V119" s="291">
        <v>1309.0039419320001</v>
      </c>
      <c r="W119" s="291">
        <v>2744.519164804</v>
      </c>
      <c r="X119" s="291">
        <v>3853.1091040460001</v>
      </c>
      <c r="Y119" s="291">
        <v>2451.4677244879999</v>
      </c>
      <c r="Z119" s="291">
        <v>2039.877995889</v>
      </c>
    </row>
    <row r="120" spans="1:26">
      <c r="A120" s="275" t="s">
        <v>81</v>
      </c>
      <c r="B120" s="291">
        <v>330.79456254199999</v>
      </c>
      <c r="C120" s="291">
        <v>153.67971897199999</v>
      </c>
      <c r="D120" s="291">
        <v>238.70894406400001</v>
      </c>
      <c r="E120" s="291">
        <v>105.706298588</v>
      </c>
      <c r="F120" s="291">
        <v>115.895285032</v>
      </c>
      <c r="G120" s="291">
        <v>159.688932104</v>
      </c>
      <c r="H120" s="291">
        <v>118.198097456</v>
      </c>
      <c r="I120" s="291">
        <v>232.11239852200001</v>
      </c>
      <c r="J120" s="291">
        <v>202.80658590199999</v>
      </c>
      <c r="K120" s="291">
        <v>269.90882835999997</v>
      </c>
      <c r="L120" s="291">
        <v>215.63773516000001</v>
      </c>
      <c r="M120" s="291">
        <v>285.07994499799997</v>
      </c>
      <c r="N120" s="291">
        <v>273.84815268400001</v>
      </c>
      <c r="O120" s="291">
        <v>336.71262419200002</v>
      </c>
      <c r="P120" s="291">
        <v>299.88005130400001</v>
      </c>
      <c r="Q120" s="291">
        <v>270.92395723800001</v>
      </c>
      <c r="R120" s="291">
        <v>216.61761902000001</v>
      </c>
      <c r="S120" s="291">
        <v>339.37215041600001</v>
      </c>
      <c r="T120" s="291">
        <v>304.810324294</v>
      </c>
      <c r="U120" s="291">
        <v>385.66142858699999</v>
      </c>
      <c r="V120" s="291">
        <v>361.663865692</v>
      </c>
      <c r="W120" s="291">
        <v>485.35906038799999</v>
      </c>
      <c r="X120" s="291">
        <v>542.79743612200002</v>
      </c>
      <c r="Y120" s="291">
        <v>260.87120307999999</v>
      </c>
      <c r="Z120" s="291">
        <v>540.07979424799998</v>
      </c>
    </row>
    <row r="121" spans="1:26">
      <c r="A121" s="275" t="s">
        <v>3</v>
      </c>
      <c r="B121" s="291">
        <v>4833.0650020000003</v>
      </c>
      <c r="C121" s="291">
        <v>4197.3329299999996</v>
      </c>
      <c r="D121" s="291">
        <v>4373.2505520000004</v>
      </c>
      <c r="E121" s="291">
        <v>3684.377943</v>
      </c>
      <c r="F121" s="291">
        <v>5119.3289409999998</v>
      </c>
      <c r="G121" s="291">
        <v>5151.3378030000003</v>
      </c>
      <c r="H121" s="291">
        <v>4890.6182209999997</v>
      </c>
      <c r="I121" s="291">
        <v>4748.3644569999997</v>
      </c>
      <c r="J121" s="291">
        <v>3562.2548069999998</v>
      </c>
      <c r="K121" s="291">
        <v>3922.8334519999999</v>
      </c>
      <c r="L121" s="291">
        <v>5048.424951</v>
      </c>
      <c r="M121" s="291">
        <v>4771.0582690000001</v>
      </c>
      <c r="N121" s="291">
        <v>4766.6900519999999</v>
      </c>
      <c r="O121" s="291">
        <v>4414.7154469999996</v>
      </c>
      <c r="P121" s="291">
        <v>4066.3553609999999</v>
      </c>
      <c r="Q121" s="291">
        <v>4459.4591659999996</v>
      </c>
      <c r="R121" s="291">
        <v>5073.1524980000004</v>
      </c>
      <c r="S121" s="291">
        <v>5122.0469300000004</v>
      </c>
      <c r="T121" s="291">
        <v>4847.367123</v>
      </c>
      <c r="U121" s="291">
        <v>4021.440771</v>
      </c>
      <c r="V121" s="291">
        <v>4231.5772440000001</v>
      </c>
      <c r="W121" s="291">
        <v>5161.2124510000003</v>
      </c>
      <c r="X121" s="291">
        <v>5086.7635890000001</v>
      </c>
      <c r="Y121" s="291">
        <v>4597.9597160000003</v>
      </c>
      <c r="Z121" s="291">
        <v>5102.2896650000002</v>
      </c>
    </row>
    <row r="122" spans="1:26">
      <c r="A122" s="275" t="s">
        <v>4</v>
      </c>
      <c r="B122" s="291">
        <v>242.790505</v>
      </c>
      <c r="C122" s="291">
        <v>270.69138700000002</v>
      </c>
      <c r="D122" s="291">
        <v>333.03452900000002</v>
      </c>
      <c r="E122" s="291">
        <v>431.62580800000001</v>
      </c>
      <c r="F122" s="291">
        <v>301.80961100000002</v>
      </c>
      <c r="G122" s="291">
        <v>319.91142400000001</v>
      </c>
      <c r="H122" s="291">
        <v>477.63717600000001</v>
      </c>
      <c r="I122" s="291">
        <v>528.00312499999995</v>
      </c>
      <c r="J122" s="291">
        <v>577.01964299999997</v>
      </c>
      <c r="K122" s="291">
        <v>720.54062199999998</v>
      </c>
      <c r="L122" s="291">
        <v>710.59068600000001</v>
      </c>
      <c r="M122" s="291">
        <v>569.209655</v>
      </c>
      <c r="N122" s="291">
        <v>705.89499799999999</v>
      </c>
      <c r="O122" s="291">
        <v>691.61008400000003</v>
      </c>
      <c r="P122" s="291">
        <v>528.18479500000001</v>
      </c>
      <c r="Q122" s="291">
        <v>804.07860300000004</v>
      </c>
      <c r="R122" s="291">
        <v>832.04332899999997</v>
      </c>
      <c r="S122" s="291">
        <v>814.32721900000001</v>
      </c>
      <c r="T122" s="291">
        <v>632.670525</v>
      </c>
      <c r="U122" s="291">
        <v>381.58525800000001</v>
      </c>
      <c r="V122" s="291">
        <v>322.05787199999997</v>
      </c>
      <c r="W122" s="291">
        <v>694.29977599999995</v>
      </c>
      <c r="X122" s="291">
        <v>296.93498</v>
      </c>
      <c r="Y122" s="291">
        <v>418.656857</v>
      </c>
      <c r="Z122" s="291">
        <v>424.61757399999999</v>
      </c>
    </row>
    <row r="123" spans="1:26">
      <c r="A123" s="275" t="s">
        <v>95</v>
      </c>
      <c r="B123" s="291">
        <v>0</v>
      </c>
      <c r="C123" s="291">
        <v>0</v>
      </c>
      <c r="D123" s="291">
        <v>0</v>
      </c>
      <c r="E123" s="291">
        <v>0</v>
      </c>
      <c r="F123" s="291">
        <v>-9.9999999999999995E-7</v>
      </c>
      <c r="G123" s="291">
        <v>0</v>
      </c>
      <c r="H123" s="291">
        <v>0</v>
      </c>
      <c r="I123" s="291">
        <v>0</v>
      </c>
      <c r="J123" s="291">
        <v>0</v>
      </c>
      <c r="K123" s="291">
        <v>0</v>
      </c>
      <c r="L123" s="291">
        <v>0</v>
      </c>
      <c r="M123" s="291">
        <v>0</v>
      </c>
      <c r="N123" s="291">
        <v>0</v>
      </c>
      <c r="O123" s="291">
        <v>0</v>
      </c>
      <c r="P123" s="291">
        <v>0</v>
      </c>
      <c r="Q123" s="291">
        <v>0</v>
      </c>
      <c r="R123" s="291">
        <v>0</v>
      </c>
      <c r="S123" s="291">
        <v>0</v>
      </c>
      <c r="T123" s="291">
        <v>0</v>
      </c>
      <c r="U123" s="291">
        <v>0</v>
      </c>
      <c r="V123" s="291">
        <v>0</v>
      </c>
      <c r="W123" s="291">
        <v>0</v>
      </c>
      <c r="X123" s="291">
        <v>0</v>
      </c>
      <c r="Y123" s="291">
        <v>0</v>
      </c>
      <c r="Z123" s="291">
        <v>-9.9999999999999995E-7</v>
      </c>
    </row>
    <row r="124" spans="1:26">
      <c r="A124" s="275" t="s">
        <v>11</v>
      </c>
      <c r="B124" s="291">
        <v>1649.4169910000001</v>
      </c>
      <c r="C124" s="291">
        <v>2864.730763</v>
      </c>
      <c r="D124" s="291">
        <v>2004.7763130000001</v>
      </c>
      <c r="E124" s="291">
        <v>3141.6518649999998</v>
      </c>
      <c r="F124" s="291">
        <v>3024.7301710000002</v>
      </c>
      <c r="G124" s="291">
        <v>3325.1540789999999</v>
      </c>
      <c r="H124" s="291">
        <v>4297.0681569999997</v>
      </c>
      <c r="I124" s="291">
        <v>3806.5237969999998</v>
      </c>
      <c r="J124" s="291">
        <v>5697.9228290000001</v>
      </c>
      <c r="K124" s="291">
        <v>4500.5213789999998</v>
      </c>
      <c r="L124" s="291">
        <v>5197.9756429999998</v>
      </c>
      <c r="M124" s="291">
        <v>4087.2934209999999</v>
      </c>
      <c r="N124" s="291">
        <v>3253.6807650000001</v>
      </c>
      <c r="O124" s="291">
        <v>2574.0641529999998</v>
      </c>
      <c r="P124" s="291">
        <v>3092.6268949999999</v>
      </c>
      <c r="Q124" s="291">
        <v>5827.7655100000002</v>
      </c>
      <c r="R124" s="291">
        <v>7767.9818580000001</v>
      </c>
      <c r="S124" s="291">
        <v>7355.8591020000003</v>
      </c>
      <c r="T124" s="291">
        <v>7042.528448</v>
      </c>
      <c r="U124" s="291">
        <v>6464.1513779999996</v>
      </c>
      <c r="V124" s="291">
        <v>4128.1831039999997</v>
      </c>
      <c r="W124" s="291">
        <v>3769.7460030000002</v>
      </c>
      <c r="X124" s="291">
        <v>2192.7146849999999</v>
      </c>
      <c r="Y124" s="291">
        <v>3827.8458970000002</v>
      </c>
      <c r="Z124" s="291">
        <v>2596.673096</v>
      </c>
    </row>
    <row r="125" spans="1:26">
      <c r="A125" s="275" t="s">
        <v>5</v>
      </c>
      <c r="B125" s="291">
        <v>5521.6295369999998</v>
      </c>
      <c r="C125" s="291">
        <v>4042.470217</v>
      </c>
      <c r="D125" s="291">
        <v>4620.8345870000003</v>
      </c>
      <c r="E125" s="291">
        <v>3533.6836119999998</v>
      </c>
      <c r="F125" s="291">
        <v>4121.7310239999997</v>
      </c>
      <c r="G125" s="291">
        <v>3598.6868570000001</v>
      </c>
      <c r="H125" s="291">
        <v>3126.1277749999999</v>
      </c>
      <c r="I125" s="291">
        <v>4237.2755390000002</v>
      </c>
      <c r="J125" s="291">
        <v>6329.9096579999996</v>
      </c>
      <c r="K125" s="291">
        <v>6817.1899569999996</v>
      </c>
      <c r="L125" s="291">
        <v>5354.4357819999996</v>
      </c>
      <c r="M125" s="291">
        <v>4623.7704979999999</v>
      </c>
      <c r="N125" s="291">
        <v>6418.6873900000001</v>
      </c>
      <c r="O125" s="291">
        <v>5534.8275679999997</v>
      </c>
      <c r="P125" s="291">
        <v>4570.7149890000001</v>
      </c>
      <c r="Q125" s="291">
        <v>3647.6150029999999</v>
      </c>
      <c r="R125" s="291">
        <v>4385.0069640000002</v>
      </c>
      <c r="S125" s="291">
        <v>4075.1067090000001</v>
      </c>
      <c r="T125" s="291">
        <v>4067.915176</v>
      </c>
      <c r="U125" s="291">
        <v>5014.8021500000004</v>
      </c>
      <c r="V125" s="291">
        <v>6580.0936540000002</v>
      </c>
      <c r="W125" s="291">
        <v>5532.4193480000004</v>
      </c>
      <c r="X125" s="291">
        <v>7324.1710220000004</v>
      </c>
      <c r="Y125" s="291">
        <v>4627.0920470000001</v>
      </c>
      <c r="Z125" s="291">
        <v>6561.4920899999997</v>
      </c>
    </row>
    <row r="126" spans="1:26">
      <c r="A126" s="275" t="s">
        <v>6</v>
      </c>
      <c r="B126" s="291">
        <v>1650.9516610000001</v>
      </c>
      <c r="C126" s="291">
        <v>1628.091469</v>
      </c>
      <c r="D126" s="291">
        <v>2339.523584</v>
      </c>
      <c r="E126" s="291">
        <v>2279.6345940000001</v>
      </c>
      <c r="F126" s="291">
        <v>2566.610514</v>
      </c>
      <c r="G126" s="291">
        <v>2348.276809</v>
      </c>
      <c r="H126" s="291">
        <v>1888.5913860000001</v>
      </c>
      <c r="I126" s="291">
        <v>1739.407966</v>
      </c>
      <c r="J126" s="291">
        <v>1324.1000770000001</v>
      </c>
      <c r="K126" s="291">
        <v>995.50480800000003</v>
      </c>
      <c r="L126" s="291">
        <v>1536.792817</v>
      </c>
      <c r="M126" s="291">
        <v>1656.2738199999999</v>
      </c>
      <c r="N126" s="291">
        <v>1416.5975470000001</v>
      </c>
      <c r="O126" s="291">
        <v>2532.4676020000002</v>
      </c>
      <c r="P126" s="291">
        <v>3320.4046720000001</v>
      </c>
      <c r="Q126" s="291">
        <v>3155.9656839999998</v>
      </c>
      <c r="R126" s="291">
        <v>3313.8396830000002</v>
      </c>
      <c r="S126" s="291">
        <v>3177.795181</v>
      </c>
      <c r="T126" s="291">
        <v>2641.9393719999998</v>
      </c>
      <c r="U126" s="291">
        <v>1955.4619090000001</v>
      </c>
      <c r="V126" s="291">
        <v>1492.966302</v>
      </c>
      <c r="W126" s="291">
        <v>1082.2925849999999</v>
      </c>
      <c r="X126" s="291">
        <v>1676.1546060000001</v>
      </c>
      <c r="Y126" s="291">
        <v>1986.5279760000001</v>
      </c>
      <c r="Z126" s="291">
        <v>3049.4190859999999</v>
      </c>
    </row>
    <row r="127" spans="1:26">
      <c r="A127" s="275" t="s">
        <v>7</v>
      </c>
      <c r="B127" s="291">
        <v>355.01542699999999</v>
      </c>
      <c r="C127" s="291">
        <v>266.78751899999997</v>
      </c>
      <c r="D127" s="291">
        <v>645.59745699999996</v>
      </c>
      <c r="E127" s="291">
        <v>655.361716</v>
      </c>
      <c r="F127" s="291">
        <v>828.49249399999997</v>
      </c>
      <c r="G127" s="291">
        <v>661.44510200000002</v>
      </c>
      <c r="H127" s="291">
        <v>447.44465700000001</v>
      </c>
      <c r="I127" s="291">
        <v>328.18289399999998</v>
      </c>
      <c r="J127" s="291">
        <v>172.42624599999999</v>
      </c>
      <c r="K127" s="291">
        <v>103.956001</v>
      </c>
      <c r="L127" s="291">
        <v>170.978835</v>
      </c>
      <c r="M127" s="291">
        <v>208.19236799999999</v>
      </c>
      <c r="N127" s="291">
        <v>120.56837400000001</v>
      </c>
      <c r="O127" s="291">
        <v>412.77760999999998</v>
      </c>
      <c r="P127" s="291">
        <v>621.24749499999996</v>
      </c>
      <c r="Q127" s="291">
        <v>534.18592699999999</v>
      </c>
      <c r="R127" s="291">
        <v>667.23578299999997</v>
      </c>
      <c r="S127" s="291">
        <v>619.95898999999997</v>
      </c>
      <c r="T127" s="291">
        <v>437.343279</v>
      </c>
      <c r="U127" s="291">
        <v>166.240105</v>
      </c>
      <c r="V127" s="291">
        <v>104.76842600000001</v>
      </c>
      <c r="W127" s="291">
        <v>59.778182999999999</v>
      </c>
      <c r="X127" s="291">
        <v>119.507124</v>
      </c>
      <c r="Y127" s="291">
        <v>178.788802</v>
      </c>
      <c r="Z127" s="291">
        <v>409.577922</v>
      </c>
    </row>
    <row r="128" spans="1:26">
      <c r="A128" s="275" t="s">
        <v>8</v>
      </c>
      <c r="B128" s="291">
        <v>358.52949899999999</v>
      </c>
      <c r="C128" s="291">
        <v>391.44703399999997</v>
      </c>
      <c r="D128" s="291">
        <v>390.09081300000003</v>
      </c>
      <c r="E128" s="291">
        <v>357.18564300000003</v>
      </c>
      <c r="F128" s="291">
        <v>351.88360599999999</v>
      </c>
      <c r="G128" s="291">
        <v>409.93601699999999</v>
      </c>
      <c r="H128" s="291">
        <v>395.796583</v>
      </c>
      <c r="I128" s="291">
        <v>432.04843799999998</v>
      </c>
      <c r="J128" s="291">
        <v>433.36826200000002</v>
      </c>
      <c r="K128" s="291">
        <v>435.36680699999999</v>
      </c>
      <c r="L128" s="291">
        <v>427.51744300000001</v>
      </c>
      <c r="M128" s="291">
        <v>373.91135300000002</v>
      </c>
      <c r="N128" s="291">
        <v>422.68645199999997</v>
      </c>
      <c r="O128" s="291">
        <v>429.59813000000003</v>
      </c>
      <c r="P128" s="291">
        <v>396.44819200000001</v>
      </c>
      <c r="Q128" s="291">
        <v>414.94150100000002</v>
      </c>
      <c r="R128" s="291">
        <v>408.56224500000002</v>
      </c>
      <c r="S128" s="291">
        <v>382.67027999999999</v>
      </c>
      <c r="T128" s="291">
        <v>340.65072099999998</v>
      </c>
      <c r="U128" s="291">
        <v>366.13620400000002</v>
      </c>
      <c r="V128" s="291">
        <v>363.687163</v>
      </c>
      <c r="W128" s="291">
        <v>318.780441</v>
      </c>
      <c r="X128" s="291">
        <v>289.24336799999998</v>
      </c>
      <c r="Y128" s="291">
        <v>355.14206999999999</v>
      </c>
      <c r="Z128" s="291">
        <v>306.82023900000002</v>
      </c>
    </row>
    <row r="129" spans="1:26">
      <c r="A129" s="275" t="s">
        <v>9</v>
      </c>
      <c r="B129" s="291">
        <v>2249.828117</v>
      </c>
      <c r="C129" s="291">
        <v>2190.0643239999999</v>
      </c>
      <c r="D129" s="291">
        <v>2203.7572810000001</v>
      </c>
      <c r="E129" s="291">
        <v>2178.2146309999998</v>
      </c>
      <c r="F129" s="291">
        <v>2239.1406619999998</v>
      </c>
      <c r="G129" s="291">
        <v>2102.3545920000001</v>
      </c>
      <c r="H129" s="291">
        <v>2161.9969190000002</v>
      </c>
      <c r="I129" s="291">
        <v>2143.7332630000001</v>
      </c>
      <c r="J129" s="291">
        <v>2172.339551</v>
      </c>
      <c r="K129" s="291">
        <v>2171.5846200000001</v>
      </c>
      <c r="L129" s="291">
        <v>2144.5206039999998</v>
      </c>
      <c r="M129" s="291">
        <v>2116.0843140000002</v>
      </c>
      <c r="N129" s="291">
        <v>2213.0625329999998</v>
      </c>
      <c r="O129" s="291">
        <v>1707.8027689999999</v>
      </c>
      <c r="P129" s="291">
        <v>1868.697737</v>
      </c>
      <c r="Q129" s="291">
        <v>1465.8471500000001</v>
      </c>
      <c r="R129" s="291">
        <v>1052.5662259999999</v>
      </c>
      <c r="S129" s="291">
        <v>779.35966299999995</v>
      </c>
      <c r="T129" s="291">
        <v>737.15349700000002</v>
      </c>
      <c r="U129" s="291">
        <v>1100.1734710000001</v>
      </c>
      <c r="V129" s="291">
        <v>1450.809587</v>
      </c>
      <c r="W129" s="291">
        <v>1095.547366</v>
      </c>
      <c r="X129" s="291">
        <v>1208.936085</v>
      </c>
      <c r="Y129" s="291">
        <v>1699.2487839999999</v>
      </c>
      <c r="Z129" s="291">
        <v>1694.13301</v>
      </c>
    </row>
    <row r="130" spans="1:26">
      <c r="A130" s="275" t="s">
        <v>69</v>
      </c>
      <c r="B130" s="291">
        <v>61.963368000000003</v>
      </c>
      <c r="C130" s="291">
        <v>66.322567500000005</v>
      </c>
      <c r="D130" s="291">
        <v>53.009402999999999</v>
      </c>
      <c r="E130" s="291">
        <v>65.533088500000005</v>
      </c>
      <c r="F130" s="291">
        <v>70.069195500000006</v>
      </c>
      <c r="G130" s="291">
        <v>67.951940500000006</v>
      </c>
      <c r="H130" s="291">
        <v>55.639892500000002</v>
      </c>
      <c r="I130" s="291">
        <v>61.837724000000001</v>
      </c>
      <c r="J130" s="291">
        <v>65.901263499999999</v>
      </c>
      <c r="K130" s="291">
        <v>72.807829999999996</v>
      </c>
      <c r="L130" s="291">
        <v>68.975128999999995</v>
      </c>
      <c r="M130" s="291">
        <v>66.906879000000004</v>
      </c>
      <c r="N130" s="291">
        <v>71.978253499999994</v>
      </c>
      <c r="O130" s="291">
        <v>64.772149999999996</v>
      </c>
      <c r="P130" s="291">
        <v>67.480593499999998</v>
      </c>
      <c r="Q130" s="291">
        <v>63.217403500000003</v>
      </c>
      <c r="R130" s="291">
        <v>59.032142</v>
      </c>
      <c r="S130" s="291">
        <v>51.306201000000001</v>
      </c>
      <c r="T130" s="291">
        <v>45.615575</v>
      </c>
      <c r="U130" s="291">
        <v>60.185411000000002</v>
      </c>
      <c r="V130" s="291">
        <v>56.959399500000004</v>
      </c>
      <c r="W130" s="291">
        <v>62.369816499999999</v>
      </c>
      <c r="X130" s="291">
        <v>60.303250499999997</v>
      </c>
      <c r="Y130" s="291">
        <v>61.687733999999999</v>
      </c>
      <c r="Z130" s="291">
        <v>62.238713500000003</v>
      </c>
    </row>
    <row r="131" spans="1:26">
      <c r="A131" s="275" t="s">
        <v>70</v>
      </c>
      <c r="B131" s="291">
        <v>173.707269</v>
      </c>
      <c r="C131" s="291">
        <v>170.05904150000001</v>
      </c>
      <c r="D131" s="291">
        <v>170.74740800000001</v>
      </c>
      <c r="E131" s="291">
        <v>184.30269150000001</v>
      </c>
      <c r="F131" s="291">
        <v>193.16825549999999</v>
      </c>
      <c r="G131" s="291">
        <v>198.4023795</v>
      </c>
      <c r="H131" s="291">
        <v>167.38102850000001</v>
      </c>
      <c r="I131" s="291">
        <v>180.57972799999999</v>
      </c>
      <c r="J131" s="291">
        <v>164.91225249999999</v>
      </c>
      <c r="K131" s="291">
        <v>171.82050699999999</v>
      </c>
      <c r="L131" s="291">
        <v>159.55676600000001</v>
      </c>
      <c r="M131" s="291">
        <v>138.52277699999999</v>
      </c>
      <c r="N131" s="291">
        <v>173.90460849999999</v>
      </c>
      <c r="O131" s="291">
        <v>163.84968900000001</v>
      </c>
      <c r="P131" s="291">
        <v>158.10162349999999</v>
      </c>
      <c r="Q131" s="291">
        <v>142.17442550000001</v>
      </c>
      <c r="R131" s="291">
        <v>164.320076</v>
      </c>
      <c r="S131" s="291">
        <v>150.58758700000001</v>
      </c>
      <c r="T131" s="291">
        <v>125.723592</v>
      </c>
      <c r="U131" s="291">
        <v>143.37030100000001</v>
      </c>
      <c r="V131" s="291">
        <v>116.98180050000001</v>
      </c>
      <c r="W131" s="291">
        <v>123.7646755</v>
      </c>
      <c r="X131" s="291">
        <v>95.565625499999996</v>
      </c>
      <c r="Y131" s="291">
        <v>101.400882</v>
      </c>
      <c r="Z131" s="291">
        <v>110.4263425</v>
      </c>
    </row>
    <row r="132" spans="1:26">
      <c r="A132" s="276" t="s">
        <v>10</v>
      </c>
      <c r="B132" s="292">
        <v>21142.825673621999</v>
      </c>
      <c r="C132" s="292">
        <v>18986.558141104</v>
      </c>
      <c r="D132" s="292">
        <v>19532.546260023999</v>
      </c>
      <c r="E132" s="292">
        <v>18799.248262016001</v>
      </c>
      <c r="F132" s="292">
        <v>21142.034664809999</v>
      </c>
      <c r="G132" s="292">
        <v>20226.126083436</v>
      </c>
      <c r="H132" s="292">
        <v>19422.921244196001</v>
      </c>
      <c r="I132" s="292">
        <v>19461.002271361998</v>
      </c>
      <c r="J132" s="292">
        <v>21902.175462414001</v>
      </c>
      <c r="K132" s="292">
        <v>22718.683119344001</v>
      </c>
      <c r="L132" s="292">
        <v>23120.969647104001</v>
      </c>
      <c r="M132" s="292">
        <v>20071.022900127999</v>
      </c>
      <c r="N132" s="292">
        <v>21602.108884460002</v>
      </c>
      <c r="O132" s="292">
        <v>20644.977600888</v>
      </c>
      <c r="P132" s="292">
        <v>20912.145954637999</v>
      </c>
      <c r="Q132" s="292">
        <v>21976.878416914002</v>
      </c>
      <c r="R132" s="292">
        <v>24983.583112855998</v>
      </c>
      <c r="S132" s="292">
        <v>23841.074950630002</v>
      </c>
      <c r="T132" s="292">
        <v>22377.204372346001</v>
      </c>
      <c r="U132" s="292">
        <v>20776.617151261999</v>
      </c>
      <c r="V132" s="292">
        <v>20518.752359623999</v>
      </c>
      <c r="W132" s="292">
        <v>21130.088870192001</v>
      </c>
      <c r="X132" s="292">
        <v>22746.200875168</v>
      </c>
      <c r="Y132" s="292">
        <v>20566.689692568001</v>
      </c>
      <c r="Z132" s="292">
        <v>22897.645527137</v>
      </c>
    </row>
    <row r="133" spans="1:26">
      <c r="A133" s="275" t="s">
        <v>121</v>
      </c>
      <c r="B133" s="291">
        <v>-463.99294998200003</v>
      </c>
      <c r="C133" s="291">
        <v>-216.71217380799999</v>
      </c>
      <c r="D133" s="291">
        <v>-393.88363104799998</v>
      </c>
      <c r="E133" s="291">
        <v>-149.05853828799999</v>
      </c>
      <c r="F133" s="291">
        <v>-180.98088285599999</v>
      </c>
      <c r="G133" s="291">
        <v>-186.46470909600001</v>
      </c>
      <c r="H133" s="291">
        <v>-161.085056917</v>
      </c>
      <c r="I133" s="291">
        <v>-369.96782691999999</v>
      </c>
      <c r="J133" s="291">
        <v>-273.26012600000001</v>
      </c>
      <c r="K133" s="291">
        <v>-521.83503581499997</v>
      </c>
      <c r="L133" s="291">
        <v>-393.06149596799997</v>
      </c>
      <c r="M133" s="291">
        <v>-484.65830898399997</v>
      </c>
      <c r="N133" s="291">
        <v>-411.09667571</v>
      </c>
      <c r="O133" s="291">
        <v>-596.643821</v>
      </c>
      <c r="P133" s="291">
        <v>-443.33951908799997</v>
      </c>
      <c r="Q133" s="291">
        <v>-467.338800967</v>
      </c>
      <c r="R133" s="291">
        <v>-366.31296477699999</v>
      </c>
      <c r="S133" s="291">
        <v>-478.11023873599999</v>
      </c>
      <c r="T133" s="291">
        <v>-477.637458896</v>
      </c>
      <c r="U133" s="291">
        <v>-561.091117704</v>
      </c>
      <c r="V133" s="291">
        <v>-586.96255799999994</v>
      </c>
      <c r="W133" s="291">
        <v>-826.19281000000001</v>
      </c>
      <c r="X133" s="291">
        <v>-948.64611309600002</v>
      </c>
      <c r="Y133" s="291">
        <v>-399.19064197199998</v>
      </c>
      <c r="Z133" s="291">
        <v>-930.18213100000003</v>
      </c>
    </row>
    <row r="134" spans="1:26">
      <c r="A134" s="275" t="s">
        <v>97</v>
      </c>
      <c r="B134" s="291">
        <v>-127.985573</v>
      </c>
      <c r="C134" s="291">
        <v>-111.02179700000001</v>
      </c>
      <c r="D134" s="291">
        <v>-111.601713</v>
      </c>
      <c r="E134" s="291">
        <v>-65.429468</v>
      </c>
      <c r="F134" s="291">
        <v>-45.879221000000001</v>
      </c>
      <c r="G134" s="291">
        <v>-40.107311000000003</v>
      </c>
      <c r="H134" s="291">
        <v>-37.549396999999999</v>
      </c>
      <c r="I134" s="291">
        <v>-38.285525</v>
      </c>
      <c r="J134" s="291">
        <v>-28.435708999999999</v>
      </c>
      <c r="K134" s="291">
        <v>-32.270831999999999</v>
      </c>
      <c r="L134" s="291">
        <v>-31.159338999999999</v>
      </c>
      <c r="M134" s="291">
        <v>-27.502502</v>
      </c>
      <c r="N134" s="291">
        <v>-30.689281000000001</v>
      </c>
      <c r="O134" s="291">
        <v>-33.641058999999998</v>
      </c>
      <c r="P134" s="291">
        <v>-32.047055999999998</v>
      </c>
      <c r="Q134" s="291">
        <v>-35.225064000000003</v>
      </c>
      <c r="R134" s="291">
        <v>-67.033137999999994</v>
      </c>
      <c r="S134" s="291">
        <v>-77.653036</v>
      </c>
      <c r="T134" s="291">
        <v>-70.647335999999996</v>
      </c>
      <c r="U134" s="291">
        <v>-61.365385000000003</v>
      </c>
      <c r="V134" s="291">
        <v>-55.991686000000001</v>
      </c>
      <c r="W134" s="291">
        <v>-79.778822000000005</v>
      </c>
      <c r="X134" s="291">
        <v>-123.950131</v>
      </c>
      <c r="Y134" s="291">
        <v>-89.734262000000001</v>
      </c>
      <c r="Z134" s="291">
        <v>-82.194308000000007</v>
      </c>
    </row>
    <row r="135" spans="1:26">
      <c r="A135" s="275" t="s">
        <v>122</v>
      </c>
      <c r="B135" s="291">
        <v>189.854399</v>
      </c>
      <c r="C135" s="291">
        <v>256.56955599999998</v>
      </c>
      <c r="D135" s="291">
        <v>269.05148300000002</v>
      </c>
      <c r="E135" s="291">
        <v>1013.62307</v>
      </c>
      <c r="F135" s="291">
        <v>666.46806900000001</v>
      </c>
      <c r="G135" s="291">
        <v>661.02223300000003</v>
      </c>
      <c r="H135" s="291">
        <v>445.17290400000002</v>
      </c>
      <c r="I135" s="291">
        <v>-67.196089999999998</v>
      </c>
      <c r="J135" s="291">
        <v>-1310.9456029999999</v>
      </c>
      <c r="K135" s="291">
        <v>-1323.501209</v>
      </c>
      <c r="L135" s="291">
        <v>-1179.9777730000001</v>
      </c>
      <c r="M135" s="291">
        <v>-467.91134399999999</v>
      </c>
      <c r="N135" s="291">
        <v>-880.29803000000004</v>
      </c>
      <c r="O135" s="291">
        <v>-1586.917138</v>
      </c>
      <c r="P135" s="291">
        <v>-1313.838207</v>
      </c>
      <c r="Q135" s="291">
        <v>-1458.729505</v>
      </c>
      <c r="R135" s="291">
        <v>-2422.6880030000002</v>
      </c>
      <c r="S135" s="291">
        <v>-2798.10347</v>
      </c>
      <c r="T135" s="291">
        <v>-2876.6627090000002</v>
      </c>
      <c r="U135" s="291">
        <v>-2065.4861510000001</v>
      </c>
      <c r="V135" s="291">
        <v>-1633.8960930000001</v>
      </c>
      <c r="W135" s="291">
        <v>-1117.2289450000001</v>
      </c>
      <c r="X135" s="291">
        <v>-922.71322199999997</v>
      </c>
      <c r="Y135" s="291">
        <v>-922.84288700000002</v>
      </c>
      <c r="Z135" s="291">
        <v>-2606.845859</v>
      </c>
    </row>
    <row r="136" spans="1:26">
      <c r="A136" s="276" t="s">
        <v>123</v>
      </c>
      <c r="B136" s="292">
        <v>20740.701549640002</v>
      </c>
      <c r="C136" s="292">
        <v>18915.393726295999</v>
      </c>
      <c r="D136" s="292">
        <v>19296.112398976002</v>
      </c>
      <c r="E136" s="292">
        <v>19598.383325727998</v>
      </c>
      <c r="F136" s="292">
        <v>21581.642629954</v>
      </c>
      <c r="G136" s="292">
        <v>20660.576296340001</v>
      </c>
      <c r="H136" s="292">
        <v>19669.459694279001</v>
      </c>
      <c r="I136" s="292">
        <v>18985.552829442</v>
      </c>
      <c r="J136" s="292">
        <v>20289.534024413999</v>
      </c>
      <c r="K136" s="292">
        <v>20841.076042528999</v>
      </c>
      <c r="L136" s="292">
        <v>21516.771039136001</v>
      </c>
      <c r="M136" s="292">
        <v>19090.950745144</v>
      </c>
      <c r="N136" s="292">
        <v>20280.024897750001</v>
      </c>
      <c r="O136" s="292">
        <v>18427.775582888</v>
      </c>
      <c r="P136" s="292">
        <v>19122.921172549999</v>
      </c>
      <c r="Q136" s="292">
        <v>20015.585046946999</v>
      </c>
      <c r="R136" s="292">
        <v>22127.549007079</v>
      </c>
      <c r="S136" s="292">
        <v>20487.208205894</v>
      </c>
      <c r="T136" s="292">
        <v>18952.25686845</v>
      </c>
      <c r="U136" s="292">
        <v>18088.674497558</v>
      </c>
      <c r="V136" s="292">
        <v>18241.902022623999</v>
      </c>
      <c r="W136" s="292">
        <v>19106.888293192002</v>
      </c>
      <c r="X136" s="292">
        <v>20750.891409071999</v>
      </c>
      <c r="Y136" s="292">
        <v>19154.921901596001</v>
      </c>
      <c r="Z136" s="292">
        <v>19278.423229136999</v>
      </c>
    </row>
    <row r="137" spans="1:26">
      <c r="A137" s="275" t="s">
        <v>221</v>
      </c>
      <c r="B137" s="291">
        <v>0</v>
      </c>
      <c r="C137" s="291">
        <v>0</v>
      </c>
      <c r="D137" s="291">
        <v>0</v>
      </c>
      <c r="E137" s="291">
        <v>0</v>
      </c>
      <c r="F137" s="291">
        <v>0</v>
      </c>
      <c r="G137" s="291">
        <v>0</v>
      </c>
      <c r="H137" s="291">
        <v>0</v>
      </c>
      <c r="I137" s="291">
        <v>0</v>
      </c>
      <c r="J137" s="291">
        <v>0</v>
      </c>
      <c r="K137" s="291">
        <v>0</v>
      </c>
      <c r="L137" s="291">
        <v>0</v>
      </c>
      <c r="M137" s="291">
        <v>0</v>
      </c>
      <c r="N137" s="291">
        <v>0</v>
      </c>
      <c r="O137" s="291">
        <v>0</v>
      </c>
      <c r="P137" s="291">
        <v>0</v>
      </c>
      <c r="Q137" s="291">
        <v>0</v>
      </c>
      <c r="R137" s="291">
        <v>0</v>
      </c>
      <c r="S137" s="291">
        <v>0</v>
      </c>
      <c r="T137" s="291">
        <v>0</v>
      </c>
      <c r="U137" s="291">
        <v>0</v>
      </c>
      <c r="V137" s="291">
        <v>0</v>
      </c>
      <c r="W137" s="291">
        <v>0.30572899999999997</v>
      </c>
      <c r="X137" s="291">
        <v>1.224415</v>
      </c>
      <c r="Y137" s="291">
        <v>1.7850870000000001</v>
      </c>
      <c r="Z137" s="291">
        <v>2.563577</v>
      </c>
    </row>
    <row r="140" spans="1:26" s="176" customFormat="1" ht="12">
      <c r="A140" s="182" t="s">
        <v>30</v>
      </c>
      <c r="B140" s="182" t="str">
        <f t="shared" ref="B140:N140" si="7">MID(UPPER(TEXT(B141,"mmm")),1,1)</f>
        <v>M</v>
      </c>
      <c r="C140" s="182" t="str">
        <f t="shared" si="7"/>
        <v>A</v>
      </c>
      <c r="D140" s="182" t="str">
        <f t="shared" si="7"/>
        <v>M</v>
      </c>
      <c r="E140" s="182" t="str">
        <f t="shared" si="7"/>
        <v>J</v>
      </c>
      <c r="F140" s="182" t="str">
        <f t="shared" si="7"/>
        <v>J</v>
      </c>
      <c r="G140" s="182" t="str">
        <f t="shared" si="7"/>
        <v>A</v>
      </c>
      <c r="H140" s="182" t="str">
        <f t="shared" si="7"/>
        <v>S</v>
      </c>
      <c r="I140" s="182" t="str">
        <f t="shared" si="7"/>
        <v>O</v>
      </c>
      <c r="J140" s="182" t="str">
        <f t="shared" si="7"/>
        <v>N</v>
      </c>
      <c r="K140" s="182" t="str">
        <f t="shared" si="7"/>
        <v>D</v>
      </c>
      <c r="L140" s="182" t="str">
        <f t="shared" si="7"/>
        <v>E</v>
      </c>
      <c r="M140" s="182" t="str">
        <f t="shared" si="7"/>
        <v>F</v>
      </c>
      <c r="N140" s="182" t="str">
        <f t="shared" si="7"/>
        <v>M</v>
      </c>
    </row>
    <row r="141" spans="1:26" s="176" customFormat="1" ht="12">
      <c r="A141" s="182" t="s">
        <v>111</v>
      </c>
      <c r="B141" s="182" t="str">
        <f>TEXT(EDATE(C141,-1),"mmmm aaaa")</f>
        <v>marzo 2022</v>
      </c>
      <c r="C141" s="182" t="str">
        <f t="shared" ref="C141:M141" si="8">TEXT(EDATE(D141,-1),"mmmm aaaa")</f>
        <v>abril 2022</v>
      </c>
      <c r="D141" s="182" t="str">
        <f t="shared" si="8"/>
        <v>mayo 2022</v>
      </c>
      <c r="E141" s="182" t="str">
        <f t="shared" si="8"/>
        <v>junio 2022</v>
      </c>
      <c r="F141" s="182" t="str">
        <f t="shared" si="8"/>
        <v>julio 2022</v>
      </c>
      <c r="G141" s="182" t="str">
        <f t="shared" si="8"/>
        <v>agosto 2022</v>
      </c>
      <c r="H141" s="182" t="str">
        <f t="shared" si="8"/>
        <v>septiembre 2022</v>
      </c>
      <c r="I141" s="182" t="str">
        <f t="shared" si="8"/>
        <v>octubre 2022</v>
      </c>
      <c r="J141" s="182" t="str">
        <f t="shared" si="8"/>
        <v>noviembre 2022</v>
      </c>
      <c r="K141" s="182" t="str">
        <f t="shared" si="8"/>
        <v>diciembre 2022</v>
      </c>
      <c r="L141" s="182" t="str">
        <f t="shared" si="8"/>
        <v>enero 2023</v>
      </c>
      <c r="M141" s="182" t="str">
        <f t="shared" si="8"/>
        <v>febrero 2023</v>
      </c>
      <c r="N141" s="182" t="str">
        <f>A2</f>
        <v>Marzo 2023</v>
      </c>
    </row>
    <row r="142" spans="1:26" s="179" customFormat="1" ht="12">
      <c r="A142" s="177" t="s">
        <v>2</v>
      </c>
      <c r="B142" s="178">
        <f t="shared" ref="B142:N142" si="9">HLOOKUP(B$141,$117:$133,3,FALSE)</f>
        <v>1764.5097587759999</v>
      </c>
      <c r="C142" s="178">
        <f t="shared" si="9"/>
        <v>1781.779774696</v>
      </c>
      <c r="D142" s="178">
        <f t="shared" si="9"/>
        <v>1922.003550334</v>
      </c>
      <c r="E142" s="178">
        <f t="shared" si="9"/>
        <v>1190.7040866760001</v>
      </c>
      <c r="F142" s="178">
        <f t="shared" si="9"/>
        <v>1043.2246898359999</v>
      </c>
      <c r="G142" s="178">
        <f t="shared" si="9"/>
        <v>972.684938214</v>
      </c>
      <c r="H142" s="178">
        <f t="shared" si="9"/>
        <v>1153.486740052</v>
      </c>
      <c r="I142" s="178">
        <f t="shared" si="9"/>
        <v>717.40876467500004</v>
      </c>
      <c r="J142" s="178">
        <f t="shared" si="9"/>
        <v>1309.0039419320001</v>
      </c>
      <c r="K142" s="178">
        <f t="shared" si="9"/>
        <v>2744.519164804</v>
      </c>
      <c r="L142" s="178">
        <f t="shared" si="9"/>
        <v>3853.1091040460001</v>
      </c>
      <c r="M142" s="178">
        <f t="shared" si="9"/>
        <v>2451.4677244879999</v>
      </c>
      <c r="N142" s="178">
        <f t="shared" si="9"/>
        <v>2039.877995889</v>
      </c>
    </row>
    <row r="143" spans="1:26" s="179" customFormat="1" ht="12">
      <c r="A143" s="177" t="s">
        <v>81</v>
      </c>
      <c r="B143" s="178">
        <f t="shared" ref="B143:N143" si="10">HLOOKUP(B$141,$117:$133,4,FALSE)</f>
        <v>273.84815268400001</v>
      </c>
      <c r="C143" s="178">
        <f t="shared" si="10"/>
        <v>336.71262419200002</v>
      </c>
      <c r="D143" s="178">
        <f t="shared" si="10"/>
        <v>299.88005130400001</v>
      </c>
      <c r="E143" s="178">
        <f t="shared" si="10"/>
        <v>270.92395723800001</v>
      </c>
      <c r="F143" s="178">
        <f t="shared" si="10"/>
        <v>216.61761902000001</v>
      </c>
      <c r="G143" s="178">
        <f t="shared" si="10"/>
        <v>339.37215041600001</v>
      </c>
      <c r="H143" s="178">
        <f t="shared" si="10"/>
        <v>304.810324294</v>
      </c>
      <c r="I143" s="178">
        <f t="shared" si="10"/>
        <v>385.66142858699999</v>
      </c>
      <c r="J143" s="178">
        <f t="shared" si="10"/>
        <v>361.663865692</v>
      </c>
      <c r="K143" s="178">
        <f t="shared" si="10"/>
        <v>485.35906038799999</v>
      </c>
      <c r="L143" s="178">
        <f t="shared" si="10"/>
        <v>542.79743612200002</v>
      </c>
      <c r="M143" s="178">
        <f t="shared" si="10"/>
        <v>260.87120307999999</v>
      </c>
      <c r="N143" s="178">
        <f t="shared" si="10"/>
        <v>540.07979424799998</v>
      </c>
    </row>
    <row r="144" spans="1:26" s="179" customFormat="1" ht="12">
      <c r="A144" s="177" t="s">
        <v>3</v>
      </c>
      <c r="B144" s="178">
        <f t="shared" ref="B144:N144" si="11">HLOOKUP(B$141,$117:$133,5,FALSE)</f>
        <v>4766.6900519999999</v>
      </c>
      <c r="C144" s="178">
        <f t="shared" si="11"/>
        <v>4414.7154469999996</v>
      </c>
      <c r="D144" s="178">
        <f t="shared" si="11"/>
        <v>4066.3553609999999</v>
      </c>
      <c r="E144" s="178">
        <f t="shared" si="11"/>
        <v>4459.4591659999996</v>
      </c>
      <c r="F144" s="178">
        <f t="shared" si="11"/>
        <v>5073.1524980000004</v>
      </c>
      <c r="G144" s="178">
        <f t="shared" si="11"/>
        <v>5122.0469300000004</v>
      </c>
      <c r="H144" s="178">
        <f t="shared" si="11"/>
        <v>4847.367123</v>
      </c>
      <c r="I144" s="178">
        <f t="shared" si="11"/>
        <v>4021.440771</v>
      </c>
      <c r="J144" s="178">
        <f t="shared" si="11"/>
        <v>4231.5772440000001</v>
      </c>
      <c r="K144" s="178">
        <f t="shared" si="11"/>
        <v>5161.2124510000003</v>
      </c>
      <c r="L144" s="178">
        <f t="shared" si="11"/>
        <v>5086.7635890000001</v>
      </c>
      <c r="M144" s="178">
        <f t="shared" si="11"/>
        <v>4597.9597160000003</v>
      </c>
      <c r="N144" s="178">
        <f t="shared" si="11"/>
        <v>5102.2896650000002</v>
      </c>
    </row>
    <row r="145" spans="1:15" s="179" customFormat="1" ht="12">
      <c r="A145" s="177" t="s">
        <v>4</v>
      </c>
      <c r="B145" s="178">
        <f t="shared" ref="B145:N145" si="12">HLOOKUP(B$141,$117:$133,6,FALSE)</f>
        <v>705.89499799999999</v>
      </c>
      <c r="C145" s="178">
        <f t="shared" si="12"/>
        <v>691.61008400000003</v>
      </c>
      <c r="D145" s="178">
        <f t="shared" si="12"/>
        <v>528.18479500000001</v>
      </c>
      <c r="E145" s="178">
        <f t="shared" si="12"/>
        <v>804.07860300000004</v>
      </c>
      <c r="F145" s="178">
        <f t="shared" si="12"/>
        <v>832.04332899999997</v>
      </c>
      <c r="G145" s="178">
        <f t="shared" si="12"/>
        <v>814.32721900000001</v>
      </c>
      <c r="H145" s="178">
        <f t="shared" si="12"/>
        <v>632.670525</v>
      </c>
      <c r="I145" s="178">
        <f t="shared" si="12"/>
        <v>381.58525800000001</v>
      </c>
      <c r="J145" s="178">
        <f t="shared" si="12"/>
        <v>322.05787199999997</v>
      </c>
      <c r="K145" s="178">
        <f t="shared" si="12"/>
        <v>694.29977599999995</v>
      </c>
      <c r="L145" s="178">
        <f t="shared" si="12"/>
        <v>296.93498</v>
      </c>
      <c r="M145" s="178">
        <f t="shared" si="12"/>
        <v>418.656857</v>
      </c>
      <c r="N145" s="178">
        <f t="shared" si="12"/>
        <v>424.61757399999999</v>
      </c>
    </row>
    <row r="146" spans="1:15" s="179" customFormat="1" ht="12">
      <c r="A146" s="177" t="s">
        <v>11</v>
      </c>
      <c r="B146" s="178">
        <f t="shared" ref="B146:N146" si="13">HLOOKUP(B$141,$117:$133,8,FALSE)</f>
        <v>3253.6807650000001</v>
      </c>
      <c r="C146" s="178">
        <f t="shared" si="13"/>
        <v>2574.0641529999998</v>
      </c>
      <c r="D146" s="178">
        <f t="shared" si="13"/>
        <v>3092.6268949999999</v>
      </c>
      <c r="E146" s="178">
        <f t="shared" si="13"/>
        <v>5827.7655100000002</v>
      </c>
      <c r="F146" s="178">
        <f t="shared" si="13"/>
        <v>7767.9818580000001</v>
      </c>
      <c r="G146" s="178">
        <f t="shared" si="13"/>
        <v>7355.8591020000003</v>
      </c>
      <c r="H146" s="178">
        <f t="shared" si="13"/>
        <v>7042.528448</v>
      </c>
      <c r="I146" s="178">
        <f t="shared" si="13"/>
        <v>6464.1513779999996</v>
      </c>
      <c r="J146" s="178">
        <f t="shared" si="13"/>
        <v>4128.1831039999997</v>
      </c>
      <c r="K146" s="178">
        <f t="shared" si="13"/>
        <v>3769.7460030000002</v>
      </c>
      <c r="L146" s="178">
        <f t="shared" si="13"/>
        <v>2192.7146849999999</v>
      </c>
      <c r="M146" s="178">
        <f t="shared" si="13"/>
        <v>3827.8458970000002</v>
      </c>
      <c r="N146" s="178">
        <f t="shared" si="13"/>
        <v>2596.673096</v>
      </c>
    </row>
    <row r="147" spans="1:15" s="179" customFormat="1" ht="12">
      <c r="A147" s="177" t="s">
        <v>5</v>
      </c>
      <c r="B147" s="178">
        <f t="shared" ref="B147:N147" si="14">HLOOKUP(B$141,$117:$133,9,FALSE)</f>
        <v>6418.6873900000001</v>
      </c>
      <c r="C147" s="178">
        <f t="shared" si="14"/>
        <v>5534.8275679999997</v>
      </c>
      <c r="D147" s="178">
        <f t="shared" si="14"/>
        <v>4570.7149890000001</v>
      </c>
      <c r="E147" s="178">
        <f t="shared" si="14"/>
        <v>3647.6150029999999</v>
      </c>
      <c r="F147" s="178">
        <f t="shared" si="14"/>
        <v>4385.0069640000002</v>
      </c>
      <c r="G147" s="178">
        <f t="shared" si="14"/>
        <v>4075.1067090000001</v>
      </c>
      <c r="H147" s="178">
        <f t="shared" si="14"/>
        <v>4067.915176</v>
      </c>
      <c r="I147" s="178">
        <f t="shared" si="14"/>
        <v>5014.8021500000004</v>
      </c>
      <c r="J147" s="178">
        <f t="shared" si="14"/>
        <v>6580.0936540000002</v>
      </c>
      <c r="K147" s="178">
        <f t="shared" si="14"/>
        <v>5532.4193480000004</v>
      </c>
      <c r="L147" s="178">
        <f t="shared" si="14"/>
        <v>7324.1710220000004</v>
      </c>
      <c r="M147" s="178">
        <f t="shared" si="14"/>
        <v>4627.0920470000001</v>
      </c>
      <c r="N147" s="178">
        <f t="shared" si="14"/>
        <v>6561.4920899999997</v>
      </c>
    </row>
    <row r="148" spans="1:15" s="179" customFormat="1" ht="12">
      <c r="A148" s="177" t="s">
        <v>6</v>
      </c>
      <c r="B148" s="178">
        <f t="shared" ref="B148:N148" si="15">HLOOKUP(B$141,$117:$133,10,FALSE)</f>
        <v>1416.5975470000001</v>
      </c>
      <c r="C148" s="178">
        <f t="shared" si="15"/>
        <v>2532.4676020000002</v>
      </c>
      <c r="D148" s="178">
        <f t="shared" si="15"/>
        <v>3320.4046720000001</v>
      </c>
      <c r="E148" s="178">
        <f t="shared" si="15"/>
        <v>3155.9656839999998</v>
      </c>
      <c r="F148" s="178">
        <f t="shared" si="15"/>
        <v>3313.8396830000002</v>
      </c>
      <c r="G148" s="178">
        <f t="shared" si="15"/>
        <v>3177.795181</v>
      </c>
      <c r="H148" s="178">
        <f t="shared" si="15"/>
        <v>2641.9393719999998</v>
      </c>
      <c r="I148" s="178">
        <f t="shared" si="15"/>
        <v>1955.4619090000001</v>
      </c>
      <c r="J148" s="178">
        <f t="shared" si="15"/>
        <v>1492.966302</v>
      </c>
      <c r="K148" s="178">
        <f t="shared" si="15"/>
        <v>1082.2925849999999</v>
      </c>
      <c r="L148" s="178">
        <f t="shared" si="15"/>
        <v>1676.1546060000001</v>
      </c>
      <c r="M148" s="178">
        <f t="shared" si="15"/>
        <v>1986.5279760000001</v>
      </c>
      <c r="N148" s="178">
        <f t="shared" si="15"/>
        <v>3049.4190859999999</v>
      </c>
    </row>
    <row r="149" spans="1:15" s="179" customFormat="1" ht="12">
      <c r="A149" s="177" t="s">
        <v>7</v>
      </c>
      <c r="B149" s="178">
        <f t="shared" ref="B149:N149" si="16">HLOOKUP(B$141,$117:$133,11,FALSE)</f>
        <v>120.56837400000001</v>
      </c>
      <c r="C149" s="178">
        <f t="shared" si="16"/>
        <v>412.77760999999998</v>
      </c>
      <c r="D149" s="178">
        <f t="shared" si="16"/>
        <v>621.24749499999996</v>
      </c>
      <c r="E149" s="178">
        <f t="shared" si="16"/>
        <v>534.18592699999999</v>
      </c>
      <c r="F149" s="178">
        <f t="shared" si="16"/>
        <v>667.23578299999997</v>
      </c>
      <c r="G149" s="178">
        <f t="shared" si="16"/>
        <v>619.95898999999997</v>
      </c>
      <c r="H149" s="178">
        <f t="shared" si="16"/>
        <v>437.343279</v>
      </c>
      <c r="I149" s="178">
        <f t="shared" si="16"/>
        <v>166.240105</v>
      </c>
      <c r="J149" s="178">
        <f t="shared" si="16"/>
        <v>104.76842600000001</v>
      </c>
      <c r="K149" s="178">
        <f t="shared" si="16"/>
        <v>59.778182999999999</v>
      </c>
      <c r="L149" s="178">
        <f t="shared" si="16"/>
        <v>119.507124</v>
      </c>
      <c r="M149" s="178">
        <f t="shared" si="16"/>
        <v>178.788802</v>
      </c>
      <c r="N149" s="178">
        <f t="shared" si="16"/>
        <v>409.577922</v>
      </c>
    </row>
    <row r="150" spans="1:15" s="179" customFormat="1" ht="12">
      <c r="A150" s="177" t="s">
        <v>8</v>
      </c>
      <c r="B150" s="178">
        <f t="shared" ref="B150:N150" si="17">HLOOKUP(B$141,$117:$133,12,FALSE)</f>
        <v>422.68645199999997</v>
      </c>
      <c r="C150" s="178">
        <f t="shared" si="17"/>
        <v>429.59813000000003</v>
      </c>
      <c r="D150" s="178">
        <f t="shared" si="17"/>
        <v>396.44819200000001</v>
      </c>
      <c r="E150" s="178">
        <f t="shared" si="17"/>
        <v>414.94150100000002</v>
      </c>
      <c r="F150" s="178">
        <f t="shared" si="17"/>
        <v>408.56224500000002</v>
      </c>
      <c r="G150" s="178">
        <f t="shared" si="17"/>
        <v>382.67027999999999</v>
      </c>
      <c r="H150" s="178">
        <f t="shared" si="17"/>
        <v>340.65072099999998</v>
      </c>
      <c r="I150" s="178">
        <f t="shared" si="17"/>
        <v>366.13620400000002</v>
      </c>
      <c r="J150" s="178">
        <f t="shared" si="17"/>
        <v>363.687163</v>
      </c>
      <c r="K150" s="178">
        <f t="shared" si="17"/>
        <v>318.780441</v>
      </c>
      <c r="L150" s="178">
        <f t="shared" si="17"/>
        <v>289.24336799999998</v>
      </c>
      <c r="M150" s="178">
        <f t="shared" si="17"/>
        <v>355.14206999999999</v>
      </c>
      <c r="N150" s="178">
        <f t="shared" si="17"/>
        <v>306.82023900000002</v>
      </c>
    </row>
    <row r="151" spans="1:15" s="179" customFormat="1" ht="12">
      <c r="A151" s="177" t="s">
        <v>9</v>
      </c>
      <c r="B151" s="178">
        <f t="shared" ref="B151:N151" si="18">HLOOKUP(B$141,$117:$133,13,FALSE)</f>
        <v>2213.0625329999998</v>
      </c>
      <c r="C151" s="178">
        <f t="shared" si="18"/>
        <v>1707.8027689999999</v>
      </c>
      <c r="D151" s="178">
        <f t="shared" si="18"/>
        <v>1868.697737</v>
      </c>
      <c r="E151" s="178">
        <f t="shared" si="18"/>
        <v>1465.8471500000001</v>
      </c>
      <c r="F151" s="178">
        <f t="shared" si="18"/>
        <v>1052.5662259999999</v>
      </c>
      <c r="G151" s="178">
        <f t="shared" si="18"/>
        <v>779.35966299999995</v>
      </c>
      <c r="H151" s="178">
        <f t="shared" si="18"/>
        <v>737.15349700000002</v>
      </c>
      <c r="I151" s="178">
        <f t="shared" si="18"/>
        <v>1100.1734710000001</v>
      </c>
      <c r="J151" s="178">
        <f t="shared" si="18"/>
        <v>1450.809587</v>
      </c>
      <c r="K151" s="178">
        <f t="shared" si="18"/>
        <v>1095.547366</v>
      </c>
      <c r="L151" s="178">
        <f t="shared" si="18"/>
        <v>1208.936085</v>
      </c>
      <c r="M151" s="178">
        <f t="shared" si="18"/>
        <v>1699.2487839999999</v>
      </c>
      <c r="N151" s="178">
        <f t="shared" si="18"/>
        <v>1694.13301</v>
      </c>
    </row>
    <row r="152" spans="1:15" s="179" customFormat="1" ht="12">
      <c r="A152" s="177" t="s">
        <v>70</v>
      </c>
      <c r="B152" s="178">
        <f t="shared" ref="B152:N152" si="19">HLOOKUP(B$141,$117:$133,15,FALSE)</f>
        <v>173.90460849999999</v>
      </c>
      <c r="C152" s="178">
        <f t="shared" si="19"/>
        <v>163.84968900000001</v>
      </c>
      <c r="D152" s="178">
        <f t="shared" si="19"/>
        <v>158.10162349999999</v>
      </c>
      <c r="E152" s="178">
        <f t="shared" si="19"/>
        <v>142.17442550000001</v>
      </c>
      <c r="F152" s="178">
        <f t="shared" si="19"/>
        <v>164.320076</v>
      </c>
      <c r="G152" s="178">
        <f t="shared" si="19"/>
        <v>150.58758700000001</v>
      </c>
      <c r="H152" s="178">
        <f t="shared" si="19"/>
        <v>125.723592</v>
      </c>
      <c r="I152" s="178">
        <f t="shared" si="19"/>
        <v>143.37030100000001</v>
      </c>
      <c r="J152" s="178">
        <f t="shared" si="19"/>
        <v>116.98180050000001</v>
      </c>
      <c r="K152" s="178">
        <f t="shared" si="19"/>
        <v>123.7646755</v>
      </c>
      <c r="L152" s="178">
        <f t="shared" si="19"/>
        <v>95.565625499999996</v>
      </c>
      <c r="M152" s="178">
        <f t="shared" si="19"/>
        <v>101.400882</v>
      </c>
      <c r="N152" s="178">
        <f t="shared" si="19"/>
        <v>110.4263425</v>
      </c>
    </row>
    <row r="153" spans="1:15" s="179" customFormat="1" ht="12">
      <c r="A153" s="177" t="s">
        <v>69</v>
      </c>
      <c r="B153" s="178">
        <f t="shared" ref="B153:N153" si="20">HLOOKUP(B$141,$117:$133,14,FALSE)</f>
        <v>71.978253499999994</v>
      </c>
      <c r="C153" s="178">
        <f t="shared" si="20"/>
        <v>64.772149999999996</v>
      </c>
      <c r="D153" s="178">
        <f t="shared" si="20"/>
        <v>67.480593499999998</v>
      </c>
      <c r="E153" s="178">
        <f t="shared" si="20"/>
        <v>63.217403500000003</v>
      </c>
      <c r="F153" s="178">
        <f t="shared" si="20"/>
        <v>59.032142</v>
      </c>
      <c r="G153" s="178">
        <f t="shared" si="20"/>
        <v>51.306201000000001</v>
      </c>
      <c r="H153" s="178">
        <f t="shared" si="20"/>
        <v>45.615575</v>
      </c>
      <c r="I153" s="178">
        <f t="shared" si="20"/>
        <v>60.185411000000002</v>
      </c>
      <c r="J153" s="178">
        <f t="shared" si="20"/>
        <v>56.959399500000004</v>
      </c>
      <c r="K153" s="178">
        <f t="shared" si="20"/>
        <v>62.369816499999999</v>
      </c>
      <c r="L153" s="178">
        <f t="shared" si="20"/>
        <v>60.303250499999997</v>
      </c>
      <c r="M153" s="178">
        <f t="shared" si="20"/>
        <v>61.687733999999999</v>
      </c>
      <c r="N153" s="178">
        <f t="shared" si="20"/>
        <v>62.238713500000003</v>
      </c>
    </row>
    <row r="154" spans="1:15" s="179" customFormat="1" ht="12">
      <c r="A154" s="180" t="s">
        <v>96</v>
      </c>
      <c r="B154" s="181">
        <f>SUM(B142:B153)</f>
        <v>21602.108884460002</v>
      </c>
      <c r="C154" s="181">
        <f t="shared" ref="C154:N154" si="21">SUM(C142:C153)</f>
        <v>20644.977600888</v>
      </c>
      <c r="D154" s="181">
        <f t="shared" si="21"/>
        <v>20912.145954637996</v>
      </c>
      <c r="E154" s="181">
        <f t="shared" si="21"/>
        <v>21976.878416913998</v>
      </c>
      <c r="F154" s="181">
        <f t="shared" si="21"/>
        <v>24983.583112856002</v>
      </c>
      <c r="G154" s="181">
        <f t="shared" si="21"/>
        <v>23841.074950630002</v>
      </c>
      <c r="H154" s="181">
        <f t="shared" si="21"/>
        <v>22377.204372345994</v>
      </c>
      <c r="I154" s="181">
        <f t="shared" si="21"/>
        <v>20776.617151261995</v>
      </c>
      <c r="J154" s="181">
        <f t="shared" si="21"/>
        <v>20518.752359623999</v>
      </c>
      <c r="K154" s="181">
        <f t="shared" si="21"/>
        <v>21130.088870191994</v>
      </c>
      <c r="L154" s="181">
        <f t="shared" si="21"/>
        <v>22746.200875168</v>
      </c>
      <c r="M154" s="181">
        <f t="shared" si="21"/>
        <v>20566.689692568001</v>
      </c>
      <c r="N154" s="181">
        <f t="shared" si="21"/>
        <v>22897.645528137</v>
      </c>
    </row>
    <row r="156" spans="1:15" s="179" customFormat="1" ht="12">
      <c r="A156" s="183" t="s">
        <v>114</v>
      </c>
      <c r="B156" s="193">
        <f>B142+B147+B148+B149+B150+B153</f>
        <v>10215.027775275999</v>
      </c>
      <c r="C156" s="193">
        <f t="shared" ref="C156:M156" si="22">C142+C147+C148+C149+C150+C153</f>
        <v>10756.222834696</v>
      </c>
      <c r="D156" s="193">
        <f t="shared" si="22"/>
        <v>10898.299491834001</v>
      </c>
      <c r="E156" s="193">
        <f t="shared" si="22"/>
        <v>9006.629605176</v>
      </c>
      <c r="F156" s="193">
        <f t="shared" si="22"/>
        <v>9876.9015068360004</v>
      </c>
      <c r="G156" s="193">
        <f t="shared" si="22"/>
        <v>9279.5222992139988</v>
      </c>
      <c r="H156" s="193">
        <f t="shared" si="22"/>
        <v>8686.9508630519995</v>
      </c>
      <c r="I156" s="193">
        <f t="shared" si="22"/>
        <v>8280.2345436750002</v>
      </c>
      <c r="J156" s="193">
        <f t="shared" si="22"/>
        <v>9907.4788864320017</v>
      </c>
      <c r="K156" s="193">
        <f t="shared" si="22"/>
        <v>9800.1595383040021</v>
      </c>
      <c r="L156" s="193">
        <f t="shared" si="22"/>
        <v>13322.488474545999</v>
      </c>
      <c r="M156" s="193">
        <f t="shared" si="22"/>
        <v>9660.7063534879981</v>
      </c>
      <c r="N156" s="193">
        <f>N142+N147+N148+N149+N150+N153</f>
        <v>12429.426046389002</v>
      </c>
    </row>
    <row r="157" spans="1:15" s="179" customFormat="1" ht="12">
      <c r="A157" s="183" t="s">
        <v>115</v>
      </c>
      <c r="B157" s="193">
        <f>B143+B144+B145+B146+B151+B152</f>
        <v>11387.081109184001</v>
      </c>
      <c r="C157" s="193">
        <f t="shared" ref="C157:N157" si="23">C143+C144+C145+C146+C151+C152</f>
        <v>9888.7547661919998</v>
      </c>
      <c r="D157" s="193">
        <f t="shared" si="23"/>
        <v>10013.846462804</v>
      </c>
      <c r="E157" s="193">
        <f t="shared" si="23"/>
        <v>12970.248811737998</v>
      </c>
      <c r="F157" s="193">
        <f t="shared" si="23"/>
        <v>15106.68160602</v>
      </c>
      <c r="G157" s="193">
        <f t="shared" si="23"/>
        <v>14561.552651415999</v>
      </c>
      <c r="H157" s="193">
        <f t="shared" si="23"/>
        <v>13690.253509294</v>
      </c>
      <c r="I157" s="193">
        <f t="shared" si="23"/>
        <v>12496.382607587</v>
      </c>
      <c r="J157" s="193">
        <f t="shared" si="23"/>
        <v>10611.273473192001</v>
      </c>
      <c r="K157" s="193">
        <f t="shared" si="23"/>
        <v>11329.929331888001</v>
      </c>
      <c r="L157" s="193">
        <f t="shared" si="23"/>
        <v>9423.7124006220001</v>
      </c>
      <c r="M157" s="193">
        <f t="shared" si="23"/>
        <v>10905.983339079999</v>
      </c>
      <c r="N157" s="193">
        <f t="shared" si="23"/>
        <v>10468.219481748001</v>
      </c>
    </row>
    <row r="158" spans="1:15" s="179" customFormat="1" ht="12">
      <c r="A158" s="183" t="s">
        <v>116</v>
      </c>
      <c r="B158" s="184">
        <f>B142/B$154*100+B147/B$154*100+B148/B$154*100+B149/B$154*100+B150/B$154*100+B153/B$154*100</f>
        <v>47.287178441288326</v>
      </c>
      <c r="C158" s="184">
        <f t="shared" ref="C158:N158" si="24">C142/C$154*100+C147/C$154*100+C148/C$154*100+C149/C$154*100+C150/C$154*100+C153/C$154*100</f>
        <v>52.100917921234959</v>
      </c>
      <c r="D158" s="184">
        <f t="shared" si="24"/>
        <v>52.114687394943907</v>
      </c>
      <c r="E158" s="184">
        <f t="shared" si="24"/>
        <v>40.982297095679691</v>
      </c>
      <c r="F158" s="184">
        <f t="shared" si="24"/>
        <v>39.533566751494362</v>
      </c>
      <c r="G158" s="184">
        <f t="shared" si="24"/>
        <v>38.922415698243455</v>
      </c>
      <c r="H158" s="184">
        <f t="shared" si="24"/>
        <v>38.820536821782049</v>
      </c>
      <c r="I158" s="184">
        <f t="shared" si="24"/>
        <v>39.853622384200541</v>
      </c>
      <c r="J158" s="184">
        <f t="shared" si="24"/>
        <v>48.284996635212345</v>
      </c>
      <c r="K158" s="184">
        <f t="shared" si="24"/>
        <v>46.380115097996516</v>
      </c>
      <c r="L158" s="184">
        <f t="shared" si="24"/>
        <v>58.570169795212472</v>
      </c>
      <c r="M158" s="184">
        <f t="shared" si="24"/>
        <v>46.972587703207296</v>
      </c>
      <c r="N158" s="184">
        <f t="shared" si="24"/>
        <v>54.282550715162031</v>
      </c>
      <c r="O158" s="237">
        <f>N158-B158</f>
        <v>6.9953722738737056</v>
      </c>
    </row>
    <row r="159" spans="1:15" s="179" customFormat="1" ht="12">
      <c r="A159" s="183" t="s">
        <v>117</v>
      </c>
      <c r="B159" s="184">
        <f>B143/B$154*100+B144/B$154*100+B145/B$154*100+B151/B$154*100+B152/B$154*100+B146/B$154*100</f>
        <v>52.712821558711667</v>
      </c>
      <c r="C159" s="184">
        <f>C143/C$154*100+C144/C$154*100+C145/C$154*100+C151/C$154*100+C152/C$154*100+C146/C$154*100</f>
        <v>47.899082078765041</v>
      </c>
      <c r="D159" s="184">
        <f>D143/D$154*100+D144/D$154*100+D145/D$154*100+D151/D$154*100+D152/D$154*100+D146/D$154*100</f>
        <v>47.885312605056114</v>
      </c>
      <c r="E159" s="184">
        <f>E143/E$154*100+E144/E$154*100+E145/E$154*100+E151/E$154*100+E152/E$154*100+E146/E$154*100</f>
        <v>59.017702904320331</v>
      </c>
      <c r="F159" s="184">
        <f t="shared" ref="F159:M159" si="25">100-F158</f>
        <v>60.466433248505638</v>
      </c>
      <c r="G159" s="184">
        <f t="shared" si="25"/>
        <v>61.077584301756545</v>
      </c>
      <c r="H159" s="184">
        <f t="shared" si="25"/>
        <v>61.179463178217951</v>
      </c>
      <c r="I159" s="184">
        <f t="shared" si="25"/>
        <v>60.146377615799459</v>
      </c>
      <c r="J159" s="184">
        <f t="shared" si="25"/>
        <v>51.715003364787655</v>
      </c>
      <c r="K159" s="184">
        <f t="shared" si="25"/>
        <v>53.619884902003484</v>
      </c>
      <c r="L159" s="184">
        <f t="shared" si="25"/>
        <v>41.429830204787528</v>
      </c>
      <c r="M159" s="184">
        <f t="shared" si="25"/>
        <v>53.027412296792704</v>
      </c>
      <c r="N159" s="184">
        <f t="shared" ref="N159" si="26">100-N158</f>
        <v>45.717449284837969</v>
      </c>
    </row>
    <row r="160" spans="1:15" s="179" customFormat="1" ht="12">
      <c r="A160" s="183"/>
      <c r="B160" s="183"/>
    </row>
    <row r="161" spans="1:20" s="179" customFormat="1" ht="12">
      <c r="A161" s="183" t="s">
        <v>84</v>
      </c>
      <c r="B161" s="183"/>
      <c r="N161" s="237"/>
    </row>
    <row r="162" spans="1:20" s="179" customFormat="1" ht="12">
      <c r="A162" s="183" t="s">
        <v>85</v>
      </c>
      <c r="B162" s="183"/>
    </row>
    <row r="164" spans="1:20" s="179" customFormat="1" ht="12">
      <c r="A164" s="183" t="s">
        <v>19</v>
      </c>
      <c r="B164" s="178">
        <f>B142+B144+B147+B148+B149+B150+B153</f>
        <v>14981.717827275999</v>
      </c>
      <c r="C164" s="178">
        <f t="shared" ref="C164:N164" si="27">C142+C144+C147+C148+C149+C150+C153</f>
        <v>15170.938281695999</v>
      </c>
      <c r="D164" s="178">
        <f t="shared" si="27"/>
        <v>14964.654852834001</v>
      </c>
      <c r="E164" s="178">
        <f t="shared" si="27"/>
        <v>13466.088771175999</v>
      </c>
      <c r="F164" s="178">
        <f t="shared" si="27"/>
        <v>14950.054004836</v>
      </c>
      <c r="G164" s="178">
        <f t="shared" si="27"/>
        <v>14401.569229213999</v>
      </c>
      <c r="H164" s="178">
        <f t="shared" si="27"/>
        <v>13534.317986052001</v>
      </c>
      <c r="I164" s="178">
        <f t="shared" si="27"/>
        <v>12301.675314675002</v>
      </c>
      <c r="J164" s="178">
        <f t="shared" si="27"/>
        <v>14139.056130432002</v>
      </c>
      <c r="K164" s="178">
        <f t="shared" si="27"/>
        <v>14961.371989304002</v>
      </c>
      <c r="L164" s="178">
        <f t="shared" si="27"/>
        <v>18409.252063546002</v>
      </c>
      <c r="M164" s="178">
        <f t="shared" si="27"/>
        <v>14258.666069487997</v>
      </c>
      <c r="N164" s="178">
        <f t="shared" si="27"/>
        <v>17531.715711388999</v>
      </c>
    </row>
    <row r="165" spans="1:20" s="179" customFormat="1" ht="12">
      <c r="A165" s="183" t="s">
        <v>20</v>
      </c>
      <c r="B165" s="178">
        <f>B145+B146+B151+B152</f>
        <v>6346.5429044999992</v>
      </c>
      <c r="C165" s="178">
        <f t="shared" ref="C165:N165" si="28">C145+C146+C151+C152</f>
        <v>5137.3266949999988</v>
      </c>
      <c r="D165" s="178">
        <f t="shared" si="28"/>
        <v>5647.6110504999997</v>
      </c>
      <c r="E165" s="178">
        <f t="shared" si="28"/>
        <v>8239.8656885</v>
      </c>
      <c r="F165" s="178">
        <f t="shared" si="28"/>
        <v>9816.9114889999983</v>
      </c>
      <c r="G165" s="178">
        <f t="shared" si="28"/>
        <v>9100.1335710000003</v>
      </c>
      <c r="H165" s="178">
        <f t="shared" si="28"/>
        <v>8538.0760620000001</v>
      </c>
      <c r="I165" s="178">
        <f t="shared" si="28"/>
        <v>8089.2804079999996</v>
      </c>
      <c r="J165" s="178">
        <f t="shared" si="28"/>
        <v>6018.0323634999995</v>
      </c>
      <c r="K165" s="178">
        <f t="shared" si="28"/>
        <v>5683.3578204999994</v>
      </c>
      <c r="L165" s="178">
        <f t="shared" si="28"/>
        <v>3794.1513755000001</v>
      </c>
      <c r="M165" s="178">
        <f t="shared" si="28"/>
        <v>6047.1524200000003</v>
      </c>
      <c r="N165" s="178">
        <f t="shared" si="28"/>
        <v>4825.8500224999998</v>
      </c>
    </row>
    <row r="166" spans="1:20" s="179" customFormat="1" ht="12">
      <c r="A166" s="183" t="s">
        <v>112</v>
      </c>
      <c r="B166" s="184">
        <f>B142/(B$154-B$143)*100+B147/(B$154-B$143)*100+B148/(B$154-B$143)*100+B149/(B$154-B$143)*100+B150/(B$154-B$143)*100+B144/(B$154-B$143)*100+B153/(B$154-B$143)*100</f>
        <v>70.243504689322478</v>
      </c>
      <c r="C166" s="184">
        <f t="shared" ref="C166:N166" si="29">C142/(C$154-C$143)*100+C147/(C$154-C$143)*100+C148/(C$154-C$143)*100+C149/(C$154-C$143)*100+C150/(C$154-C$143)*100+C144/(C$154-C$143)*100+C153/(C$154-C$143)*100</f>
        <v>74.703271299172286</v>
      </c>
      <c r="D166" s="184">
        <f t="shared" si="29"/>
        <v>72.600726785760585</v>
      </c>
      <c r="E166" s="184">
        <f t="shared" si="29"/>
        <v>62.038685265798748</v>
      </c>
      <c r="F166" s="184">
        <f t="shared" si="29"/>
        <v>60.362881389554012</v>
      </c>
      <c r="G166" s="184">
        <f t="shared" si="29"/>
        <v>61.278833077077543</v>
      </c>
      <c r="H166" s="184">
        <f t="shared" si="29"/>
        <v>61.317852320811006</v>
      </c>
      <c r="I166" s="184">
        <f t="shared" si="29"/>
        <v>60.329076684695984</v>
      </c>
      <c r="J166" s="184">
        <f t="shared" si="29"/>
        <v>70.14433723743565</v>
      </c>
      <c r="K166" s="184">
        <f t="shared" si="29"/>
        <v>72.470660198221552</v>
      </c>
      <c r="L166" s="184">
        <f t="shared" si="29"/>
        <v>82.911847789840365</v>
      </c>
      <c r="M166" s="184">
        <f t="shared" si="29"/>
        <v>70.219607630539414</v>
      </c>
      <c r="N166" s="184">
        <f t="shared" si="29"/>
        <v>78.415136603243411</v>
      </c>
      <c r="O166" s="237">
        <f>N166-B166</f>
        <v>8.1716319139209332</v>
      </c>
    </row>
    <row r="167" spans="1:20" s="179" customFormat="1" ht="12">
      <c r="A167" s="183" t="s">
        <v>113</v>
      </c>
      <c r="B167" s="184">
        <f>B151/(B$154-B$143)*100+B152/(B$154-B$143)*100+B145/(B$154-B$143)*100+B146/(B$154-B$143)*100</f>
        <v>29.756495310677515</v>
      </c>
      <c r="C167" s="184">
        <f t="shared" ref="C167:N167" si="30">C151/(C$154-C$143)*100+C152/(C$154-C$143)*100+C145/(C$154-C$143)*100+C146/(C$154-C$143)*100</f>
        <v>25.296728700827714</v>
      </c>
      <c r="D167" s="184">
        <f t="shared" si="30"/>
        <v>27.399273214239436</v>
      </c>
      <c r="E167" s="184">
        <f t="shared" si="30"/>
        <v>37.961314734201252</v>
      </c>
      <c r="F167" s="184">
        <f t="shared" si="30"/>
        <v>39.637118610445953</v>
      </c>
      <c r="G167" s="184">
        <f t="shared" si="30"/>
        <v>38.721166922922436</v>
      </c>
      <c r="H167" s="184">
        <f t="shared" si="30"/>
        <v>38.682147679189022</v>
      </c>
      <c r="I167" s="184">
        <f t="shared" si="30"/>
        <v>39.670923315304044</v>
      </c>
      <c r="J167" s="184">
        <f t="shared" si="30"/>
        <v>29.855662762564357</v>
      </c>
      <c r="K167" s="184">
        <f t="shared" si="30"/>
        <v>27.529339801778494</v>
      </c>
      <c r="L167" s="184">
        <f t="shared" si="30"/>
        <v>17.088152210159638</v>
      </c>
      <c r="M167" s="184">
        <f t="shared" si="30"/>
        <v>29.780392369460579</v>
      </c>
      <c r="N167" s="184">
        <f t="shared" si="30"/>
        <v>21.584863396756589</v>
      </c>
    </row>
    <row r="168" spans="1:20" s="179" customFormat="1" ht="12">
      <c r="A168" s="183"/>
      <c r="B168" s="183"/>
    </row>
    <row r="169" spans="1:20" s="179" customFormat="1" ht="12">
      <c r="A169" s="183" t="s">
        <v>208</v>
      </c>
      <c r="B169" s="183"/>
      <c r="N169" s="237"/>
    </row>
    <row r="170" spans="1:20" s="179" customFormat="1" ht="12">
      <c r="A170" s="183" t="s">
        <v>126</v>
      </c>
      <c r="B170" s="183"/>
    </row>
    <row r="175" spans="1:20">
      <c r="A175" s="166" t="s">
        <v>105</v>
      </c>
      <c r="B175" s="314" t="s">
        <v>98</v>
      </c>
      <c r="C175" s="315"/>
      <c r="D175" s="315"/>
      <c r="E175" s="315"/>
      <c r="F175" s="315"/>
      <c r="G175" s="315"/>
      <c r="H175" s="315"/>
      <c r="I175" s="315"/>
      <c r="J175" s="315"/>
      <c r="K175" s="315"/>
      <c r="L175" s="315"/>
      <c r="M175" s="315"/>
      <c r="N175" s="315"/>
      <c r="O175" s="315"/>
      <c r="P175" s="315"/>
      <c r="Q175" s="315"/>
      <c r="R175" s="315"/>
      <c r="S175" s="315"/>
      <c r="T175" s="315"/>
    </row>
    <row r="176" spans="1:20">
      <c r="A176" s="166" t="s">
        <v>106</v>
      </c>
      <c r="B176" s="318" t="s">
        <v>118</v>
      </c>
      <c r="C176" s="319"/>
      <c r="D176" s="319"/>
      <c r="E176" s="319"/>
      <c r="F176" s="319"/>
      <c r="G176" s="319"/>
      <c r="H176" s="319"/>
      <c r="I176" s="319"/>
      <c r="J176" s="319"/>
      <c r="K176" s="319"/>
      <c r="L176" s="319"/>
      <c r="M176" s="319"/>
      <c r="N176" s="319"/>
      <c r="O176" s="319"/>
      <c r="P176" s="319"/>
      <c r="Q176" s="319"/>
      <c r="R176" s="319"/>
      <c r="S176" s="319"/>
      <c r="T176" s="319"/>
    </row>
    <row r="177" spans="1:23">
      <c r="A177" s="170" t="s">
        <v>30</v>
      </c>
      <c r="B177" s="316" t="s">
        <v>225</v>
      </c>
      <c r="C177" s="317"/>
      <c r="D177" s="317"/>
      <c r="E177" s="317"/>
      <c r="F177" s="317"/>
      <c r="G177" s="317"/>
      <c r="H177" s="317"/>
      <c r="I177" s="317"/>
      <c r="J177" s="317"/>
      <c r="K177" s="317"/>
      <c r="L177" s="317"/>
      <c r="M177" s="317"/>
      <c r="N177" s="317"/>
      <c r="O177" s="317"/>
      <c r="P177" s="317"/>
      <c r="Q177" s="317"/>
      <c r="R177" s="317"/>
      <c r="S177" s="317"/>
      <c r="T177" s="317"/>
    </row>
    <row r="178" spans="1:23">
      <c r="A178" s="170" t="s">
        <v>107</v>
      </c>
      <c r="B178" s="297" t="s">
        <v>2</v>
      </c>
      <c r="C178" s="297" t="s">
        <v>81</v>
      </c>
      <c r="D178" s="297" t="s">
        <v>3</v>
      </c>
      <c r="E178" s="297" t="s">
        <v>4</v>
      </c>
      <c r="F178" s="297" t="s">
        <v>95</v>
      </c>
      <c r="G178" s="297" t="s">
        <v>11</v>
      </c>
      <c r="H178" s="297" t="s">
        <v>5</v>
      </c>
      <c r="I178" s="297" t="s">
        <v>6</v>
      </c>
      <c r="J178" s="297" t="s">
        <v>7</v>
      </c>
      <c r="K178" s="297" t="s">
        <v>8</v>
      </c>
      <c r="L178" s="297" t="s">
        <v>9</v>
      </c>
      <c r="M178" s="297" t="s">
        <v>69</v>
      </c>
      <c r="N178" s="297" t="s">
        <v>70</v>
      </c>
      <c r="O178" s="185" t="s">
        <v>10</v>
      </c>
      <c r="P178" s="297" t="s">
        <v>121</v>
      </c>
      <c r="Q178" s="297" t="s">
        <v>97</v>
      </c>
      <c r="R178" s="297" t="s">
        <v>122</v>
      </c>
      <c r="S178" s="185" t="s">
        <v>123</v>
      </c>
      <c r="T178" s="297" t="s">
        <v>221</v>
      </c>
      <c r="V178" s="187" t="s">
        <v>23</v>
      </c>
      <c r="W178" s="187" t="s">
        <v>22</v>
      </c>
    </row>
    <row r="179" spans="1:23" ht="14.25">
      <c r="A179" s="166" t="s">
        <v>31</v>
      </c>
      <c r="B179" s="277"/>
      <c r="C179" s="277"/>
      <c r="D179" s="277"/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  <c r="O179" s="186"/>
      <c r="P179" s="277"/>
      <c r="Q179" s="277"/>
      <c r="R179" s="277"/>
      <c r="S179" s="186"/>
      <c r="T179" s="277"/>
      <c r="V179" s="188"/>
      <c r="W179" s="188"/>
    </row>
    <row r="180" spans="1:23" ht="14.25">
      <c r="A180" s="278">
        <v>1</v>
      </c>
      <c r="B180" s="291">
        <v>83104.674943999999</v>
      </c>
      <c r="C180" s="291">
        <v>8424.5242560000006</v>
      </c>
      <c r="D180" s="291">
        <v>145983.932</v>
      </c>
      <c r="E180" s="291">
        <v>15663.208000000001</v>
      </c>
      <c r="F180" s="291">
        <v>0</v>
      </c>
      <c r="G180" s="291">
        <v>185043.883</v>
      </c>
      <c r="H180" s="291">
        <v>185108.783</v>
      </c>
      <c r="I180" s="291">
        <v>123630.842</v>
      </c>
      <c r="J180" s="291">
        <v>15965.017</v>
      </c>
      <c r="K180" s="291">
        <v>13341.22</v>
      </c>
      <c r="L180" s="291">
        <v>62199.885999999999</v>
      </c>
      <c r="M180" s="291">
        <v>2324.4254999999998</v>
      </c>
      <c r="N180" s="291">
        <v>3942.6205</v>
      </c>
      <c r="O180" s="292">
        <v>844733.01619999995</v>
      </c>
      <c r="P180" s="291">
        <v>-3256.7660000000001</v>
      </c>
      <c r="Q180" s="291">
        <v>-2945.6790000000001</v>
      </c>
      <c r="R180" s="291">
        <v>-76109.745999999999</v>
      </c>
      <c r="S180" s="292">
        <v>762420.82519999996</v>
      </c>
      <c r="T180" s="291">
        <v>81.003</v>
      </c>
      <c r="V180" s="189">
        <f>IFERROR($H180/$O180*100,"")</f>
        <v>21.91328851247048</v>
      </c>
      <c r="W180" s="188">
        <f>IF($H180=0,"",$H180/1000)</f>
        <v>185.10878299999999</v>
      </c>
    </row>
    <row r="181" spans="1:23" ht="14.25">
      <c r="A181" s="278">
        <v>2</v>
      </c>
      <c r="B181" s="291">
        <v>84853.499288000006</v>
      </c>
      <c r="C181" s="291">
        <v>7351.3590880000002</v>
      </c>
      <c r="D181" s="291">
        <v>145932.68700000001</v>
      </c>
      <c r="E181" s="291">
        <v>19851.131000000001</v>
      </c>
      <c r="F181" s="291">
        <v>0</v>
      </c>
      <c r="G181" s="291">
        <v>177998.53</v>
      </c>
      <c r="H181" s="291">
        <v>210877.24</v>
      </c>
      <c r="I181" s="291">
        <v>107121.818</v>
      </c>
      <c r="J181" s="291">
        <v>16364.25</v>
      </c>
      <c r="K181" s="291">
        <v>13320.951999999999</v>
      </c>
      <c r="L181" s="291">
        <v>64481.607000000004</v>
      </c>
      <c r="M181" s="291">
        <v>2347.5070000000001</v>
      </c>
      <c r="N181" s="291">
        <v>4086.86</v>
      </c>
      <c r="O181" s="292">
        <v>854587.44037600001</v>
      </c>
      <c r="P181" s="291">
        <v>-9480.8369999999995</v>
      </c>
      <c r="Q181" s="291">
        <v>-4369.6360000000004</v>
      </c>
      <c r="R181" s="291">
        <v>-95103.347999999998</v>
      </c>
      <c r="S181" s="292">
        <v>745633.61937600002</v>
      </c>
      <c r="T181" s="291">
        <v>91.864000000000004</v>
      </c>
      <c r="V181" s="189">
        <f t="shared" ref="V181:V210" si="31">IFERROR($H181/$O181*100,"")</f>
        <v>24.675911444148834</v>
      </c>
      <c r="W181" s="188">
        <f t="shared" ref="W181:W210" si="32">IF($H181=0,"",$H181/1000)</f>
        <v>210.87724</v>
      </c>
    </row>
    <row r="182" spans="1:23" ht="14.25">
      <c r="A182" s="278">
        <v>3</v>
      </c>
      <c r="B182" s="291">
        <v>82994.454876000003</v>
      </c>
      <c r="C182" s="291">
        <v>7731.8829640000004</v>
      </c>
      <c r="D182" s="291">
        <v>145980.55300000001</v>
      </c>
      <c r="E182" s="291">
        <v>20305.105</v>
      </c>
      <c r="F182" s="291">
        <v>0</v>
      </c>
      <c r="G182" s="291">
        <v>177943.31899999999</v>
      </c>
      <c r="H182" s="291">
        <v>181541.435</v>
      </c>
      <c r="I182" s="291">
        <v>111158.80499999999</v>
      </c>
      <c r="J182" s="291">
        <v>17410.388999999999</v>
      </c>
      <c r="K182" s="291">
        <v>12997.49</v>
      </c>
      <c r="L182" s="291">
        <v>63243.892999999996</v>
      </c>
      <c r="M182" s="291">
        <v>2232.3625000000002</v>
      </c>
      <c r="N182" s="291">
        <v>3999.4704999999999</v>
      </c>
      <c r="O182" s="292">
        <v>827539.15983999998</v>
      </c>
      <c r="P182" s="291">
        <v>-5535.85</v>
      </c>
      <c r="Q182" s="291">
        <v>-3847.35</v>
      </c>
      <c r="R182" s="291">
        <v>-94813.239000000001</v>
      </c>
      <c r="S182" s="292">
        <v>723342.72083999997</v>
      </c>
      <c r="T182" s="291">
        <v>92.286000000000001</v>
      </c>
      <c r="V182" s="189">
        <f t="shared" si="31"/>
        <v>21.937503843938938</v>
      </c>
      <c r="W182" s="188">
        <f t="shared" si="32"/>
        <v>181.54143500000001</v>
      </c>
    </row>
    <row r="183" spans="1:23" ht="14.25">
      <c r="A183" s="278">
        <v>4</v>
      </c>
      <c r="B183" s="291">
        <v>88008.305112000002</v>
      </c>
      <c r="C183" s="291">
        <v>8530.1689279999991</v>
      </c>
      <c r="D183" s="291">
        <v>152824.93900000001</v>
      </c>
      <c r="E183" s="291">
        <v>17620.207999999999</v>
      </c>
      <c r="F183" s="291">
        <v>0</v>
      </c>
      <c r="G183" s="291">
        <v>144666.524</v>
      </c>
      <c r="H183" s="291">
        <v>100409.783</v>
      </c>
      <c r="I183" s="291">
        <v>114631.999</v>
      </c>
      <c r="J183" s="291">
        <v>10977.044</v>
      </c>
      <c r="K183" s="291">
        <v>12343.894</v>
      </c>
      <c r="L183" s="291">
        <v>61914.190999999999</v>
      </c>
      <c r="M183" s="291">
        <v>2293.2150000000001</v>
      </c>
      <c r="N183" s="291">
        <v>4087.31</v>
      </c>
      <c r="O183" s="292">
        <v>718307.58103999996</v>
      </c>
      <c r="P183" s="291">
        <v>-11293.112999999999</v>
      </c>
      <c r="Q183" s="291">
        <v>-2002.3620000000001</v>
      </c>
      <c r="R183" s="291">
        <v>-67268.857999999993</v>
      </c>
      <c r="S183" s="292">
        <v>637743.24803999998</v>
      </c>
      <c r="T183" s="291">
        <v>93.138999999999996</v>
      </c>
      <c r="V183" s="189">
        <f t="shared" si="31"/>
        <v>13.978661182250358</v>
      </c>
      <c r="W183" s="188">
        <f t="shared" si="32"/>
        <v>100.40978299999999</v>
      </c>
    </row>
    <row r="184" spans="1:23" ht="14.25">
      <c r="A184" s="278">
        <v>5</v>
      </c>
      <c r="B184" s="291">
        <v>92451.202879999997</v>
      </c>
      <c r="C184" s="291">
        <v>7702.4212399999997</v>
      </c>
      <c r="D184" s="291">
        <v>168523.75599999999</v>
      </c>
      <c r="E184" s="291">
        <v>17291.182000000001</v>
      </c>
      <c r="F184" s="291">
        <v>0</v>
      </c>
      <c r="G184" s="291">
        <v>195361.04399999999</v>
      </c>
      <c r="H184" s="291">
        <v>62852.413</v>
      </c>
      <c r="I184" s="291">
        <v>48092.502</v>
      </c>
      <c r="J184" s="291">
        <v>490.39400000000001</v>
      </c>
      <c r="K184" s="291">
        <v>12449.647000000001</v>
      </c>
      <c r="L184" s="291">
        <v>62327.785000000003</v>
      </c>
      <c r="M184" s="291">
        <v>2088.25</v>
      </c>
      <c r="N184" s="291">
        <v>3980.7939999999999</v>
      </c>
      <c r="O184" s="292">
        <v>673611.39112000004</v>
      </c>
      <c r="P184" s="291">
        <v>-5067.8599999999997</v>
      </c>
      <c r="Q184" s="291">
        <v>-1621.6420000000001</v>
      </c>
      <c r="R184" s="291">
        <v>-74668.172999999995</v>
      </c>
      <c r="S184" s="292">
        <v>592253.71612</v>
      </c>
      <c r="T184" s="291">
        <v>22.346</v>
      </c>
      <c r="V184" s="189">
        <f t="shared" si="31"/>
        <v>9.3306636183061809</v>
      </c>
      <c r="W184" s="188">
        <f t="shared" si="32"/>
        <v>62.852412999999999</v>
      </c>
    </row>
    <row r="185" spans="1:23" ht="14.25">
      <c r="A185" s="278">
        <v>6</v>
      </c>
      <c r="B185" s="291">
        <v>84304.642684000006</v>
      </c>
      <c r="C185" s="291">
        <v>3054.7095880000002</v>
      </c>
      <c r="D185" s="291">
        <v>169916.21400000001</v>
      </c>
      <c r="E185" s="291">
        <v>17948.521000000001</v>
      </c>
      <c r="F185" s="291">
        <v>0</v>
      </c>
      <c r="G185" s="291">
        <v>218091.274</v>
      </c>
      <c r="H185" s="291">
        <v>150749.27900000001</v>
      </c>
      <c r="I185" s="291">
        <v>50094.442999999999</v>
      </c>
      <c r="J185" s="291">
        <v>633.42399999999998</v>
      </c>
      <c r="K185" s="291">
        <v>11483.683999999999</v>
      </c>
      <c r="L185" s="291">
        <v>62891.082000000002</v>
      </c>
      <c r="M185" s="291">
        <v>2239.7015000000001</v>
      </c>
      <c r="N185" s="291">
        <v>4049.9214999999999</v>
      </c>
      <c r="O185" s="292">
        <v>775456.89627200004</v>
      </c>
      <c r="P185" s="291">
        <v>-6041.8230000000003</v>
      </c>
      <c r="Q185" s="291">
        <v>-1551.615</v>
      </c>
      <c r="R185" s="291">
        <v>-75145.41</v>
      </c>
      <c r="S185" s="292">
        <v>692718.04827200004</v>
      </c>
      <c r="T185" s="291">
        <v>34.116999999999997</v>
      </c>
      <c r="V185" s="189">
        <f t="shared" si="31"/>
        <v>19.440059108987928</v>
      </c>
      <c r="W185" s="188">
        <f t="shared" si="32"/>
        <v>150.749279</v>
      </c>
    </row>
    <row r="186" spans="1:23" ht="14.25">
      <c r="A186" s="278">
        <v>7</v>
      </c>
      <c r="B186" s="291">
        <v>48939.708413</v>
      </c>
      <c r="C186" s="291">
        <v>10339.395866999999</v>
      </c>
      <c r="D186" s="291">
        <v>170008.03599999999</v>
      </c>
      <c r="E186" s="291">
        <v>13403.371999999999</v>
      </c>
      <c r="F186" s="291">
        <v>0</v>
      </c>
      <c r="G186" s="291">
        <v>56563.485999999997</v>
      </c>
      <c r="H186" s="291">
        <v>335522.14199999999</v>
      </c>
      <c r="I186" s="291">
        <v>67855.043000000005</v>
      </c>
      <c r="J186" s="291">
        <v>2964.7280000000001</v>
      </c>
      <c r="K186" s="291">
        <v>10908.686</v>
      </c>
      <c r="L186" s="291">
        <v>59837.38</v>
      </c>
      <c r="M186" s="291">
        <v>2240.4369999999999</v>
      </c>
      <c r="N186" s="291">
        <v>3976.056</v>
      </c>
      <c r="O186" s="292">
        <v>782558.47028000001</v>
      </c>
      <c r="P186" s="291">
        <v>-29306.668000000001</v>
      </c>
      <c r="Q186" s="291">
        <v>-1682.0340000000001</v>
      </c>
      <c r="R186" s="291">
        <v>-63004.108</v>
      </c>
      <c r="S186" s="292">
        <v>688565.66027999995</v>
      </c>
      <c r="T186" s="291">
        <v>47.06</v>
      </c>
      <c r="V186" s="189">
        <f t="shared" si="31"/>
        <v>42.875025284685748</v>
      </c>
      <c r="W186" s="188">
        <f t="shared" si="32"/>
        <v>335.52214199999997</v>
      </c>
    </row>
    <row r="187" spans="1:23" ht="14.25">
      <c r="A187" s="278">
        <v>8</v>
      </c>
      <c r="B187" s="291">
        <v>52720.065610999998</v>
      </c>
      <c r="C187" s="291">
        <v>16293.425149000001</v>
      </c>
      <c r="D187" s="291">
        <v>169725.796</v>
      </c>
      <c r="E187" s="291">
        <v>13403.777</v>
      </c>
      <c r="F187" s="291">
        <v>0</v>
      </c>
      <c r="G187" s="291">
        <v>37162.173999999999</v>
      </c>
      <c r="H187" s="291">
        <v>391564.01</v>
      </c>
      <c r="I187" s="291">
        <v>62411.190999999999</v>
      </c>
      <c r="J187" s="291">
        <v>1985.0840000000001</v>
      </c>
      <c r="K187" s="291">
        <v>10727.911</v>
      </c>
      <c r="L187" s="291">
        <v>56685.788999999997</v>
      </c>
      <c r="M187" s="291">
        <v>2104.0825</v>
      </c>
      <c r="N187" s="291">
        <v>3617.1895</v>
      </c>
      <c r="O187" s="292">
        <v>818400.49476000003</v>
      </c>
      <c r="P187" s="291">
        <v>-37158.264999999999</v>
      </c>
      <c r="Q187" s="291">
        <v>-2448.0149999999999</v>
      </c>
      <c r="R187" s="291">
        <v>-94509.069000000003</v>
      </c>
      <c r="S187" s="292">
        <v>684285.14575999998</v>
      </c>
      <c r="T187" s="291">
        <v>61.537999999999997</v>
      </c>
      <c r="V187" s="189">
        <f t="shared" si="31"/>
        <v>47.845035836009373</v>
      </c>
      <c r="W187" s="188">
        <f t="shared" si="32"/>
        <v>391.56401</v>
      </c>
    </row>
    <row r="188" spans="1:23" ht="14.25">
      <c r="A188" s="278">
        <v>9</v>
      </c>
      <c r="B188" s="291">
        <v>50236.356073000003</v>
      </c>
      <c r="C188" s="291">
        <v>16841.713463</v>
      </c>
      <c r="D188" s="291">
        <v>169645.598</v>
      </c>
      <c r="E188" s="291">
        <v>13557.896000000001</v>
      </c>
      <c r="F188" s="291">
        <v>0</v>
      </c>
      <c r="G188" s="291">
        <v>18841.148000000001</v>
      </c>
      <c r="H188" s="291">
        <v>409972.94199999998</v>
      </c>
      <c r="I188" s="291">
        <v>52832.464999999997</v>
      </c>
      <c r="J188" s="291">
        <v>1915.2809999999999</v>
      </c>
      <c r="K188" s="291">
        <v>9824.4490000000005</v>
      </c>
      <c r="L188" s="291">
        <v>53352.294999999998</v>
      </c>
      <c r="M188" s="291">
        <v>1988.2265</v>
      </c>
      <c r="N188" s="291">
        <v>3469.1345000000001</v>
      </c>
      <c r="O188" s="292">
        <v>802477.50453599996</v>
      </c>
      <c r="P188" s="291">
        <v>-40468.288</v>
      </c>
      <c r="Q188" s="291">
        <v>-3066.4659999999999</v>
      </c>
      <c r="R188" s="291">
        <v>-89215.517999999996</v>
      </c>
      <c r="S188" s="292">
        <v>669727.23253599997</v>
      </c>
      <c r="T188" s="291">
        <v>60.781999999999996</v>
      </c>
      <c r="V188" s="189">
        <f t="shared" si="31"/>
        <v>51.088403062095821</v>
      </c>
      <c r="W188" s="188">
        <f t="shared" si="32"/>
        <v>409.97294199999999</v>
      </c>
    </row>
    <row r="189" spans="1:23" ht="14.25">
      <c r="A189" s="278">
        <v>10</v>
      </c>
      <c r="B189" s="291">
        <v>43769.025511</v>
      </c>
      <c r="C189" s="291">
        <v>20122.803377</v>
      </c>
      <c r="D189" s="291">
        <v>169636.02299999999</v>
      </c>
      <c r="E189" s="291">
        <v>13735.239</v>
      </c>
      <c r="F189" s="291">
        <v>0</v>
      </c>
      <c r="G189" s="291">
        <v>21166.776999999998</v>
      </c>
      <c r="H189" s="291">
        <v>386651.87099999998</v>
      </c>
      <c r="I189" s="291">
        <v>93153.991999999998</v>
      </c>
      <c r="J189" s="291">
        <v>10263.846</v>
      </c>
      <c r="K189" s="291">
        <v>8941.634</v>
      </c>
      <c r="L189" s="291">
        <v>47397.724999999999</v>
      </c>
      <c r="M189" s="291">
        <v>1832.4580000000001</v>
      </c>
      <c r="N189" s="291">
        <v>3171.8040000000001</v>
      </c>
      <c r="O189" s="292">
        <v>819843.19788800005</v>
      </c>
      <c r="P189" s="291">
        <v>-58033.998</v>
      </c>
      <c r="Q189" s="291">
        <v>-3152.5630000000001</v>
      </c>
      <c r="R189" s="291">
        <v>-114920.592</v>
      </c>
      <c r="S189" s="292">
        <v>643736.044888</v>
      </c>
      <c r="T189" s="291">
        <v>76.084999999999994</v>
      </c>
      <c r="V189" s="189">
        <f t="shared" si="31"/>
        <v>47.161685551097428</v>
      </c>
      <c r="W189" s="188">
        <f t="shared" si="32"/>
        <v>386.65187099999997</v>
      </c>
    </row>
    <row r="190" spans="1:23" ht="14.25">
      <c r="A190" s="278">
        <v>11</v>
      </c>
      <c r="B190" s="291">
        <v>42188.752240000002</v>
      </c>
      <c r="C190" s="291">
        <v>18489.173728000002</v>
      </c>
      <c r="D190" s="291">
        <v>167647.28599999999</v>
      </c>
      <c r="E190" s="291">
        <v>12343.764999999999</v>
      </c>
      <c r="F190" s="291">
        <v>0</v>
      </c>
      <c r="G190" s="291">
        <v>24915.623</v>
      </c>
      <c r="H190" s="291">
        <v>345563.45799999998</v>
      </c>
      <c r="I190" s="291">
        <v>75913.884000000005</v>
      </c>
      <c r="J190" s="291">
        <v>7110.9750000000004</v>
      </c>
      <c r="K190" s="291">
        <v>8133.3779999999997</v>
      </c>
      <c r="L190" s="291">
        <v>39446.339</v>
      </c>
      <c r="M190" s="291">
        <v>1787.0909999999999</v>
      </c>
      <c r="N190" s="291">
        <v>3074.4340000000002</v>
      </c>
      <c r="O190" s="292">
        <v>746614.15896799997</v>
      </c>
      <c r="P190" s="291">
        <v>-43571.184999999998</v>
      </c>
      <c r="Q190" s="291">
        <v>-2889.82</v>
      </c>
      <c r="R190" s="291">
        <v>-134974.24600000001</v>
      </c>
      <c r="S190" s="292">
        <v>565178.90796800004</v>
      </c>
      <c r="T190" s="291">
        <v>63.362000000000002</v>
      </c>
      <c r="V190" s="189">
        <f t="shared" si="31"/>
        <v>46.28407509410907</v>
      </c>
      <c r="W190" s="188">
        <f t="shared" si="32"/>
        <v>345.56345799999997</v>
      </c>
    </row>
    <row r="191" spans="1:23" ht="14.25">
      <c r="A191" s="278">
        <v>12</v>
      </c>
      <c r="B191" s="291">
        <v>60762.738032000001</v>
      </c>
      <c r="C191" s="291">
        <v>29373.628175999998</v>
      </c>
      <c r="D191" s="291">
        <v>169442.26</v>
      </c>
      <c r="E191" s="291">
        <v>11675.608</v>
      </c>
      <c r="F191" s="291">
        <v>0</v>
      </c>
      <c r="G191" s="291">
        <v>47201.93</v>
      </c>
      <c r="H191" s="291">
        <v>178319.478</v>
      </c>
      <c r="I191" s="291">
        <v>107304.34</v>
      </c>
      <c r="J191" s="291">
        <v>13789.722</v>
      </c>
      <c r="K191" s="291">
        <v>9837.3150000000005</v>
      </c>
      <c r="L191" s="291">
        <v>46869.351999999999</v>
      </c>
      <c r="M191" s="291">
        <v>1948.4549999999999</v>
      </c>
      <c r="N191" s="291">
        <v>3325.038</v>
      </c>
      <c r="O191" s="292">
        <v>679849.86420800001</v>
      </c>
      <c r="P191" s="291">
        <v>-43279.313999999998</v>
      </c>
      <c r="Q191" s="291">
        <v>-2529.145</v>
      </c>
      <c r="R191" s="291">
        <v>-116337.35400000001</v>
      </c>
      <c r="S191" s="292">
        <v>517704.05120799999</v>
      </c>
      <c r="T191" s="291">
        <v>90.04</v>
      </c>
      <c r="V191" s="189">
        <f t="shared" si="31"/>
        <v>26.229243747475866</v>
      </c>
      <c r="W191" s="188">
        <f t="shared" si="32"/>
        <v>178.319478</v>
      </c>
    </row>
    <row r="192" spans="1:23" ht="14.25">
      <c r="A192" s="278">
        <v>13</v>
      </c>
      <c r="B192" s="291">
        <v>51348.694023999997</v>
      </c>
      <c r="C192" s="291">
        <v>20874.338800000001</v>
      </c>
      <c r="D192" s="291">
        <v>169802.31599999999</v>
      </c>
      <c r="E192" s="291">
        <v>13503.594999999999</v>
      </c>
      <c r="F192" s="291">
        <v>0</v>
      </c>
      <c r="G192" s="291">
        <v>32737.083999999999</v>
      </c>
      <c r="H192" s="291">
        <v>285385.42200000002</v>
      </c>
      <c r="I192" s="291">
        <v>92751.381999999998</v>
      </c>
      <c r="J192" s="291">
        <v>11109.445</v>
      </c>
      <c r="K192" s="291">
        <v>8516.3340000000007</v>
      </c>
      <c r="L192" s="291">
        <v>42748.226000000002</v>
      </c>
      <c r="M192" s="291">
        <v>1877.4425000000001</v>
      </c>
      <c r="N192" s="291">
        <v>3241.2824999999998</v>
      </c>
      <c r="O192" s="292">
        <v>733895.56182399997</v>
      </c>
      <c r="P192" s="291">
        <v>-52994.868999999999</v>
      </c>
      <c r="Q192" s="291">
        <v>-3414.3119999999999</v>
      </c>
      <c r="R192" s="291">
        <v>-62487.203999999998</v>
      </c>
      <c r="S192" s="292">
        <v>614999.17682399997</v>
      </c>
      <c r="T192" s="291">
        <v>91.727000000000004</v>
      </c>
      <c r="V192" s="189">
        <f t="shared" si="31"/>
        <v>38.886380684836467</v>
      </c>
      <c r="W192" s="188">
        <f t="shared" si="32"/>
        <v>285.38542200000001</v>
      </c>
    </row>
    <row r="193" spans="1:23" ht="14.25">
      <c r="A193" s="278">
        <v>14</v>
      </c>
      <c r="B193" s="291">
        <v>60630.865339999997</v>
      </c>
      <c r="C193" s="291">
        <v>25349.419195999999</v>
      </c>
      <c r="D193" s="291">
        <v>169949.38200000001</v>
      </c>
      <c r="E193" s="291">
        <v>14086.846</v>
      </c>
      <c r="F193" s="291">
        <v>0</v>
      </c>
      <c r="G193" s="291">
        <v>65716.351999999999</v>
      </c>
      <c r="H193" s="291">
        <v>253698.019</v>
      </c>
      <c r="I193" s="291">
        <v>111745.86</v>
      </c>
      <c r="J193" s="291">
        <v>17852.532999999999</v>
      </c>
      <c r="K193" s="291">
        <v>8675.652</v>
      </c>
      <c r="L193" s="291">
        <v>47156.254999999997</v>
      </c>
      <c r="M193" s="291">
        <v>1830.1315</v>
      </c>
      <c r="N193" s="291">
        <v>3284.9785000000002</v>
      </c>
      <c r="O193" s="292">
        <v>779976.29353599995</v>
      </c>
      <c r="P193" s="291">
        <v>-40607.481</v>
      </c>
      <c r="Q193" s="291">
        <v>-2503.5700000000002</v>
      </c>
      <c r="R193" s="291">
        <v>-110802.80499999999</v>
      </c>
      <c r="S193" s="292">
        <v>626062.43753600004</v>
      </c>
      <c r="T193" s="291">
        <v>87.274000000000001</v>
      </c>
      <c r="V193" s="189">
        <f t="shared" si="31"/>
        <v>32.526375622247109</v>
      </c>
      <c r="W193" s="188">
        <f t="shared" si="32"/>
        <v>253.69801899999999</v>
      </c>
    </row>
    <row r="194" spans="1:23" ht="14.25">
      <c r="A194" s="278">
        <v>15</v>
      </c>
      <c r="B194" s="291">
        <v>93609.162039999996</v>
      </c>
      <c r="C194" s="291">
        <v>17951.721519999999</v>
      </c>
      <c r="D194" s="291">
        <v>162539.29699999999</v>
      </c>
      <c r="E194" s="291">
        <v>13857.466</v>
      </c>
      <c r="F194" s="291">
        <v>0</v>
      </c>
      <c r="G194" s="291">
        <v>126591.87300000001</v>
      </c>
      <c r="H194" s="291">
        <v>90665.316000000006</v>
      </c>
      <c r="I194" s="291">
        <v>122814.326</v>
      </c>
      <c r="J194" s="291">
        <v>20688.526000000002</v>
      </c>
      <c r="K194" s="291">
        <v>9765.2219999999998</v>
      </c>
      <c r="L194" s="291">
        <v>61676.464999999997</v>
      </c>
      <c r="M194" s="291">
        <v>2171.7055</v>
      </c>
      <c r="N194" s="291">
        <v>3720.2255</v>
      </c>
      <c r="O194" s="292">
        <v>726051.30556000001</v>
      </c>
      <c r="P194" s="291">
        <v>-12624.68</v>
      </c>
      <c r="Q194" s="291">
        <v>-1426.895</v>
      </c>
      <c r="R194" s="291">
        <v>-85881.646999999997</v>
      </c>
      <c r="S194" s="292">
        <v>626118.08356000006</v>
      </c>
      <c r="T194" s="291">
        <v>102.425</v>
      </c>
      <c r="V194" s="189">
        <f t="shared" si="31"/>
        <v>12.487453063674375</v>
      </c>
      <c r="W194" s="188">
        <f t="shared" si="32"/>
        <v>90.665316000000004</v>
      </c>
    </row>
    <row r="195" spans="1:23" ht="14.25">
      <c r="A195" s="278">
        <v>16</v>
      </c>
      <c r="B195" s="291">
        <v>65220.121551999997</v>
      </c>
      <c r="C195" s="291">
        <v>21313.342944</v>
      </c>
      <c r="D195" s="291">
        <v>168914.43599999999</v>
      </c>
      <c r="E195" s="291">
        <v>13837.592000000001</v>
      </c>
      <c r="F195" s="291">
        <v>0</v>
      </c>
      <c r="G195" s="291">
        <v>54819.69</v>
      </c>
      <c r="H195" s="291">
        <v>230406.139</v>
      </c>
      <c r="I195" s="291">
        <v>108360.68399999999</v>
      </c>
      <c r="J195" s="291">
        <v>16036.555</v>
      </c>
      <c r="K195" s="291">
        <v>9889.5310000000009</v>
      </c>
      <c r="L195" s="291">
        <v>57964.292999999998</v>
      </c>
      <c r="M195" s="291">
        <v>2082.6295</v>
      </c>
      <c r="N195" s="291">
        <v>3496.6084999999998</v>
      </c>
      <c r="O195" s="292">
        <v>752341.62249600003</v>
      </c>
      <c r="P195" s="291">
        <v>-31581.866999999998</v>
      </c>
      <c r="Q195" s="291">
        <v>-2781.9940000000001</v>
      </c>
      <c r="R195" s="291">
        <v>-90705.207999999999</v>
      </c>
      <c r="S195" s="292">
        <v>627272.55349600001</v>
      </c>
      <c r="T195" s="291">
        <v>84.617000000000004</v>
      </c>
      <c r="V195" s="189">
        <f t="shared" si="31"/>
        <v>30.625201651823403</v>
      </c>
      <c r="W195" s="188">
        <f t="shared" si="32"/>
        <v>230.406139</v>
      </c>
    </row>
    <row r="196" spans="1:23" ht="14.25">
      <c r="A196" s="278">
        <v>17</v>
      </c>
      <c r="B196" s="291">
        <v>60877.605808</v>
      </c>
      <c r="C196" s="291">
        <v>23695.263512000001</v>
      </c>
      <c r="D196" s="291">
        <v>169340.39499999999</v>
      </c>
      <c r="E196" s="291">
        <v>13806.394</v>
      </c>
      <c r="F196" s="291">
        <v>0</v>
      </c>
      <c r="G196" s="291">
        <v>48498.438000000002</v>
      </c>
      <c r="H196" s="291">
        <v>279331.56599999999</v>
      </c>
      <c r="I196" s="291">
        <v>84135.051000000007</v>
      </c>
      <c r="J196" s="291">
        <v>7372.152</v>
      </c>
      <c r="K196" s="291">
        <v>9432.9079999999994</v>
      </c>
      <c r="L196" s="291">
        <v>56321.110999999997</v>
      </c>
      <c r="M196" s="291">
        <v>2046.538</v>
      </c>
      <c r="N196" s="291">
        <v>3524.241</v>
      </c>
      <c r="O196" s="292">
        <v>758381.66332000005</v>
      </c>
      <c r="P196" s="291">
        <v>-36450.766000000003</v>
      </c>
      <c r="Q196" s="291">
        <v>-2619.6480000000001</v>
      </c>
      <c r="R196" s="291">
        <v>-94488.123999999996</v>
      </c>
      <c r="S196" s="292">
        <v>624823.12531999999</v>
      </c>
      <c r="T196" s="291">
        <v>67.83</v>
      </c>
      <c r="V196" s="189">
        <f t="shared" si="31"/>
        <v>36.832584371457266</v>
      </c>
      <c r="W196" s="188">
        <f t="shared" si="32"/>
        <v>279.33156600000001</v>
      </c>
    </row>
    <row r="197" spans="1:23" ht="14.25">
      <c r="A197" s="278">
        <v>18</v>
      </c>
      <c r="B197" s="291">
        <v>72443.569912000006</v>
      </c>
      <c r="C197" s="291">
        <v>15602.729352</v>
      </c>
      <c r="D197" s="291">
        <v>169567.93299999999</v>
      </c>
      <c r="E197" s="291">
        <v>11791.749</v>
      </c>
      <c r="F197" s="291">
        <v>0</v>
      </c>
      <c r="G197" s="291">
        <v>50860.870999999999</v>
      </c>
      <c r="H197" s="291">
        <v>180956.20499999999</v>
      </c>
      <c r="I197" s="291">
        <v>80764.622000000003</v>
      </c>
      <c r="J197" s="291">
        <v>5535.8010000000004</v>
      </c>
      <c r="K197" s="291">
        <v>10301.950000000001</v>
      </c>
      <c r="L197" s="291">
        <v>58967.462</v>
      </c>
      <c r="M197" s="291">
        <v>2129.9225000000001</v>
      </c>
      <c r="N197" s="291">
        <v>3844.0715</v>
      </c>
      <c r="O197" s="292">
        <v>662766.88626399997</v>
      </c>
      <c r="P197" s="291">
        <v>-31057.01</v>
      </c>
      <c r="Q197" s="291">
        <v>-2912.9760000000001</v>
      </c>
      <c r="R197" s="291">
        <v>-68370.843999999997</v>
      </c>
      <c r="S197" s="292">
        <v>560426.05626400001</v>
      </c>
      <c r="T197" s="291">
        <v>84.061000000000007</v>
      </c>
      <c r="V197" s="189">
        <f t="shared" si="31"/>
        <v>27.303145155613535</v>
      </c>
      <c r="W197" s="188">
        <f t="shared" si="32"/>
        <v>180.95620499999998</v>
      </c>
    </row>
    <row r="198" spans="1:23" ht="14.25">
      <c r="A198" s="278">
        <v>19</v>
      </c>
      <c r="B198" s="291">
        <v>64675.024060000003</v>
      </c>
      <c r="C198" s="291">
        <v>14609.798228</v>
      </c>
      <c r="D198" s="291">
        <v>169585.41200000001</v>
      </c>
      <c r="E198" s="291">
        <v>11886.324000000001</v>
      </c>
      <c r="F198" s="291">
        <v>0</v>
      </c>
      <c r="G198" s="291">
        <v>99346.456000000006</v>
      </c>
      <c r="H198" s="291">
        <v>87045.945000000007</v>
      </c>
      <c r="I198" s="291">
        <v>115798.535</v>
      </c>
      <c r="J198" s="291">
        <v>18148.825000000001</v>
      </c>
      <c r="K198" s="291">
        <v>10356.947</v>
      </c>
      <c r="L198" s="291">
        <v>57881.328000000001</v>
      </c>
      <c r="M198" s="291">
        <v>1779.8119999999999</v>
      </c>
      <c r="N198" s="291">
        <v>3344.9349999999999</v>
      </c>
      <c r="O198" s="292">
        <v>654459.341288</v>
      </c>
      <c r="P198" s="291">
        <v>-34802.998</v>
      </c>
      <c r="Q198" s="291">
        <v>-2445.768</v>
      </c>
      <c r="R198" s="291">
        <v>-103502.982</v>
      </c>
      <c r="S198" s="292">
        <v>513707.59328799997</v>
      </c>
      <c r="T198" s="291">
        <v>107.325</v>
      </c>
      <c r="V198" s="189">
        <f t="shared" si="31"/>
        <v>13.300435872561678</v>
      </c>
      <c r="W198" s="188">
        <f t="shared" si="32"/>
        <v>87.045945000000003</v>
      </c>
    </row>
    <row r="199" spans="1:23" ht="14.25">
      <c r="A199" s="278">
        <v>20</v>
      </c>
      <c r="B199" s="291">
        <v>82547.392267999996</v>
      </c>
      <c r="C199" s="291">
        <v>14844.3475</v>
      </c>
      <c r="D199" s="291">
        <v>169480.19699999999</v>
      </c>
      <c r="E199" s="291">
        <v>12853.544</v>
      </c>
      <c r="F199" s="291">
        <v>0</v>
      </c>
      <c r="G199" s="291">
        <v>129219.766</v>
      </c>
      <c r="H199" s="291">
        <v>70674.600999999995</v>
      </c>
      <c r="I199" s="291">
        <v>123736.575</v>
      </c>
      <c r="J199" s="291">
        <v>21025.800999999999</v>
      </c>
      <c r="K199" s="291">
        <v>10251.203</v>
      </c>
      <c r="L199" s="291">
        <v>62166.73</v>
      </c>
      <c r="M199" s="291">
        <v>1926.2075</v>
      </c>
      <c r="N199" s="291">
        <v>3655.1104999999998</v>
      </c>
      <c r="O199" s="292">
        <v>702381.47476799996</v>
      </c>
      <c r="P199" s="291">
        <v>-20601.855</v>
      </c>
      <c r="Q199" s="291">
        <v>-2827.3969999999999</v>
      </c>
      <c r="R199" s="291">
        <v>-79386.903000000006</v>
      </c>
      <c r="S199" s="292">
        <v>599565.31976800004</v>
      </c>
      <c r="T199" s="291">
        <v>89.191999999999993</v>
      </c>
      <c r="V199" s="189">
        <f t="shared" si="31"/>
        <v>10.062139099460754</v>
      </c>
      <c r="W199" s="188">
        <f t="shared" si="32"/>
        <v>70.674600999999996</v>
      </c>
    </row>
    <row r="200" spans="1:23" ht="14.25">
      <c r="A200" s="278">
        <v>21</v>
      </c>
      <c r="B200" s="291">
        <v>82035.023295999999</v>
      </c>
      <c r="C200" s="291">
        <v>18928.623744</v>
      </c>
      <c r="D200" s="291">
        <v>169282.69</v>
      </c>
      <c r="E200" s="291">
        <v>12409.433999999999</v>
      </c>
      <c r="F200" s="291">
        <v>0</v>
      </c>
      <c r="G200" s="291">
        <v>128137.54</v>
      </c>
      <c r="H200" s="291">
        <v>55528.963000000003</v>
      </c>
      <c r="I200" s="291">
        <v>119803.257</v>
      </c>
      <c r="J200" s="291">
        <v>20087.607</v>
      </c>
      <c r="K200" s="291">
        <v>10056.456</v>
      </c>
      <c r="L200" s="291">
        <v>62303.180999999997</v>
      </c>
      <c r="M200" s="291">
        <v>1932.4704999999999</v>
      </c>
      <c r="N200" s="291">
        <v>3539.8735000000001</v>
      </c>
      <c r="O200" s="292">
        <v>684045.11904000002</v>
      </c>
      <c r="P200" s="291">
        <v>-8852.4719999999998</v>
      </c>
      <c r="Q200" s="291">
        <v>-3019.8960000000002</v>
      </c>
      <c r="R200" s="291">
        <v>-49728.832000000002</v>
      </c>
      <c r="S200" s="292">
        <v>622443.91903999995</v>
      </c>
      <c r="T200" s="291">
        <v>102.59</v>
      </c>
      <c r="V200" s="189">
        <f t="shared" si="31"/>
        <v>8.1177339702284907</v>
      </c>
      <c r="W200" s="188">
        <f t="shared" si="32"/>
        <v>55.528963000000005</v>
      </c>
    </row>
    <row r="201" spans="1:23" ht="14.25">
      <c r="A201" s="278">
        <v>22</v>
      </c>
      <c r="B201" s="291">
        <v>70542.198871999994</v>
      </c>
      <c r="C201" s="291">
        <v>19500.766776</v>
      </c>
      <c r="D201" s="291">
        <v>169329.33199999999</v>
      </c>
      <c r="E201" s="291">
        <v>13848.913</v>
      </c>
      <c r="F201" s="291">
        <v>0</v>
      </c>
      <c r="G201" s="291">
        <v>77829.922000000006</v>
      </c>
      <c r="H201" s="291">
        <v>123831.39599999999</v>
      </c>
      <c r="I201" s="291">
        <v>121941.15399999999</v>
      </c>
      <c r="J201" s="291">
        <v>21524.06</v>
      </c>
      <c r="K201" s="291">
        <v>9904.8850000000002</v>
      </c>
      <c r="L201" s="291">
        <v>59370.923000000003</v>
      </c>
      <c r="M201" s="291">
        <v>1884.9749999999999</v>
      </c>
      <c r="N201" s="291">
        <v>3440.2669999999998</v>
      </c>
      <c r="O201" s="292">
        <v>692948.79264799994</v>
      </c>
      <c r="P201" s="291">
        <v>-25792.769</v>
      </c>
      <c r="Q201" s="291">
        <v>-2269.4690000000001</v>
      </c>
      <c r="R201" s="291">
        <v>-42001.65</v>
      </c>
      <c r="S201" s="292">
        <v>622884.90464800003</v>
      </c>
      <c r="T201" s="291">
        <v>105.46599999999999</v>
      </c>
      <c r="V201" s="189">
        <f t="shared" si="31"/>
        <v>17.870208782209847</v>
      </c>
      <c r="W201" s="188">
        <f t="shared" si="32"/>
        <v>123.831396</v>
      </c>
    </row>
    <row r="202" spans="1:23" ht="14.25">
      <c r="A202" s="278">
        <v>23</v>
      </c>
      <c r="B202" s="291">
        <v>60387.97004</v>
      </c>
      <c r="C202" s="291">
        <v>21143.643248</v>
      </c>
      <c r="D202" s="291">
        <v>169100.06899999999</v>
      </c>
      <c r="E202" s="291">
        <v>13133.371999999999</v>
      </c>
      <c r="F202" s="291">
        <v>0</v>
      </c>
      <c r="G202" s="291">
        <v>48924.411</v>
      </c>
      <c r="H202" s="291">
        <v>202489.12599999999</v>
      </c>
      <c r="I202" s="291">
        <v>111085.645</v>
      </c>
      <c r="J202" s="291">
        <v>18655.133999999998</v>
      </c>
      <c r="K202" s="291">
        <v>9700.6170000000002</v>
      </c>
      <c r="L202" s="291">
        <v>58574.584000000003</v>
      </c>
      <c r="M202" s="291">
        <v>1826.3515</v>
      </c>
      <c r="N202" s="291">
        <v>3437.9865</v>
      </c>
      <c r="O202" s="292">
        <v>718458.90928799997</v>
      </c>
      <c r="P202" s="291">
        <v>-27105.469000000001</v>
      </c>
      <c r="Q202" s="291">
        <v>-2688.509</v>
      </c>
      <c r="R202" s="291">
        <v>-69232.725999999995</v>
      </c>
      <c r="S202" s="292">
        <v>619432.20528800006</v>
      </c>
      <c r="T202" s="291">
        <v>78.105999999999995</v>
      </c>
      <c r="V202" s="189">
        <f t="shared" si="31"/>
        <v>28.183814464861847</v>
      </c>
      <c r="W202" s="188">
        <f t="shared" si="32"/>
        <v>202.489126</v>
      </c>
    </row>
    <row r="203" spans="1:23" ht="14.25">
      <c r="A203" s="278">
        <v>24</v>
      </c>
      <c r="B203" s="291">
        <v>57685.155703999997</v>
      </c>
      <c r="C203" s="291">
        <v>22532.709439999999</v>
      </c>
      <c r="D203" s="291">
        <v>168983.948</v>
      </c>
      <c r="E203" s="291">
        <v>12779.627</v>
      </c>
      <c r="F203" s="291">
        <v>-1E-3</v>
      </c>
      <c r="G203" s="291">
        <v>49381.599000000002</v>
      </c>
      <c r="H203" s="291">
        <v>251950.39</v>
      </c>
      <c r="I203" s="291">
        <v>85168.316999999995</v>
      </c>
      <c r="J203" s="291">
        <v>8255.4519999999993</v>
      </c>
      <c r="K203" s="291">
        <v>9265.18</v>
      </c>
      <c r="L203" s="291">
        <v>51857.978999999999</v>
      </c>
      <c r="M203" s="291">
        <v>1928.876</v>
      </c>
      <c r="N203" s="291">
        <v>3414.0070000000001</v>
      </c>
      <c r="O203" s="292">
        <v>723203.23914399999</v>
      </c>
      <c r="P203" s="291">
        <v>-36774.15</v>
      </c>
      <c r="Q203" s="291">
        <v>-3180.5569999999998</v>
      </c>
      <c r="R203" s="291">
        <v>-64170.737000000001</v>
      </c>
      <c r="S203" s="292">
        <v>619077.79514399997</v>
      </c>
      <c r="T203" s="291">
        <v>41.262</v>
      </c>
      <c r="V203" s="189">
        <f t="shared" si="31"/>
        <v>34.838116916928399</v>
      </c>
      <c r="W203" s="188">
        <f t="shared" si="32"/>
        <v>251.95039000000003</v>
      </c>
    </row>
    <row r="204" spans="1:23" ht="14.25">
      <c r="A204" s="278">
        <v>25</v>
      </c>
      <c r="B204" s="291">
        <v>47038.153880999998</v>
      </c>
      <c r="C204" s="291">
        <v>23271.227959</v>
      </c>
      <c r="D204" s="291">
        <v>168564.39199999999</v>
      </c>
      <c r="E204" s="291">
        <v>10875.544</v>
      </c>
      <c r="F204" s="291">
        <v>0</v>
      </c>
      <c r="G204" s="291">
        <v>40225.707999999999</v>
      </c>
      <c r="H204" s="291">
        <v>161919.45600000001</v>
      </c>
      <c r="I204" s="291">
        <v>108648.43700000001</v>
      </c>
      <c r="J204" s="291">
        <v>19743.417000000001</v>
      </c>
      <c r="K204" s="291">
        <v>9083.24</v>
      </c>
      <c r="L204" s="291">
        <v>43463.785000000003</v>
      </c>
      <c r="M204" s="291">
        <v>2026.2745</v>
      </c>
      <c r="N204" s="291">
        <v>3404.3525</v>
      </c>
      <c r="O204" s="292">
        <v>638263.98783999996</v>
      </c>
      <c r="P204" s="291">
        <v>-43623.637999999999</v>
      </c>
      <c r="Q204" s="291">
        <v>-2358.7629999999999</v>
      </c>
      <c r="R204" s="291">
        <v>-40267.447</v>
      </c>
      <c r="S204" s="292">
        <v>552014.13983999996</v>
      </c>
      <c r="T204" s="291">
        <v>108.79300000000001</v>
      </c>
      <c r="V204" s="189">
        <f t="shared" si="31"/>
        <v>25.368728157132058</v>
      </c>
      <c r="W204" s="188">
        <f t="shared" si="32"/>
        <v>161.919456</v>
      </c>
    </row>
    <row r="205" spans="1:23" ht="14.25">
      <c r="A205" s="278">
        <v>26</v>
      </c>
      <c r="B205" s="291">
        <v>32883.889159999999</v>
      </c>
      <c r="C205" s="291">
        <v>14436.731016</v>
      </c>
      <c r="D205" s="291">
        <v>154143.18400000001</v>
      </c>
      <c r="E205" s="291">
        <v>10331.5</v>
      </c>
      <c r="F205" s="291">
        <v>0</v>
      </c>
      <c r="G205" s="291">
        <v>34692.661999999997</v>
      </c>
      <c r="H205" s="291">
        <v>252541.04699999999</v>
      </c>
      <c r="I205" s="291">
        <v>97679.012000000002</v>
      </c>
      <c r="J205" s="291">
        <v>16979.489000000001</v>
      </c>
      <c r="K205" s="291">
        <v>6785.5429999999997</v>
      </c>
      <c r="L205" s="291">
        <v>36413.618000000002</v>
      </c>
      <c r="M205" s="291">
        <v>1887.6365000000001</v>
      </c>
      <c r="N205" s="291">
        <v>3149.0275000000001</v>
      </c>
      <c r="O205" s="292">
        <v>661923.33917599998</v>
      </c>
      <c r="P205" s="291">
        <v>-66041.736000000004</v>
      </c>
      <c r="Q205" s="291">
        <v>-2150.712</v>
      </c>
      <c r="R205" s="291">
        <v>-104056.163</v>
      </c>
      <c r="S205" s="292">
        <v>489674.728176</v>
      </c>
      <c r="T205" s="291">
        <v>107.111</v>
      </c>
      <c r="V205" s="189">
        <f t="shared" si="31"/>
        <v>38.152612553951869</v>
      </c>
      <c r="W205" s="188">
        <f t="shared" si="32"/>
        <v>252.54104699999999</v>
      </c>
    </row>
    <row r="206" spans="1:23" ht="14.25">
      <c r="A206" s="278">
        <v>27</v>
      </c>
      <c r="B206" s="291">
        <v>70134.944780000005</v>
      </c>
      <c r="C206" s="291">
        <v>17479.408036000001</v>
      </c>
      <c r="D206" s="291">
        <v>166832.685</v>
      </c>
      <c r="E206" s="291">
        <v>12066.328</v>
      </c>
      <c r="F206" s="291">
        <v>0</v>
      </c>
      <c r="G206" s="291">
        <v>88111.578999999998</v>
      </c>
      <c r="H206" s="291">
        <v>163913.75599999999</v>
      </c>
      <c r="I206" s="291">
        <v>122036.76700000001</v>
      </c>
      <c r="J206" s="291">
        <v>16661.563999999998</v>
      </c>
      <c r="K206" s="291">
        <v>9006.8389999999999</v>
      </c>
      <c r="L206" s="291">
        <v>56516.302000000003</v>
      </c>
      <c r="M206" s="291">
        <v>1933.8655000000001</v>
      </c>
      <c r="N206" s="291">
        <v>3536.8665000000001</v>
      </c>
      <c r="O206" s="292">
        <v>728230.90481600002</v>
      </c>
      <c r="P206" s="291">
        <v>-23567.759999999998</v>
      </c>
      <c r="Q206" s="291">
        <v>-1966.6790000000001</v>
      </c>
      <c r="R206" s="291">
        <v>-105429.549</v>
      </c>
      <c r="S206" s="292">
        <v>597266.91681600001</v>
      </c>
      <c r="T206" s="291">
        <v>113.836</v>
      </c>
      <c r="V206" s="189">
        <f t="shared" si="31"/>
        <v>22.508486651142004</v>
      </c>
      <c r="W206" s="188">
        <f t="shared" si="32"/>
        <v>163.91375600000001</v>
      </c>
    </row>
    <row r="207" spans="1:23" ht="14.25">
      <c r="A207" s="278">
        <v>28</v>
      </c>
      <c r="B207" s="291">
        <v>83279.945703000005</v>
      </c>
      <c r="C207" s="291">
        <v>22069.443512999998</v>
      </c>
      <c r="D207" s="291">
        <v>169165.41</v>
      </c>
      <c r="E207" s="291">
        <v>11773.579</v>
      </c>
      <c r="F207" s="291">
        <v>0</v>
      </c>
      <c r="G207" s="291">
        <v>100446.04300000001</v>
      </c>
      <c r="H207" s="291">
        <v>105192.367</v>
      </c>
      <c r="I207" s="291">
        <v>128506.951</v>
      </c>
      <c r="J207" s="291">
        <v>20283.528999999999</v>
      </c>
      <c r="K207" s="291">
        <v>9858.3250000000007</v>
      </c>
      <c r="L207" s="291">
        <v>61439.661</v>
      </c>
      <c r="M207" s="291">
        <v>1834.3330000000001</v>
      </c>
      <c r="N207" s="291">
        <v>3589.3939999999998</v>
      </c>
      <c r="O207" s="292">
        <v>717438.98121600004</v>
      </c>
      <c r="P207" s="291">
        <v>-23879.505000000001</v>
      </c>
      <c r="Q207" s="291">
        <v>-1961.6690000000001</v>
      </c>
      <c r="R207" s="291">
        <v>-82536.376999999993</v>
      </c>
      <c r="S207" s="292">
        <v>609061.43021599995</v>
      </c>
      <c r="T207" s="291">
        <v>110.444</v>
      </c>
      <c r="V207" s="189">
        <f t="shared" si="31"/>
        <v>14.662203999803245</v>
      </c>
      <c r="W207" s="188">
        <f t="shared" si="32"/>
        <v>105.192367</v>
      </c>
    </row>
    <row r="208" spans="1:23" ht="14.25">
      <c r="A208" s="278">
        <v>29</v>
      </c>
      <c r="B208" s="291">
        <v>62452.077484000001</v>
      </c>
      <c r="C208" s="291">
        <v>28405.592164000002</v>
      </c>
      <c r="D208" s="291">
        <v>169124.413</v>
      </c>
      <c r="E208" s="291">
        <v>11689.246999999999</v>
      </c>
      <c r="F208" s="291">
        <v>0</v>
      </c>
      <c r="G208" s="291">
        <v>45291.37</v>
      </c>
      <c r="H208" s="291">
        <v>205623.764</v>
      </c>
      <c r="I208" s="291">
        <v>112655.84600000001</v>
      </c>
      <c r="J208" s="291">
        <v>21347.763999999999</v>
      </c>
      <c r="K208" s="291">
        <v>9280.7669999999998</v>
      </c>
      <c r="L208" s="291">
        <v>54705.775999999998</v>
      </c>
      <c r="M208" s="291">
        <v>1827.874</v>
      </c>
      <c r="N208" s="291">
        <v>3322.7330000000002</v>
      </c>
      <c r="O208" s="292">
        <v>725727.22364800004</v>
      </c>
      <c r="P208" s="291">
        <v>-33908.508999999998</v>
      </c>
      <c r="Q208" s="291">
        <v>-2938.5929999999998</v>
      </c>
      <c r="R208" s="291">
        <v>-79398.062000000005</v>
      </c>
      <c r="S208" s="292">
        <v>609482.05964800005</v>
      </c>
      <c r="T208" s="291">
        <v>107.608</v>
      </c>
      <c r="V208" s="189">
        <f t="shared" si="31"/>
        <v>28.33347810302536</v>
      </c>
      <c r="W208" s="188">
        <f t="shared" si="32"/>
        <v>205.62376399999999</v>
      </c>
    </row>
    <row r="209" spans="1:23" ht="14.25">
      <c r="A209" s="278">
        <v>30</v>
      </c>
      <c r="B209" s="291">
        <v>56725.348663999997</v>
      </c>
      <c r="C209" s="291">
        <v>26906.258871999999</v>
      </c>
      <c r="D209" s="291">
        <v>168454.359</v>
      </c>
      <c r="E209" s="291">
        <v>11447.554</v>
      </c>
      <c r="F209" s="291">
        <v>0</v>
      </c>
      <c r="G209" s="291">
        <v>35830.044999999998</v>
      </c>
      <c r="H209" s="291">
        <v>254874.14799999999</v>
      </c>
      <c r="I209" s="291">
        <v>102478.306</v>
      </c>
      <c r="J209" s="291">
        <v>17925.784</v>
      </c>
      <c r="K209" s="291">
        <v>7603.1080000000002</v>
      </c>
      <c r="L209" s="291">
        <v>44684.425999999999</v>
      </c>
      <c r="M209" s="291">
        <v>1894.1355000000001</v>
      </c>
      <c r="N209" s="291">
        <v>3418.6824999999999</v>
      </c>
      <c r="O209" s="292">
        <v>732242.15553600003</v>
      </c>
      <c r="P209" s="291">
        <v>-33024.404999999999</v>
      </c>
      <c r="Q209" s="291">
        <v>-3173.645</v>
      </c>
      <c r="R209" s="291">
        <v>-84595.542000000001</v>
      </c>
      <c r="S209" s="292">
        <v>611448.56353599997</v>
      </c>
      <c r="T209" s="291">
        <v>99.572000000000003</v>
      </c>
      <c r="V209" s="189">
        <f t="shared" si="31"/>
        <v>34.807357931124919</v>
      </c>
      <c r="W209" s="188">
        <f t="shared" si="32"/>
        <v>254.87414799999999</v>
      </c>
    </row>
    <row r="210" spans="1:23" ht="14.25">
      <c r="A210" s="278">
        <v>31</v>
      </c>
      <c r="B210" s="291">
        <v>51027.427637000001</v>
      </c>
      <c r="C210" s="291">
        <v>16909.222603999999</v>
      </c>
      <c r="D210" s="291">
        <v>134862.73499999999</v>
      </c>
      <c r="E210" s="291">
        <v>11839.954</v>
      </c>
      <c r="F210" s="291">
        <v>0</v>
      </c>
      <c r="G210" s="291">
        <v>35055.974999999999</v>
      </c>
      <c r="H210" s="291">
        <v>366331.63</v>
      </c>
      <c r="I210" s="291">
        <v>85107.035000000003</v>
      </c>
      <c r="J210" s="291">
        <v>10474.33</v>
      </c>
      <c r="K210" s="291">
        <v>4775.2719999999999</v>
      </c>
      <c r="L210" s="291">
        <v>39273.580999999998</v>
      </c>
      <c r="M210" s="291">
        <v>1991.3209999999999</v>
      </c>
      <c r="N210" s="291">
        <v>3281.067</v>
      </c>
      <c r="O210" s="292">
        <v>760929.55024100002</v>
      </c>
      <c r="P210" s="291">
        <v>-54396.224999999999</v>
      </c>
      <c r="Q210" s="291">
        <v>-3446.9290000000001</v>
      </c>
      <c r="R210" s="291">
        <v>-93733.395999999993</v>
      </c>
      <c r="S210" s="292">
        <v>609353.00024099997</v>
      </c>
      <c r="T210" s="291">
        <v>60.716000000000001</v>
      </c>
      <c r="V210" s="189">
        <f t="shared" si="31"/>
        <v>48.142647355984039</v>
      </c>
      <c r="W210" s="188">
        <f t="shared" si="32"/>
        <v>366.33163000000002</v>
      </c>
    </row>
    <row r="211" spans="1:23">
      <c r="G211">
        <f>MAX(G180:G210)</f>
        <v>218091.274</v>
      </c>
      <c r="H211">
        <f>MAX(H180:H210)</f>
        <v>409972.94199999998</v>
      </c>
      <c r="I211">
        <f>MAX(I180:I210)</f>
        <v>128506.951</v>
      </c>
    </row>
    <row r="215" spans="1:23">
      <c r="A215" s="166" t="s">
        <v>31</v>
      </c>
      <c r="B215" s="314" t="s">
        <v>237</v>
      </c>
      <c r="C215" s="315"/>
      <c r="D215" s="315"/>
      <c r="E215" s="315"/>
      <c r="F215" s="315"/>
      <c r="G215" s="315"/>
      <c r="H215" s="315"/>
      <c r="I215" s="315"/>
      <c r="J215" s="315"/>
      <c r="K215" s="315"/>
      <c r="L215" s="315"/>
      <c r="M215" s="315"/>
      <c r="N215" s="315"/>
      <c r="O215" s="315"/>
      <c r="P215" s="315"/>
      <c r="Q215" s="315"/>
      <c r="R215" s="315"/>
      <c r="S215" s="315"/>
      <c r="T215" s="315"/>
    </row>
    <row r="216" spans="1:23">
      <c r="A216" s="166" t="s">
        <v>105</v>
      </c>
      <c r="B216" s="316" t="s">
        <v>98</v>
      </c>
      <c r="C216" s="317"/>
      <c r="D216" s="317"/>
      <c r="E216" s="317"/>
      <c r="F216" s="317"/>
      <c r="G216" s="317"/>
      <c r="H216" s="317"/>
      <c r="I216" s="317"/>
      <c r="J216" s="317"/>
      <c r="K216" s="317"/>
      <c r="L216" s="317"/>
      <c r="M216" s="317"/>
      <c r="N216" s="317"/>
      <c r="O216" s="317"/>
      <c r="P216" s="317"/>
      <c r="Q216" s="317"/>
      <c r="R216" s="317"/>
      <c r="S216" s="317"/>
      <c r="T216" s="317"/>
    </row>
    <row r="217" spans="1:23">
      <c r="A217" s="166" t="s">
        <v>106</v>
      </c>
      <c r="B217" s="318" t="s">
        <v>120</v>
      </c>
      <c r="C217" s="319"/>
      <c r="D217" s="319"/>
      <c r="E217" s="319"/>
      <c r="F217" s="319"/>
      <c r="G217" s="319"/>
      <c r="H217" s="319"/>
      <c r="I217" s="319"/>
      <c r="J217" s="319"/>
      <c r="K217" s="319"/>
      <c r="L217" s="319"/>
      <c r="M217" s="319"/>
      <c r="N217" s="319"/>
      <c r="O217" s="319"/>
      <c r="P217" s="319"/>
      <c r="Q217" s="319"/>
      <c r="R217" s="319"/>
      <c r="S217" s="319"/>
      <c r="T217" s="319"/>
    </row>
    <row r="218" spans="1:23">
      <c r="A218" s="170" t="s">
        <v>107</v>
      </c>
      <c r="B218" s="297" t="s">
        <v>2</v>
      </c>
      <c r="C218" s="297" t="s">
        <v>81</v>
      </c>
      <c r="D218" s="297" t="s">
        <v>3</v>
      </c>
      <c r="E218" s="297" t="s">
        <v>4</v>
      </c>
      <c r="F218" s="297" t="s">
        <v>95</v>
      </c>
      <c r="G218" s="297" t="s">
        <v>11</v>
      </c>
      <c r="H218" s="297" t="s">
        <v>5</v>
      </c>
      <c r="I218" s="297" t="s">
        <v>6</v>
      </c>
      <c r="J218" s="297" t="s">
        <v>7</v>
      </c>
      <c r="K218" s="297" t="s">
        <v>8</v>
      </c>
      <c r="L218" s="297" t="s">
        <v>9</v>
      </c>
      <c r="M218" s="297" t="s">
        <v>69</v>
      </c>
      <c r="N218" s="297" t="s">
        <v>70</v>
      </c>
      <c r="O218" s="185" t="s">
        <v>10</v>
      </c>
      <c r="P218" s="297" t="s">
        <v>121</v>
      </c>
      <c r="Q218" s="297" t="s">
        <v>97</v>
      </c>
      <c r="R218" s="297" t="s">
        <v>122</v>
      </c>
      <c r="S218" s="185" t="s">
        <v>123</v>
      </c>
      <c r="T218" s="297" t="s">
        <v>221</v>
      </c>
      <c r="V218" s="187" t="s">
        <v>124</v>
      </c>
    </row>
    <row r="219" spans="1:23" ht="14.25">
      <c r="A219" s="170" t="s">
        <v>119</v>
      </c>
      <c r="B219" s="277"/>
      <c r="C219" s="277"/>
      <c r="D219" s="277"/>
      <c r="E219" s="277"/>
      <c r="F219" s="277"/>
      <c r="G219" s="277"/>
      <c r="H219" s="277"/>
      <c r="I219" s="277"/>
      <c r="J219" s="277"/>
      <c r="K219" s="277"/>
      <c r="L219" s="277"/>
      <c r="M219" s="277"/>
      <c r="N219" s="277"/>
      <c r="O219" s="186"/>
      <c r="P219" s="277"/>
      <c r="Q219" s="277"/>
      <c r="R219" s="277"/>
      <c r="S219" s="186"/>
      <c r="T219" s="277"/>
      <c r="V219" s="188"/>
    </row>
    <row r="220" spans="1:23" ht="14.25">
      <c r="A220" s="278">
        <v>1</v>
      </c>
      <c r="B220" s="291">
        <v>1.891498444</v>
      </c>
      <c r="C220" s="291">
        <v>0.67039055599999997</v>
      </c>
      <c r="D220" s="291">
        <v>7.0635620000000001</v>
      </c>
      <c r="E220" s="291">
        <v>0.46775800000000001</v>
      </c>
      <c r="F220" s="291">
        <v>0</v>
      </c>
      <c r="G220" s="291">
        <v>1.0601210000000001</v>
      </c>
      <c r="H220" s="291">
        <v>15.534376999999999</v>
      </c>
      <c r="I220" s="291">
        <v>3.3500000000000001E-4</v>
      </c>
      <c r="J220" s="291">
        <v>8.7320000000000002E-3</v>
      </c>
      <c r="K220" s="291">
        <v>0.43705699999999997</v>
      </c>
      <c r="L220" s="291">
        <v>2.3038889999999999</v>
      </c>
      <c r="M220" s="291">
        <v>8.7506500000000001E-2</v>
      </c>
      <c r="N220" s="291">
        <v>0.15586050000000001</v>
      </c>
      <c r="O220" s="292">
        <v>29.681087000000002</v>
      </c>
      <c r="P220" s="291">
        <v>-0.50915100000000002</v>
      </c>
      <c r="Q220" s="291">
        <v>-0.101477</v>
      </c>
      <c r="R220" s="291">
        <v>-4.2748359999999996</v>
      </c>
      <c r="S220" s="292">
        <v>24.795622999999999</v>
      </c>
      <c r="T220" s="291">
        <v>0</v>
      </c>
      <c r="V220" s="189">
        <f>IFERROR(H220/O220*100,"")</f>
        <v>52.3376283355121</v>
      </c>
    </row>
    <row r="221" spans="1:23" ht="14.25">
      <c r="A221" s="278">
        <v>2</v>
      </c>
      <c r="B221" s="291">
        <v>1.7789276439999999</v>
      </c>
      <c r="C221" s="291">
        <v>0.73606335599999995</v>
      </c>
      <c r="D221" s="291">
        <v>7.0622470000000002</v>
      </c>
      <c r="E221" s="291">
        <v>0.47929100000000002</v>
      </c>
      <c r="F221" s="291">
        <v>0</v>
      </c>
      <c r="G221" s="291">
        <v>0.96162300000000001</v>
      </c>
      <c r="H221" s="291">
        <v>15.017087999999999</v>
      </c>
      <c r="I221" s="291">
        <v>3.2899999999999997E-4</v>
      </c>
      <c r="J221" s="291">
        <v>8.9099999999999995E-3</v>
      </c>
      <c r="K221" s="291">
        <v>0.432311</v>
      </c>
      <c r="L221" s="291">
        <v>2.26173</v>
      </c>
      <c r="M221" s="291">
        <v>8.3823499999999995E-2</v>
      </c>
      <c r="N221" s="291">
        <v>0.14973249999999999</v>
      </c>
      <c r="O221" s="292">
        <v>28.972076000000001</v>
      </c>
      <c r="P221" s="291">
        <v>-1.386206</v>
      </c>
      <c r="Q221" s="291">
        <v>-8.2338999999999996E-2</v>
      </c>
      <c r="R221" s="291">
        <v>-4.1833720000000003</v>
      </c>
      <c r="S221" s="292">
        <v>23.320159</v>
      </c>
      <c r="T221" s="291">
        <v>0</v>
      </c>
      <c r="V221" s="189">
        <f t="shared" ref="V221:V246" si="33">IFERROR(H221/O221*100,"")</f>
        <v>51.832971858834</v>
      </c>
    </row>
    <row r="222" spans="1:23" ht="14.25">
      <c r="A222" s="278">
        <v>3</v>
      </c>
      <c r="B222" s="291">
        <v>1.7399055160000001</v>
      </c>
      <c r="C222" s="291">
        <v>0.79037148400000001</v>
      </c>
      <c r="D222" s="291">
        <v>7.0626319999999998</v>
      </c>
      <c r="E222" s="291">
        <v>0.47097499999999998</v>
      </c>
      <c r="F222" s="291">
        <v>0</v>
      </c>
      <c r="G222" s="291">
        <v>0.869703</v>
      </c>
      <c r="H222" s="291">
        <v>14.546760000000001</v>
      </c>
      <c r="I222" s="291">
        <v>3.4600000000000001E-4</v>
      </c>
      <c r="J222" s="291">
        <v>8.8380000000000004E-3</v>
      </c>
      <c r="K222" s="291">
        <v>0.43122300000000002</v>
      </c>
      <c r="L222" s="291">
        <v>2.2397179999999999</v>
      </c>
      <c r="M222" s="291">
        <v>8.3083000000000004E-2</v>
      </c>
      <c r="N222" s="291">
        <v>0.13833699999999999</v>
      </c>
      <c r="O222" s="292">
        <v>28.381892000000001</v>
      </c>
      <c r="P222" s="291">
        <v>-1.8431930000000001</v>
      </c>
      <c r="Q222" s="291">
        <v>-8.1821000000000005E-2</v>
      </c>
      <c r="R222" s="291">
        <v>-4.0641439999999998</v>
      </c>
      <c r="S222" s="292">
        <v>22.392734000000001</v>
      </c>
      <c r="T222" s="291">
        <v>0</v>
      </c>
      <c r="V222" s="189">
        <f t="shared" si="33"/>
        <v>51.2536655413952</v>
      </c>
    </row>
    <row r="223" spans="1:23" ht="14.25">
      <c r="A223" s="278">
        <v>4</v>
      </c>
      <c r="B223" s="291">
        <v>1.486222376</v>
      </c>
      <c r="C223" s="291">
        <v>0.84961482399999999</v>
      </c>
      <c r="D223" s="291">
        <v>7.0684620000000002</v>
      </c>
      <c r="E223" s="291">
        <v>0.46689599999999998</v>
      </c>
      <c r="F223" s="291">
        <v>0</v>
      </c>
      <c r="G223" s="291">
        <v>0.81117600000000001</v>
      </c>
      <c r="H223" s="291">
        <v>14.455088999999999</v>
      </c>
      <c r="I223" s="291">
        <v>3.5300000000000002E-4</v>
      </c>
      <c r="J223" s="291">
        <v>8.9200000000000008E-3</v>
      </c>
      <c r="K223" s="291">
        <v>0.41853000000000001</v>
      </c>
      <c r="L223" s="291">
        <v>2.2397589999999998</v>
      </c>
      <c r="M223" s="291">
        <v>8.7120000000000003E-2</v>
      </c>
      <c r="N223" s="291">
        <v>0.140648</v>
      </c>
      <c r="O223" s="292">
        <v>28.032790200000001</v>
      </c>
      <c r="P223" s="291">
        <v>-1.9969939999999999</v>
      </c>
      <c r="Q223" s="291">
        <v>-8.1777000000000002E-2</v>
      </c>
      <c r="R223" s="291">
        <v>-3.9551280000000002</v>
      </c>
      <c r="S223" s="292">
        <v>21.998891199999999</v>
      </c>
      <c r="T223" s="291">
        <v>0</v>
      </c>
      <c r="V223" s="189">
        <f t="shared" si="33"/>
        <v>51.564931271094082</v>
      </c>
    </row>
    <row r="224" spans="1:23" ht="14.25">
      <c r="A224" s="278">
        <v>5</v>
      </c>
      <c r="B224" s="291">
        <v>1.6177819490000001</v>
      </c>
      <c r="C224" s="291">
        <v>0.74421005100000004</v>
      </c>
      <c r="D224" s="291">
        <v>7.0658000000000003</v>
      </c>
      <c r="E224" s="291">
        <v>0.47858600000000001</v>
      </c>
      <c r="F224" s="291">
        <v>0</v>
      </c>
      <c r="G224" s="291">
        <v>0.91569</v>
      </c>
      <c r="H224" s="291">
        <v>14.035437999999999</v>
      </c>
      <c r="I224" s="291">
        <v>3.4299999999999999E-4</v>
      </c>
      <c r="J224" s="291">
        <v>8.9800000000000001E-3</v>
      </c>
      <c r="K224" s="291">
        <v>0.42301699999999998</v>
      </c>
      <c r="L224" s="291">
        <v>2.2373150000000002</v>
      </c>
      <c r="M224" s="291">
        <v>8.6080000000000004E-2</v>
      </c>
      <c r="N224" s="291">
        <v>0.14452200000000001</v>
      </c>
      <c r="O224" s="292">
        <v>27.757763000000001</v>
      </c>
      <c r="P224" s="291">
        <v>-2.0495869999999998</v>
      </c>
      <c r="Q224" s="291">
        <v>-8.2339999999999997E-2</v>
      </c>
      <c r="R224" s="291">
        <v>-3.663904</v>
      </c>
      <c r="S224" s="292">
        <v>21.961932000000001</v>
      </c>
      <c r="T224" s="291">
        <v>0</v>
      </c>
      <c r="V224" s="189">
        <f t="shared" si="33"/>
        <v>50.56400978709992</v>
      </c>
    </row>
    <row r="225" spans="1:22" ht="14.25">
      <c r="A225" s="278">
        <v>6</v>
      </c>
      <c r="B225" s="291">
        <v>2.0221362350000001</v>
      </c>
      <c r="C225" s="291">
        <v>0.504540565</v>
      </c>
      <c r="D225" s="291">
        <v>7.0688839999999997</v>
      </c>
      <c r="E225" s="291">
        <v>0.471717</v>
      </c>
      <c r="F225" s="291">
        <v>0</v>
      </c>
      <c r="G225" s="291">
        <v>0.96393700000000004</v>
      </c>
      <c r="H225" s="291">
        <v>13.681797</v>
      </c>
      <c r="I225" s="291">
        <v>3.6900000000000002E-4</v>
      </c>
      <c r="J225" s="291">
        <v>8.9499999999999996E-3</v>
      </c>
      <c r="K225" s="291">
        <v>0.42397000000000001</v>
      </c>
      <c r="L225" s="291">
        <v>2.240758</v>
      </c>
      <c r="M225" s="291">
        <v>8.6828500000000003E-2</v>
      </c>
      <c r="N225" s="291">
        <v>0.14578150000000001</v>
      </c>
      <c r="O225" s="292">
        <v>27.619668799999999</v>
      </c>
      <c r="P225" s="291">
        <v>-1.3062739999999999</v>
      </c>
      <c r="Q225" s="291">
        <v>-0.102298</v>
      </c>
      <c r="R225" s="291">
        <v>-3.665619</v>
      </c>
      <c r="S225" s="292">
        <v>22.5454778</v>
      </c>
      <c r="T225" s="291">
        <v>0</v>
      </c>
      <c r="V225" s="189">
        <f t="shared" si="33"/>
        <v>49.536426736587082</v>
      </c>
    </row>
    <row r="226" spans="1:22" ht="14.25">
      <c r="A226" s="278">
        <v>7</v>
      </c>
      <c r="B226" s="291">
        <v>2.23964154</v>
      </c>
      <c r="C226" s="291">
        <v>0.51685365999999999</v>
      </c>
      <c r="D226" s="291">
        <v>7.0690470000000003</v>
      </c>
      <c r="E226" s="291">
        <v>0.48863000000000001</v>
      </c>
      <c r="F226" s="291">
        <v>0</v>
      </c>
      <c r="G226" s="291">
        <v>1.119901</v>
      </c>
      <c r="H226" s="291">
        <v>13.924918999999999</v>
      </c>
      <c r="I226" s="291">
        <v>4.4799999999999999E-4</v>
      </c>
      <c r="J226" s="291">
        <v>8.7799999999999996E-3</v>
      </c>
      <c r="K226" s="291">
        <v>0.41310400000000003</v>
      </c>
      <c r="L226" s="291">
        <v>2.3161649999999998</v>
      </c>
      <c r="M226" s="291">
        <v>8.7754499999999999E-2</v>
      </c>
      <c r="N226" s="291">
        <v>0.15152850000000001</v>
      </c>
      <c r="O226" s="292">
        <v>28.336772199999999</v>
      </c>
      <c r="P226" s="291">
        <v>-0.15986</v>
      </c>
      <c r="Q226" s="291">
        <v>-0.15262500000000001</v>
      </c>
      <c r="R226" s="291">
        <v>-2.9537599999999999</v>
      </c>
      <c r="S226" s="292">
        <v>25.070527200000001</v>
      </c>
      <c r="T226" s="291">
        <v>0</v>
      </c>
      <c r="V226" s="189">
        <f t="shared" si="33"/>
        <v>49.140808634513427</v>
      </c>
    </row>
    <row r="227" spans="1:22" ht="14.25">
      <c r="A227" s="278">
        <v>8</v>
      </c>
      <c r="B227" s="291">
        <v>2.9394143279999998</v>
      </c>
      <c r="C227" s="291">
        <v>0.84746527199999999</v>
      </c>
      <c r="D227" s="291">
        <v>7.0689770000000003</v>
      </c>
      <c r="E227" s="291">
        <v>0.55535599999999996</v>
      </c>
      <c r="F227" s="291">
        <v>0</v>
      </c>
      <c r="G227" s="291">
        <v>1.4585319999999999</v>
      </c>
      <c r="H227" s="291">
        <v>14.356825000000001</v>
      </c>
      <c r="I227" s="291">
        <v>2.1257000000000002E-2</v>
      </c>
      <c r="J227" s="291">
        <v>8.7600000000000004E-3</v>
      </c>
      <c r="K227" s="291">
        <v>0.40932299999999999</v>
      </c>
      <c r="L227" s="291">
        <v>2.3188019999999998</v>
      </c>
      <c r="M227" s="291">
        <v>8.6014999999999994E-2</v>
      </c>
      <c r="N227" s="291">
        <v>0.15246899999999999</v>
      </c>
      <c r="O227" s="292">
        <v>30.2231956</v>
      </c>
      <c r="P227" s="291">
        <v>-3.3430000000000001E-3</v>
      </c>
      <c r="Q227" s="291">
        <v>-0.20208899999999999</v>
      </c>
      <c r="R227" s="291">
        <v>-1.3653139999999999</v>
      </c>
      <c r="S227" s="292">
        <v>28.652449600000001</v>
      </c>
      <c r="T227" s="291">
        <v>2.5999999999999998E-5</v>
      </c>
      <c r="V227" s="189">
        <f t="shared" si="33"/>
        <v>47.502670432374792</v>
      </c>
    </row>
    <row r="228" spans="1:22" ht="14.25">
      <c r="A228" s="278">
        <v>9</v>
      </c>
      <c r="B228" s="291">
        <v>3.3562698719999999</v>
      </c>
      <c r="C228" s="291">
        <v>0.89584812800000002</v>
      </c>
      <c r="D228" s="291">
        <v>7.0704010000000004</v>
      </c>
      <c r="E228" s="291">
        <v>0.61852700000000005</v>
      </c>
      <c r="F228" s="291">
        <v>0</v>
      </c>
      <c r="G228" s="291">
        <v>1.295615</v>
      </c>
      <c r="H228" s="291">
        <v>14.622441999999999</v>
      </c>
      <c r="I228" s="291">
        <v>0.69563399999999997</v>
      </c>
      <c r="J228" s="291">
        <v>8.3359999999999997E-3</v>
      </c>
      <c r="K228" s="291">
        <v>0.39738299999999999</v>
      </c>
      <c r="L228" s="291">
        <v>2.3182960000000001</v>
      </c>
      <c r="M228" s="291">
        <v>8.6596000000000006E-2</v>
      </c>
      <c r="N228" s="291">
        <v>0.15162</v>
      </c>
      <c r="O228" s="292">
        <v>31.516967999999999</v>
      </c>
      <c r="P228" s="291">
        <v>-3.3019999999999998E-3</v>
      </c>
      <c r="Q228" s="291">
        <v>-0.17241100000000001</v>
      </c>
      <c r="R228" s="291">
        <v>-1.220844</v>
      </c>
      <c r="S228" s="292">
        <v>30.120411000000001</v>
      </c>
      <c r="T228" s="291">
        <v>1.3730000000000001E-3</v>
      </c>
      <c r="V228" s="189">
        <f t="shared" si="33"/>
        <v>46.395459106345513</v>
      </c>
    </row>
    <row r="229" spans="1:22" ht="14.25">
      <c r="A229" s="278">
        <v>10</v>
      </c>
      <c r="B229" s="291">
        <v>3.515942184</v>
      </c>
      <c r="C229" s="291">
        <v>1.180394816</v>
      </c>
      <c r="D229" s="291">
        <v>7.0750339999999996</v>
      </c>
      <c r="E229" s="291">
        <v>0.67558499999999999</v>
      </c>
      <c r="F229" s="291">
        <v>0</v>
      </c>
      <c r="G229" s="291">
        <v>0.73283600000000004</v>
      </c>
      <c r="H229" s="291">
        <v>14.67976</v>
      </c>
      <c r="I229" s="291">
        <v>2.381748</v>
      </c>
      <c r="J229" s="291">
        <v>8.0949999999999998E-3</v>
      </c>
      <c r="K229" s="291">
        <v>0.42271900000000001</v>
      </c>
      <c r="L229" s="291">
        <v>2.308338</v>
      </c>
      <c r="M229" s="291">
        <v>8.6081000000000005E-2</v>
      </c>
      <c r="N229" s="291">
        <v>0.15220900000000001</v>
      </c>
      <c r="O229" s="292">
        <v>33.218741999999999</v>
      </c>
      <c r="P229" s="291">
        <v>-3.2420000000000001E-3</v>
      </c>
      <c r="Q229" s="291">
        <v>-0.104675</v>
      </c>
      <c r="R229" s="291">
        <v>-2.5491389999999998</v>
      </c>
      <c r="S229" s="292">
        <v>30.561686000000002</v>
      </c>
      <c r="T229" s="291">
        <v>3.2629999999999998E-3</v>
      </c>
      <c r="V229" s="189">
        <f t="shared" si="33"/>
        <v>44.191197848491676</v>
      </c>
    </row>
    <row r="230" spans="1:22" ht="14.25">
      <c r="A230" s="278">
        <v>11</v>
      </c>
      <c r="B230" s="291">
        <v>2.9449311840000001</v>
      </c>
      <c r="C230" s="291">
        <v>0.92020881600000004</v>
      </c>
      <c r="D230" s="291">
        <v>7.0748499999999996</v>
      </c>
      <c r="E230" s="291">
        <v>0.67005700000000001</v>
      </c>
      <c r="F230" s="291">
        <v>0</v>
      </c>
      <c r="G230" s="291">
        <v>0.40096799999999999</v>
      </c>
      <c r="H230" s="291">
        <v>15.589048</v>
      </c>
      <c r="I230" s="291">
        <v>3.7117559999999998</v>
      </c>
      <c r="J230" s="291">
        <v>8.8090000000000009E-3</v>
      </c>
      <c r="K230" s="291">
        <v>0.41634700000000002</v>
      </c>
      <c r="L230" s="291">
        <v>2.2580689999999999</v>
      </c>
      <c r="M230" s="291">
        <v>8.7987999999999997E-2</v>
      </c>
      <c r="N230" s="291">
        <v>0.15745600000000001</v>
      </c>
      <c r="O230" s="292">
        <v>34.240487999999999</v>
      </c>
      <c r="P230" s="291">
        <v>-5.2690000000000002E-3</v>
      </c>
      <c r="Q230" s="291">
        <v>-8.2337999999999995E-2</v>
      </c>
      <c r="R230" s="291">
        <v>-3.397113</v>
      </c>
      <c r="S230" s="292">
        <v>30.755768</v>
      </c>
      <c r="T230" s="291">
        <v>5.1190000000000003E-3</v>
      </c>
      <c r="V230" s="189">
        <f t="shared" si="33"/>
        <v>45.528112800261496</v>
      </c>
    </row>
    <row r="231" spans="1:22" ht="14.25">
      <c r="A231" s="278">
        <v>12</v>
      </c>
      <c r="B231" s="291">
        <v>2.022408032</v>
      </c>
      <c r="C231" s="291">
        <v>0.35213596800000002</v>
      </c>
      <c r="D231" s="291">
        <v>7.0750780000000004</v>
      </c>
      <c r="E231" s="291">
        <v>0.66861899999999996</v>
      </c>
      <c r="F231" s="291">
        <v>0</v>
      </c>
      <c r="G231" s="291">
        <v>0.27744799999999997</v>
      </c>
      <c r="H231" s="291">
        <v>16.973616</v>
      </c>
      <c r="I231" s="291">
        <v>5.2954410000000003</v>
      </c>
      <c r="J231" s="291">
        <v>5.9230000000000003E-3</v>
      </c>
      <c r="K231" s="291">
        <v>0.412192</v>
      </c>
      <c r="L231" s="291">
        <v>2.1678199999999999</v>
      </c>
      <c r="M231" s="291">
        <v>8.6485500000000007E-2</v>
      </c>
      <c r="N231" s="291">
        <v>0.1464925</v>
      </c>
      <c r="O231" s="292">
        <v>35.483659000000003</v>
      </c>
      <c r="P231" s="291">
        <v>-0.73585699999999998</v>
      </c>
      <c r="Q231" s="291">
        <v>-8.1907999999999995E-2</v>
      </c>
      <c r="R231" s="291">
        <v>-3.9719929999999999</v>
      </c>
      <c r="S231" s="292">
        <v>30.693901</v>
      </c>
      <c r="T231" s="291">
        <v>5.5079999999999999E-3</v>
      </c>
      <c r="V231" s="189">
        <f t="shared" si="33"/>
        <v>47.835021749025373</v>
      </c>
    </row>
    <row r="232" spans="1:22" ht="14.25">
      <c r="A232" s="278">
        <v>13</v>
      </c>
      <c r="B232" s="291">
        <v>1.287938853</v>
      </c>
      <c r="C232" s="291">
        <v>0.60291473900000003</v>
      </c>
      <c r="D232" s="291">
        <v>7.0735200000000003</v>
      </c>
      <c r="E232" s="291">
        <v>0.67799500000000001</v>
      </c>
      <c r="F232" s="291">
        <v>0</v>
      </c>
      <c r="G232" s="291">
        <v>0.29300100000000001</v>
      </c>
      <c r="H232" s="291">
        <v>18.064247000000002</v>
      </c>
      <c r="I232" s="291">
        <v>6.4817669999999996</v>
      </c>
      <c r="J232" s="291">
        <v>9.7499999999999996E-4</v>
      </c>
      <c r="K232" s="291">
        <v>0.394758</v>
      </c>
      <c r="L232" s="291">
        <v>2.0954229999999998</v>
      </c>
      <c r="M232" s="291">
        <v>8.5639999999999994E-2</v>
      </c>
      <c r="N232" s="291">
        <v>0.14663799999999999</v>
      </c>
      <c r="O232" s="292">
        <v>37.204817591999998</v>
      </c>
      <c r="P232" s="291">
        <v>-2.5706099999999998</v>
      </c>
      <c r="Q232" s="291">
        <v>-8.1949999999999995E-2</v>
      </c>
      <c r="R232" s="291">
        <v>-3.8522129999999999</v>
      </c>
      <c r="S232" s="292">
        <v>30.700044592000001</v>
      </c>
      <c r="T232" s="291">
        <v>8.848E-3</v>
      </c>
      <c r="V232" s="189">
        <f t="shared" si="33"/>
        <v>48.553515832541763</v>
      </c>
    </row>
    <row r="233" spans="1:22" ht="14.25">
      <c r="A233" s="278">
        <v>14</v>
      </c>
      <c r="B233" s="291">
        <v>1.167336151</v>
      </c>
      <c r="C233" s="291">
        <v>0.61436232099999999</v>
      </c>
      <c r="D233" s="291">
        <v>7.0727099999999998</v>
      </c>
      <c r="E233" s="291">
        <v>0.67417800000000006</v>
      </c>
      <c r="F233" s="291">
        <v>0</v>
      </c>
      <c r="G233" s="291">
        <v>0.28123900000000002</v>
      </c>
      <c r="H233" s="291">
        <v>19.109739000000001</v>
      </c>
      <c r="I233" s="291">
        <v>7.001957</v>
      </c>
      <c r="J233" s="291">
        <v>2.3682000000000002E-2</v>
      </c>
      <c r="K233" s="291">
        <v>0.38453999999999999</v>
      </c>
      <c r="L233" s="291">
        <v>2.0919310000000002</v>
      </c>
      <c r="M233" s="291">
        <v>8.3319500000000005E-2</v>
      </c>
      <c r="N233" s="291">
        <v>0.14154149999999999</v>
      </c>
      <c r="O233" s="292">
        <v>38.646535471999997</v>
      </c>
      <c r="P233" s="291">
        <v>-3.6298729999999999</v>
      </c>
      <c r="Q233" s="291">
        <v>-8.1993999999999997E-2</v>
      </c>
      <c r="R233" s="291">
        <v>-4.426634</v>
      </c>
      <c r="S233" s="292">
        <v>30.508034471999999</v>
      </c>
      <c r="T233" s="291">
        <v>8.1589999999999996E-3</v>
      </c>
      <c r="V233" s="189">
        <f t="shared" si="33"/>
        <v>49.447482850940929</v>
      </c>
    </row>
    <row r="234" spans="1:22" ht="14.25">
      <c r="A234" s="278">
        <v>15</v>
      </c>
      <c r="B234" s="291">
        <v>0.95630085200000003</v>
      </c>
      <c r="C234" s="291">
        <v>0.64295176399999998</v>
      </c>
      <c r="D234" s="291">
        <v>7.0668980000000001</v>
      </c>
      <c r="E234" s="291">
        <v>0.67855200000000004</v>
      </c>
      <c r="F234" s="291">
        <v>0</v>
      </c>
      <c r="G234" s="291">
        <v>0.283661</v>
      </c>
      <c r="H234" s="291">
        <v>18.167444</v>
      </c>
      <c r="I234" s="291">
        <v>7.6096149999999998</v>
      </c>
      <c r="J234" s="291">
        <v>0.109219</v>
      </c>
      <c r="K234" s="291">
        <v>0.37478800000000001</v>
      </c>
      <c r="L234" s="291">
        <v>2.056575</v>
      </c>
      <c r="M234" s="291">
        <v>8.42165E-2</v>
      </c>
      <c r="N234" s="291">
        <v>0.1403865</v>
      </c>
      <c r="O234" s="292">
        <v>38.170607615999998</v>
      </c>
      <c r="P234" s="291">
        <v>-4.0116230000000002</v>
      </c>
      <c r="Q234" s="291">
        <v>-8.1992999999999996E-2</v>
      </c>
      <c r="R234" s="291">
        <v>-4.3137420000000004</v>
      </c>
      <c r="S234" s="292">
        <v>29.763249616</v>
      </c>
      <c r="T234" s="291">
        <v>8.9309999999999997E-3</v>
      </c>
      <c r="V234" s="189">
        <f t="shared" si="33"/>
        <v>47.595375433281653</v>
      </c>
    </row>
    <row r="235" spans="1:22" ht="14.25">
      <c r="A235" s="278">
        <v>16</v>
      </c>
      <c r="B235" s="291">
        <v>1.003694656</v>
      </c>
      <c r="C235" s="291">
        <v>0.67157014400000004</v>
      </c>
      <c r="D235" s="291">
        <v>7.0647330000000004</v>
      </c>
      <c r="E235" s="291">
        <v>0.70555800000000002</v>
      </c>
      <c r="F235" s="291">
        <v>0</v>
      </c>
      <c r="G235" s="291">
        <v>0.42656500000000003</v>
      </c>
      <c r="H235" s="291">
        <v>17.357990999999998</v>
      </c>
      <c r="I235" s="291">
        <v>7.2570610000000002</v>
      </c>
      <c r="J235" s="291">
        <v>0.21934400000000001</v>
      </c>
      <c r="K235" s="291">
        <v>0.372697</v>
      </c>
      <c r="L235" s="291">
        <v>2.061318</v>
      </c>
      <c r="M235" s="291">
        <v>8.5106000000000001E-2</v>
      </c>
      <c r="N235" s="291">
        <v>0.14161299999999999</v>
      </c>
      <c r="O235" s="292">
        <v>37.367250800000001</v>
      </c>
      <c r="P235" s="291">
        <v>-4.1098619999999997</v>
      </c>
      <c r="Q235" s="291">
        <v>-8.2253000000000007E-2</v>
      </c>
      <c r="R235" s="291">
        <v>-4.2799060000000004</v>
      </c>
      <c r="S235" s="292">
        <v>28.895229799999999</v>
      </c>
      <c r="T235" s="291">
        <v>8.4690000000000008E-3</v>
      </c>
      <c r="V235" s="189">
        <f t="shared" si="33"/>
        <v>46.452416563650431</v>
      </c>
    </row>
    <row r="236" spans="1:22" ht="14.25">
      <c r="A236" s="278">
        <v>17</v>
      </c>
      <c r="B236" s="291">
        <v>1.1831410600000001</v>
      </c>
      <c r="C236" s="291">
        <v>0.67386630000000003</v>
      </c>
      <c r="D236" s="291">
        <v>7.0635370000000002</v>
      </c>
      <c r="E236" s="291">
        <v>0.66304099999999999</v>
      </c>
      <c r="F236" s="291">
        <v>0</v>
      </c>
      <c r="G236" s="291">
        <v>0.51008500000000001</v>
      </c>
      <c r="H236" s="291">
        <v>17.563081</v>
      </c>
      <c r="I236" s="291">
        <v>6.122954</v>
      </c>
      <c r="J236" s="291">
        <v>0.31092799999999998</v>
      </c>
      <c r="K236" s="291">
        <v>0.37659500000000001</v>
      </c>
      <c r="L236" s="291">
        <v>2.0727739999999999</v>
      </c>
      <c r="M236" s="291">
        <v>8.4010000000000001E-2</v>
      </c>
      <c r="N236" s="291">
        <v>0.139518</v>
      </c>
      <c r="O236" s="292">
        <v>36.763530359999997</v>
      </c>
      <c r="P236" s="291">
        <v>-3.9465330000000001</v>
      </c>
      <c r="Q236" s="291">
        <v>-0.102341</v>
      </c>
      <c r="R236" s="291">
        <v>-4.2335630000000002</v>
      </c>
      <c r="S236" s="292">
        <v>28.481093359999999</v>
      </c>
      <c r="T236" s="291">
        <v>6.0309999999999999E-3</v>
      </c>
      <c r="V236" s="189">
        <f t="shared" si="33"/>
        <v>47.773107827286481</v>
      </c>
    </row>
    <row r="237" spans="1:22" ht="14.25">
      <c r="A237" s="278">
        <v>18</v>
      </c>
      <c r="B237" s="291">
        <v>1.3310372640000001</v>
      </c>
      <c r="C237" s="291">
        <v>0.62411253600000005</v>
      </c>
      <c r="D237" s="291">
        <v>7.0601529999999997</v>
      </c>
      <c r="E237" s="291">
        <v>0.60257099999999997</v>
      </c>
      <c r="F237" s="291">
        <v>0</v>
      </c>
      <c r="G237" s="291">
        <v>0.41936499999999999</v>
      </c>
      <c r="H237" s="291">
        <v>18.498694</v>
      </c>
      <c r="I237" s="291">
        <v>4.6394859999999998</v>
      </c>
      <c r="J237" s="291">
        <v>0.40307799999999999</v>
      </c>
      <c r="K237" s="291">
        <v>0.381911</v>
      </c>
      <c r="L237" s="291">
        <v>2.0905309999999999</v>
      </c>
      <c r="M237" s="291">
        <v>8.4353999999999998E-2</v>
      </c>
      <c r="N237" s="291">
        <v>0.13931499999999999</v>
      </c>
      <c r="O237" s="292">
        <v>36.274607799999998</v>
      </c>
      <c r="P237" s="291">
        <v>-3.626217</v>
      </c>
      <c r="Q237" s="291">
        <v>-0.19383800000000001</v>
      </c>
      <c r="R237" s="291">
        <v>-3.833663</v>
      </c>
      <c r="S237" s="292">
        <v>28.6208898</v>
      </c>
      <c r="T237" s="291">
        <v>3.6210000000000001E-3</v>
      </c>
      <c r="V237" s="189">
        <f t="shared" si="33"/>
        <v>50.996261908584998</v>
      </c>
    </row>
    <row r="238" spans="1:22" ht="14.25">
      <c r="A238" s="278">
        <v>19</v>
      </c>
      <c r="B238" s="291">
        <v>1.8070910280000001</v>
      </c>
      <c r="C238" s="291">
        <v>0.69104862</v>
      </c>
      <c r="D238" s="291">
        <v>7.0657050000000003</v>
      </c>
      <c r="E238" s="291">
        <v>0.57197699999999996</v>
      </c>
      <c r="F238" s="291">
        <v>0</v>
      </c>
      <c r="G238" s="291">
        <v>0.60165299999999999</v>
      </c>
      <c r="H238" s="291">
        <v>20.240525999999999</v>
      </c>
      <c r="I238" s="291">
        <v>1.540389</v>
      </c>
      <c r="J238" s="291">
        <v>0.37583800000000001</v>
      </c>
      <c r="K238" s="291">
        <v>0.41033399999999998</v>
      </c>
      <c r="L238" s="291">
        <v>2.2017250000000002</v>
      </c>
      <c r="M238" s="291">
        <v>7.6924999999999993E-2</v>
      </c>
      <c r="N238" s="291">
        <v>0.12969800000000001</v>
      </c>
      <c r="O238" s="292">
        <v>35.712909648</v>
      </c>
      <c r="P238" s="291">
        <v>-2.7813659999999998</v>
      </c>
      <c r="Q238" s="291">
        <v>-0.21682199999999999</v>
      </c>
      <c r="R238" s="291">
        <v>-3.8361269999999998</v>
      </c>
      <c r="S238" s="292">
        <v>28.878594648</v>
      </c>
      <c r="T238" s="291">
        <v>1.421E-3</v>
      </c>
      <c r="V238" s="189">
        <f t="shared" si="33"/>
        <v>56.675656504883833</v>
      </c>
    </row>
    <row r="239" spans="1:22" ht="14.25">
      <c r="A239" s="278">
        <v>20</v>
      </c>
      <c r="B239" s="291">
        <v>2.8003232640000002</v>
      </c>
      <c r="C239" s="291">
        <v>1.0599521839999999</v>
      </c>
      <c r="D239" s="291">
        <v>7.0684040000000001</v>
      </c>
      <c r="E239" s="291">
        <v>0.548064</v>
      </c>
      <c r="F239" s="291">
        <v>0</v>
      </c>
      <c r="G239" s="291">
        <v>1.0805849999999999</v>
      </c>
      <c r="H239" s="291">
        <v>20.879425000000001</v>
      </c>
      <c r="I239" s="291">
        <v>5.0873000000000002E-2</v>
      </c>
      <c r="J239" s="291">
        <v>0.20188600000000001</v>
      </c>
      <c r="K239" s="291">
        <v>0.42522900000000002</v>
      </c>
      <c r="L239" s="291">
        <v>2.3037190000000001</v>
      </c>
      <c r="M239" s="291">
        <v>7.4587000000000001E-2</v>
      </c>
      <c r="N239" s="291">
        <v>0.142514</v>
      </c>
      <c r="O239" s="292">
        <v>36.635561447999997</v>
      </c>
      <c r="P239" s="291">
        <v>-1.231881</v>
      </c>
      <c r="Q239" s="291">
        <v>-0.26632699999999998</v>
      </c>
      <c r="R239" s="291">
        <v>-3.9467020000000002</v>
      </c>
      <c r="S239" s="292">
        <v>31.190651448000001</v>
      </c>
      <c r="T239" s="291">
        <v>1.2999999999999999E-5</v>
      </c>
      <c r="V239" s="189">
        <f t="shared" si="33"/>
        <v>56.992234252055795</v>
      </c>
    </row>
    <row r="240" spans="1:22" ht="14.25">
      <c r="A240" s="278">
        <v>21</v>
      </c>
      <c r="B240" s="291">
        <v>3.1023329999999998</v>
      </c>
      <c r="C240" s="291">
        <v>0.64066800000000002</v>
      </c>
      <c r="D240" s="291">
        <v>7.0707100000000001</v>
      </c>
      <c r="E240" s="291">
        <v>0.50497400000000003</v>
      </c>
      <c r="F240" s="291">
        <v>0</v>
      </c>
      <c r="G240" s="291">
        <v>1.261279</v>
      </c>
      <c r="H240" s="291">
        <v>20.762373</v>
      </c>
      <c r="I240" s="291">
        <v>5.287E-3</v>
      </c>
      <c r="J240" s="291">
        <v>0.111928</v>
      </c>
      <c r="K240" s="291">
        <v>0.41814499999999999</v>
      </c>
      <c r="L240" s="291">
        <v>2.3475139999999999</v>
      </c>
      <c r="M240" s="291">
        <v>7.9161999999999996E-2</v>
      </c>
      <c r="N240" s="291">
        <v>0.14816699999999999</v>
      </c>
      <c r="O240" s="292">
        <v>36.452539999999999</v>
      </c>
      <c r="P240" s="291">
        <v>-0.349269</v>
      </c>
      <c r="Q240" s="291">
        <v>-0.26580999999999999</v>
      </c>
      <c r="R240" s="291">
        <v>-3.1649029999999998</v>
      </c>
      <c r="S240" s="292">
        <v>32.672558000000002</v>
      </c>
      <c r="T240" s="291">
        <v>0</v>
      </c>
      <c r="V240" s="189">
        <f t="shared" si="33"/>
        <v>56.957273759249702</v>
      </c>
    </row>
    <row r="241" spans="1:22" ht="14.25">
      <c r="A241" s="278">
        <v>22</v>
      </c>
      <c r="B241" s="291">
        <v>3.0000659999999999</v>
      </c>
      <c r="C241" s="291">
        <v>0.564832</v>
      </c>
      <c r="D241" s="291">
        <v>7.0708250000000001</v>
      </c>
      <c r="E241" s="291">
        <v>0.48145900000000003</v>
      </c>
      <c r="F241" s="291">
        <v>0</v>
      </c>
      <c r="G241" s="291">
        <v>1.1224190000000001</v>
      </c>
      <c r="H241" s="291">
        <v>20.837888</v>
      </c>
      <c r="I241" s="291">
        <v>7.9710000000000007E-3</v>
      </c>
      <c r="J241" s="291">
        <v>5.6370000000000003E-2</v>
      </c>
      <c r="K241" s="291">
        <v>0.42547000000000001</v>
      </c>
      <c r="L241" s="291">
        <v>2.3406899999999999</v>
      </c>
      <c r="M241" s="291">
        <v>7.7841999999999995E-2</v>
      </c>
      <c r="N241" s="291">
        <v>0.14870700000000001</v>
      </c>
      <c r="O241" s="292">
        <v>36.134538999999997</v>
      </c>
      <c r="P241" s="291">
        <v>-0.69443200000000005</v>
      </c>
      <c r="Q241" s="291">
        <v>-0.15482799999999999</v>
      </c>
      <c r="R241" s="291">
        <v>-3.4950169999999998</v>
      </c>
      <c r="S241" s="292">
        <v>31.790261999999998</v>
      </c>
      <c r="T241" s="291">
        <v>0</v>
      </c>
      <c r="V241" s="189">
        <f t="shared" si="33"/>
        <v>57.667507533443285</v>
      </c>
    </row>
    <row r="242" spans="1:22" ht="14.25">
      <c r="A242" s="278">
        <v>23</v>
      </c>
      <c r="B242" s="291">
        <v>3.3009390000000001</v>
      </c>
      <c r="C242" s="291">
        <v>0.54649599999999998</v>
      </c>
      <c r="D242" s="291">
        <v>7.0728759999999999</v>
      </c>
      <c r="E242" s="291">
        <v>0.47309400000000001</v>
      </c>
      <c r="F242" s="291">
        <v>0</v>
      </c>
      <c r="G242" s="291">
        <v>0.986012</v>
      </c>
      <c r="H242" s="291">
        <v>20.619481</v>
      </c>
      <c r="I242" s="291">
        <v>5.4349999999999997E-3</v>
      </c>
      <c r="J242" s="291">
        <v>0</v>
      </c>
      <c r="K242" s="291">
        <v>0.42897800000000003</v>
      </c>
      <c r="L242" s="291">
        <v>2.2817440000000002</v>
      </c>
      <c r="M242" s="291">
        <v>7.0692000000000005E-2</v>
      </c>
      <c r="N242" s="291">
        <v>0.13709299999999999</v>
      </c>
      <c r="O242" s="292">
        <v>35.922840000000001</v>
      </c>
      <c r="P242" s="291">
        <v>-1.277917</v>
      </c>
      <c r="Q242" s="291">
        <v>-0.108347</v>
      </c>
      <c r="R242" s="291">
        <v>-5.5135139999999998</v>
      </c>
      <c r="S242" s="292">
        <v>29.023061999999999</v>
      </c>
      <c r="T242" s="291">
        <v>0</v>
      </c>
      <c r="V242" s="189">
        <f t="shared" si="33"/>
        <v>57.399362077163161</v>
      </c>
    </row>
    <row r="243" spans="1:22" ht="14.25">
      <c r="A243" s="278">
        <v>24</v>
      </c>
      <c r="B243" s="291">
        <v>1.7410756409999999</v>
      </c>
      <c r="C243" s="291">
        <v>0.50084135900000004</v>
      </c>
      <c r="D243" s="291">
        <v>7.0705530000000003</v>
      </c>
      <c r="E243" s="291">
        <v>0.46443600000000002</v>
      </c>
      <c r="F243" s="291">
        <v>0</v>
      </c>
      <c r="G243" s="291">
        <v>0.70773399999999997</v>
      </c>
      <c r="H243" s="291">
        <v>20.454893999999999</v>
      </c>
      <c r="I243" s="291">
        <v>1.3110000000000001E-3</v>
      </c>
      <c r="J243" s="291">
        <v>0</v>
      </c>
      <c r="K243" s="291">
        <v>0.39382800000000001</v>
      </c>
      <c r="L243" s="291">
        <v>2.197692</v>
      </c>
      <c r="M243" s="291">
        <v>6.7011000000000001E-2</v>
      </c>
      <c r="N243" s="291">
        <v>0.12728700000000001</v>
      </c>
      <c r="O243" s="292">
        <v>33.726663000000002</v>
      </c>
      <c r="P243" s="291">
        <v>-2.2364269999999999</v>
      </c>
      <c r="Q243" s="291">
        <v>-0.101865</v>
      </c>
      <c r="R243" s="291">
        <v>-5.0543680000000002</v>
      </c>
      <c r="S243" s="292">
        <v>26.334002999999999</v>
      </c>
      <c r="T243" s="291">
        <v>0</v>
      </c>
      <c r="V243" s="189">
        <f t="shared" si="33"/>
        <v>60.649030116024214</v>
      </c>
    </row>
    <row r="244" spans="1:22" ht="14.25">
      <c r="V244" s="189" t="str">
        <f t="shared" si="33"/>
        <v/>
      </c>
    </row>
    <row r="245" spans="1:22" ht="14.25">
      <c r="V245" s="189" t="str">
        <f t="shared" si="33"/>
        <v/>
      </c>
    </row>
    <row r="246" spans="1:22" ht="14.25">
      <c r="V246" s="189" t="str">
        <f t="shared" si="33"/>
        <v/>
      </c>
    </row>
    <row r="248" spans="1:22">
      <c r="A248" s="243"/>
      <c r="B248" s="243" t="s">
        <v>30</v>
      </c>
      <c r="C248" s="244" t="s">
        <v>205</v>
      </c>
      <c r="D248" s="244" t="s">
        <v>206</v>
      </c>
      <c r="E248" s="244" t="s">
        <v>209</v>
      </c>
      <c r="F248" s="244" t="s">
        <v>213</v>
      </c>
      <c r="G248" s="244" t="s">
        <v>214</v>
      </c>
      <c r="H248" s="244" t="s">
        <v>215</v>
      </c>
      <c r="I248" s="244" t="s">
        <v>216</v>
      </c>
      <c r="J248" s="244" t="s">
        <v>217</v>
      </c>
      <c r="K248" s="244" t="s">
        <v>218</v>
      </c>
      <c r="L248" s="244" t="s">
        <v>220</v>
      </c>
      <c r="M248" s="244" t="s">
        <v>222</v>
      </c>
      <c r="N248" s="244" t="s">
        <v>224</v>
      </c>
      <c r="O248" s="244" t="s">
        <v>225</v>
      </c>
    </row>
    <row r="249" spans="1:22">
      <c r="A249" s="243"/>
      <c r="B249" s="243" t="s">
        <v>106</v>
      </c>
      <c r="C249" s="244" t="s">
        <v>174</v>
      </c>
      <c r="D249" s="244" t="s">
        <v>174</v>
      </c>
      <c r="E249" s="244" t="s">
        <v>174</v>
      </c>
      <c r="F249" s="244" t="s">
        <v>174</v>
      </c>
      <c r="G249" s="244" t="s">
        <v>174</v>
      </c>
      <c r="H249" s="244" t="s">
        <v>174</v>
      </c>
      <c r="I249" s="244" t="s">
        <v>174</v>
      </c>
      <c r="J249" s="244" t="s">
        <v>174</v>
      </c>
      <c r="K249" s="244" t="s">
        <v>174</v>
      </c>
      <c r="L249" s="244" t="s">
        <v>174</v>
      </c>
      <c r="M249" s="244" t="s">
        <v>174</v>
      </c>
      <c r="N249" s="244" t="s">
        <v>174</v>
      </c>
      <c r="O249" s="244" t="s">
        <v>174</v>
      </c>
    </row>
    <row r="250" spans="1:22">
      <c r="A250" s="243" t="s">
        <v>166</v>
      </c>
      <c r="B250" s="243" t="s">
        <v>167</v>
      </c>
      <c r="C250" s="245"/>
      <c r="D250" s="245"/>
      <c r="E250" s="245"/>
      <c r="F250" s="245"/>
      <c r="G250" s="245"/>
      <c r="H250" s="245"/>
      <c r="I250" s="245"/>
      <c r="J250" s="245"/>
      <c r="K250" s="245"/>
      <c r="L250" s="245"/>
      <c r="M250" s="245"/>
      <c r="N250" s="245"/>
      <c r="O250" s="245"/>
    </row>
    <row r="251" spans="1:22">
      <c r="A251" s="323" t="s">
        <v>4</v>
      </c>
      <c r="B251" s="246" t="s">
        <v>157</v>
      </c>
      <c r="C251" s="293">
        <v>201365.1648</v>
      </c>
      <c r="D251" s="293">
        <v>271005.56448</v>
      </c>
      <c r="E251" s="293">
        <v>238687.66944</v>
      </c>
      <c r="F251" s="293">
        <v>333461.97408000001</v>
      </c>
      <c r="G251" s="293">
        <v>274617.64032000001</v>
      </c>
      <c r="H251" s="293">
        <v>232446.69888000001</v>
      </c>
      <c r="I251" s="293">
        <v>240947.0496</v>
      </c>
      <c r="J251" s="293">
        <v>60195.676800000001</v>
      </c>
      <c r="K251" s="293">
        <v>86964.716159999996</v>
      </c>
      <c r="L251" s="293">
        <v>302718.77759999997</v>
      </c>
      <c r="M251" s="293">
        <v>61009.280639999997</v>
      </c>
      <c r="N251" s="293">
        <v>137813.27424</v>
      </c>
      <c r="O251" s="293">
        <v>162586.75104</v>
      </c>
    </row>
    <row r="252" spans="1:22">
      <c r="A252" s="322"/>
      <c r="B252" s="246" t="s">
        <v>158</v>
      </c>
      <c r="C252" s="293">
        <v>479396.49888000003</v>
      </c>
      <c r="D252" s="293">
        <v>393904.57631999999</v>
      </c>
      <c r="E252" s="293">
        <v>268369.73375999997</v>
      </c>
      <c r="F252" s="293">
        <v>438453.48479999998</v>
      </c>
      <c r="G252" s="293">
        <v>524336.06400000001</v>
      </c>
      <c r="H252" s="293">
        <v>550014.29663999996</v>
      </c>
      <c r="I252" s="293">
        <v>367094.2464</v>
      </c>
      <c r="J252" s="293">
        <v>310596.28704000002</v>
      </c>
      <c r="K252" s="293">
        <v>225535.24703999999</v>
      </c>
      <c r="L252" s="293">
        <v>365580.19871999999</v>
      </c>
      <c r="M252" s="293">
        <v>228110.92319999999</v>
      </c>
      <c r="N252" s="293">
        <v>265257.25536000001</v>
      </c>
      <c r="O252" s="293">
        <v>245046.12</v>
      </c>
    </row>
    <row r="253" spans="1:22">
      <c r="A253" s="246" t="s">
        <v>95</v>
      </c>
      <c r="B253" s="246" t="s">
        <v>170</v>
      </c>
      <c r="C253" s="293"/>
      <c r="D253" s="293"/>
      <c r="E253" s="293"/>
      <c r="F253" s="293"/>
      <c r="G253" s="293"/>
      <c r="H253" s="293"/>
      <c r="I253" s="293">
        <v>7.6999999999999996E-4</v>
      </c>
      <c r="J253" s="293">
        <v>7.6999999999999996E-4</v>
      </c>
      <c r="K253" s="293"/>
      <c r="L253" s="293"/>
      <c r="M253" s="293"/>
      <c r="N253" s="293"/>
      <c r="O253" s="293"/>
    </row>
    <row r="254" spans="1:22">
      <c r="A254" s="246" t="s">
        <v>11</v>
      </c>
      <c r="B254" s="246" t="s">
        <v>159</v>
      </c>
      <c r="C254" s="293">
        <v>1203861.8830500001</v>
      </c>
      <c r="D254" s="293">
        <v>952403.73661000002</v>
      </c>
      <c r="E254" s="293">
        <v>1144271.9511500001</v>
      </c>
      <c r="F254" s="293">
        <v>2156273.2387000001</v>
      </c>
      <c r="G254" s="293">
        <v>2874153.2874599998</v>
      </c>
      <c r="H254" s="293">
        <v>2721667.8677400001</v>
      </c>
      <c r="I254" s="293">
        <v>2605735.5257600001</v>
      </c>
      <c r="J254" s="293">
        <v>2391736.0098600001</v>
      </c>
      <c r="K254" s="293">
        <v>1527427.7484800001</v>
      </c>
      <c r="L254" s="293">
        <v>1394806.0211100001</v>
      </c>
      <c r="M254" s="293">
        <v>811304.43345000001</v>
      </c>
      <c r="N254" s="293">
        <v>1416302.9818899999</v>
      </c>
      <c r="O254" s="293">
        <v>960769.04552000004</v>
      </c>
    </row>
    <row r="255" spans="1:22">
      <c r="A255" s="320" t="s">
        <v>9</v>
      </c>
      <c r="B255" s="246" t="s">
        <v>160</v>
      </c>
      <c r="C255" s="293">
        <v>104932.4865</v>
      </c>
      <c r="D255" s="293">
        <v>89628.374500000005</v>
      </c>
      <c r="E255" s="293">
        <v>94301.357000000004</v>
      </c>
      <c r="F255" s="293">
        <v>57586.488499999999</v>
      </c>
      <c r="G255" s="293">
        <v>44508.945500000002</v>
      </c>
      <c r="H255" s="293">
        <v>43680.027499999997</v>
      </c>
      <c r="I255" s="293">
        <v>54867.675499999998</v>
      </c>
      <c r="J255" s="293">
        <v>62131.478499999997</v>
      </c>
      <c r="K255" s="293">
        <v>60298.536999999997</v>
      </c>
      <c r="L255" s="293">
        <v>81446.616999999998</v>
      </c>
      <c r="M255" s="293">
        <v>43056.190999999999</v>
      </c>
      <c r="N255" s="293">
        <v>48995.351499999997</v>
      </c>
      <c r="O255" s="293">
        <v>39543.511500000001</v>
      </c>
    </row>
    <row r="256" spans="1:22">
      <c r="A256" s="321"/>
      <c r="B256" s="246" t="s">
        <v>161</v>
      </c>
      <c r="C256" s="293">
        <v>720449.36820000003</v>
      </c>
      <c r="D256" s="293">
        <v>549842.87159999995</v>
      </c>
      <c r="E256" s="293">
        <v>604239.91847999999</v>
      </c>
      <c r="F256" s="293">
        <v>485486.72928000003</v>
      </c>
      <c r="G256" s="293">
        <v>346551.34464000002</v>
      </c>
      <c r="H256" s="293">
        <v>248727.87108000001</v>
      </c>
      <c r="I256" s="293">
        <v>225356.55551999999</v>
      </c>
      <c r="J256" s="293">
        <v>350670.40596</v>
      </c>
      <c r="K256" s="293">
        <v>478359.41616000002</v>
      </c>
      <c r="L256" s="293">
        <v>335561.68692000001</v>
      </c>
      <c r="M256" s="293">
        <v>403813.90259999997</v>
      </c>
      <c r="N256" s="293">
        <v>576013.00859999994</v>
      </c>
      <c r="O256" s="293">
        <v>580529.03183999995</v>
      </c>
    </row>
    <row r="257" spans="1:17">
      <c r="A257" s="322"/>
      <c r="B257" s="246" t="s">
        <v>162</v>
      </c>
      <c r="C257" s="293">
        <v>740.73969999999997</v>
      </c>
      <c r="D257" s="293">
        <v>457.78980000000001</v>
      </c>
      <c r="E257" s="293">
        <v>627.30589999999995</v>
      </c>
      <c r="F257" s="293">
        <v>797.97149999999999</v>
      </c>
      <c r="G257" s="293">
        <v>344.17018000000002</v>
      </c>
      <c r="H257" s="293">
        <v>413.76490000000001</v>
      </c>
      <c r="I257" s="293">
        <v>542.53132000000005</v>
      </c>
      <c r="J257" s="293">
        <v>693.90013999999996</v>
      </c>
      <c r="K257" s="293">
        <v>545.81565999999998</v>
      </c>
      <c r="L257" s="293">
        <v>204.56729999999999</v>
      </c>
      <c r="M257" s="293">
        <v>424.99883999999997</v>
      </c>
      <c r="N257" s="293">
        <v>464.33947999999998</v>
      </c>
      <c r="O257" s="293">
        <v>936.83033999999998</v>
      </c>
    </row>
    <row r="258" spans="1:17">
      <c r="A258" s="320" t="s">
        <v>70</v>
      </c>
      <c r="B258" s="246" t="s">
        <v>163</v>
      </c>
      <c r="C258" s="293">
        <v>12359.732749999999</v>
      </c>
      <c r="D258" s="293">
        <v>21941.247500000001</v>
      </c>
      <c r="E258" s="293">
        <v>12802.76715</v>
      </c>
      <c r="F258" s="293">
        <v>12563.51345</v>
      </c>
      <c r="G258" s="293">
        <v>29004.54405</v>
      </c>
      <c r="H258" s="293">
        <v>29059.101600000002</v>
      </c>
      <c r="I258" s="293">
        <v>19220.206200000001</v>
      </c>
      <c r="J258" s="293">
        <v>17545.534800000001</v>
      </c>
      <c r="K258" s="293"/>
      <c r="L258" s="293"/>
      <c r="M258" s="293">
        <v>9.5E-4</v>
      </c>
      <c r="N258" s="293">
        <v>4478.6571999999996</v>
      </c>
      <c r="O258" s="293">
        <v>9.5E-4</v>
      </c>
    </row>
    <row r="259" spans="1:17">
      <c r="A259" s="321"/>
      <c r="B259" s="246" t="s">
        <v>164</v>
      </c>
      <c r="C259" s="293">
        <v>17274.780839999999</v>
      </c>
      <c r="D259" s="293">
        <v>15545.316000000001</v>
      </c>
      <c r="E259" s="293">
        <v>16195.34244</v>
      </c>
      <c r="F259" s="293">
        <v>15172.17684</v>
      </c>
      <c r="G259" s="293">
        <v>14167.71408</v>
      </c>
      <c r="H259" s="293">
        <v>12313.488240000001</v>
      </c>
      <c r="I259" s="293">
        <v>10947.737999999999</v>
      </c>
      <c r="J259" s="293">
        <v>14444.49864</v>
      </c>
      <c r="K259" s="293">
        <v>13670.255880000001</v>
      </c>
      <c r="L259" s="293">
        <v>14968.75596</v>
      </c>
      <c r="M259" s="293">
        <v>14472.780119999999</v>
      </c>
      <c r="N259" s="293">
        <v>14805.05616</v>
      </c>
      <c r="O259" s="293">
        <v>14937.29124</v>
      </c>
    </row>
    <row r="260" spans="1:17">
      <c r="A260" s="322"/>
      <c r="B260" s="246" t="s">
        <v>165</v>
      </c>
      <c r="C260" s="293">
        <v>21339.866399999999</v>
      </c>
      <c r="D260" s="293">
        <v>18235.557359999999</v>
      </c>
      <c r="E260" s="293">
        <v>18514.663919999999</v>
      </c>
      <c r="F260" s="293">
        <v>15775.74504</v>
      </c>
      <c r="G260" s="293">
        <v>17941.6404</v>
      </c>
      <c r="H260" s="293">
        <v>16486.285919999998</v>
      </c>
      <c r="I260" s="293">
        <v>14370.29304</v>
      </c>
      <c r="J260" s="293">
        <v>15531.817440000001</v>
      </c>
      <c r="K260" s="293">
        <v>14405.37624</v>
      </c>
      <c r="L260" s="293">
        <v>14734.766159999999</v>
      </c>
      <c r="M260" s="293">
        <v>8462.96976</v>
      </c>
      <c r="N260" s="293">
        <v>8399.7052800000001</v>
      </c>
      <c r="O260" s="293">
        <v>11565.030720000001</v>
      </c>
    </row>
    <row r="261" spans="1:17">
      <c r="A261" s="294" t="s">
        <v>15</v>
      </c>
      <c r="B261" s="295"/>
      <c r="C261" s="296">
        <v>2761720.5211200002</v>
      </c>
      <c r="D261" s="296">
        <v>2312965.0341699999</v>
      </c>
      <c r="E261" s="296">
        <v>2398010.7092400002</v>
      </c>
      <c r="F261" s="296">
        <v>3515571.3221900002</v>
      </c>
      <c r="G261" s="296">
        <v>4125625.3506299998</v>
      </c>
      <c r="H261" s="296">
        <v>3854809.4024999999</v>
      </c>
      <c r="I261" s="296">
        <v>3539081.8221100001</v>
      </c>
      <c r="J261" s="296">
        <v>3223545.60995</v>
      </c>
      <c r="K261" s="296">
        <v>2407207.1126199998</v>
      </c>
      <c r="L261" s="296">
        <v>2510021.3907699999</v>
      </c>
      <c r="M261" s="296">
        <v>1570655.4805600001</v>
      </c>
      <c r="N261" s="296">
        <v>2472529.62971</v>
      </c>
      <c r="O261" s="296">
        <v>2015913.6131500001</v>
      </c>
    </row>
    <row r="262" spans="1:17">
      <c r="Q262" s="44">
        <f>(O261-C261)/C261*100</f>
        <v>-27.005155020810808</v>
      </c>
    </row>
  </sheetData>
  <sortState xmlns:xlrd2="http://schemas.microsoft.com/office/spreadsheetml/2017/richdata2" ref="H50:J61">
    <sortCondition descending="1" ref="J50:J61"/>
  </sortState>
  <mergeCells count="13">
    <mergeCell ref="B176:T176"/>
    <mergeCell ref="B177:T177"/>
    <mergeCell ref="A258:A260"/>
    <mergeCell ref="A255:A257"/>
    <mergeCell ref="A251:A252"/>
    <mergeCell ref="B215:T215"/>
    <mergeCell ref="B216:T216"/>
    <mergeCell ref="B217:T217"/>
    <mergeCell ref="B4:J4"/>
    <mergeCell ref="B5:J5"/>
    <mergeCell ref="B115:Z115"/>
    <mergeCell ref="B116:Z116"/>
    <mergeCell ref="B175:T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/>
  </sheetViews>
  <sheetFormatPr baseColWidth="10" defaultRowHeight="12.75"/>
  <cols>
    <col min="1" max="2" width="14.7109375" customWidth="1"/>
    <col min="3" max="5" width="17.5703125" customWidth="1"/>
    <col min="6" max="6" width="7.7109375" style="190" customWidth="1"/>
    <col min="7" max="7" width="7.7109375" style="191" customWidth="1"/>
  </cols>
  <sheetData>
    <row r="1" spans="1:6">
      <c r="C1" s="192" t="s">
        <v>32</v>
      </c>
      <c r="D1" s="192" t="s">
        <v>33</v>
      </c>
      <c r="E1" s="192" t="s">
        <v>34</v>
      </c>
    </row>
    <row r="2" spans="1:6">
      <c r="C2" s="324" t="s">
        <v>125</v>
      </c>
      <c r="D2" s="325"/>
      <c r="E2" s="325"/>
    </row>
    <row r="3" spans="1:6">
      <c r="A3">
        <v>0</v>
      </c>
      <c r="B3" s="46">
        <v>44621</v>
      </c>
      <c r="C3" s="169">
        <v>31.279735412993375</v>
      </c>
      <c r="D3" s="169">
        <v>128.70213492494773</v>
      </c>
      <c r="E3" s="169">
        <f>IF(C3&lt;D3,C3,D3)</f>
        <v>31.279735412993375</v>
      </c>
      <c r="F3" s="190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44622</v>
      </c>
      <c r="C4" s="169">
        <v>40.665392179673312</v>
      </c>
      <c r="D4" s="169">
        <v>128.70213492494773</v>
      </c>
      <c r="E4" s="169">
        <f t="shared" ref="E4:E67" si="0">IF(C4&lt;D4,C4,D4)</f>
        <v>40.665392179673312</v>
      </c>
      <c r="F4" s="190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44623</v>
      </c>
      <c r="C5" s="169">
        <v>49.183056419673321</v>
      </c>
      <c r="D5" s="169">
        <v>128.70213492494773</v>
      </c>
      <c r="E5" s="169">
        <f t="shared" si="0"/>
        <v>49.183056419673321</v>
      </c>
      <c r="F5" s="190" t="str">
        <f t="shared" si="1"/>
        <v/>
      </c>
    </row>
    <row r="6" spans="1:6">
      <c r="A6">
        <v>3</v>
      </c>
      <c r="B6" s="46">
        <v>44624</v>
      </c>
      <c r="C6" s="169">
        <v>39.208742935674245</v>
      </c>
      <c r="D6" s="169">
        <v>128.70213492494773</v>
      </c>
      <c r="E6" s="169">
        <f t="shared" si="0"/>
        <v>39.208742935674245</v>
      </c>
      <c r="F6" s="190" t="str">
        <f t="shared" si="1"/>
        <v/>
      </c>
    </row>
    <row r="7" spans="1:6">
      <c r="A7">
        <v>4</v>
      </c>
      <c r="B7" s="46">
        <v>44625</v>
      </c>
      <c r="C7" s="169">
        <v>48.748244543674247</v>
      </c>
      <c r="D7" s="169">
        <v>128.70213492494773</v>
      </c>
      <c r="E7" s="169">
        <f t="shared" si="0"/>
        <v>48.748244543674247</v>
      </c>
      <c r="F7" s="190" t="str">
        <f t="shared" si="1"/>
        <v/>
      </c>
    </row>
    <row r="8" spans="1:6">
      <c r="A8">
        <v>5</v>
      </c>
      <c r="B8" s="46">
        <v>44626</v>
      </c>
      <c r="C8" s="169">
        <v>45.612390035673315</v>
      </c>
      <c r="D8" s="169">
        <v>128.70213492494773</v>
      </c>
      <c r="E8" s="169">
        <f t="shared" si="0"/>
        <v>45.612390035673315</v>
      </c>
      <c r="F8" s="190" t="str">
        <f t="shared" si="1"/>
        <v/>
      </c>
    </row>
    <row r="9" spans="1:6">
      <c r="A9">
        <v>6</v>
      </c>
      <c r="B9" s="46">
        <v>44627</v>
      </c>
      <c r="C9" s="169">
        <v>60.487663323673317</v>
      </c>
      <c r="D9" s="169">
        <v>128.70213492494773</v>
      </c>
      <c r="E9" s="169">
        <f t="shared" si="0"/>
        <v>60.487663323673317</v>
      </c>
      <c r="F9" s="190" t="str">
        <f t="shared" si="1"/>
        <v/>
      </c>
    </row>
    <row r="10" spans="1:6">
      <c r="A10">
        <v>7</v>
      </c>
      <c r="B10" s="46">
        <v>44628</v>
      </c>
      <c r="C10" s="169">
        <v>36.825309775673311</v>
      </c>
      <c r="D10" s="169">
        <v>128.70213492494773</v>
      </c>
      <c r="E10" s="169">
        <f t="shared" si="0"/>
        <v>36.825309775673311</v>
      </c>
      <c r="F10" s="190" t="str">
        <f t="shared" si="1"/>
        <v/>
      </c>
    </row>
    <row r="11" spans="1:6">
      <c r="A11">
        <v>8</v>
      </c>
      <c r="B11" s="46">
        <v>44629</v>
      </c>
      <c r="C11" s="169">
        <v>62.473295105205558</v>
      </c>
      <c r="D11" s="169">
        <v>128.70213492494773</v>
      </c>
      <c r="E11" s="169">
        <f t="shared" si="0"/>
        <v>62.473295105205558</v>
      </c>
      <c r="F11" s="190" t="str">
        <f t="shared" si="1"/>
        <v/>
      </c>
    </row>
    <row r="12" spans="1:6">
      <c r="A12">
        <v>9</v>
      </c>
      <c r="B12" s="46">
        <v>44630</v>
      </c>
      <c r="C12" s="169">
        <v>54.805093327205562</v>
      </c>
      <c r="D12" s="169">
        <v>128.70213492494773</v>
      </c>
      <c r="E12" s="169">
        <f t="shared" si="0"/>
        <v>54.805093327205562</v>
      </c>
      <c r="F12" s="190" t="str">
        <f t="shared" si="1"/>
        <v/>
      </c>
    </row>
    <row r="13" spans="1:6">
      <c r="A13">
        <v>10</v>
      </c>
      <c r="B13" s="46">
        <v>44631</v>
      </c>
      <c r="C13" s="169">
        <v>60.894541755205559</v>
      </c>
      <c r="D13" s="169">
        <v>128.70213492494773</v>
      </c>
      <c r="E13" s="169">
        <f t="shared" si="0"/>
        <v>60.894541755205559</v>
      </c>
      <c r="F13" s="190" t="str">
        <f t="shared" si="1"/>
        <v/>
      </c>
    </row>
    <row r="14" spans="1:6">
      <c r="A14">
        <v>11</v>
      </c>
      <c r="B14" s="46">
        <v>44632</v>
      </c>
      <c r="C14" s="169">
        <v>58.971251285206492</v>
      </c>
      <c r="D14" s="169">
        <v>128.70213492494773</v>
      </c>
      <c r="E14" s="169">
        <f t="shared" si="0"/>
        <v>58.971251285206492</v>
      </c>
      <c r="F14" s="190" t="str">
        <f t="shared" si="1"/>
        <v/>
      </c>
    </row>
    <row r="15" spans="1:6">
      <c r="A15">
        <v>12</v>
      </c>
      <c r="B15" s="46">
        <v>44633</v>
      </c>
      <c r="C15" s="169">
        <v>60.365817731206498</v>
      </c>
      <c r="D15" s="169">
        <v>128.70213492494773</v>
      </c>
      <c r="E15" s="169">
        <f t="shared" si="0"/>
        <v>60.365817731206498</v>
      </c>
      <c r="F15" s="190" t="str">
        <f t="shared" si="1"/>
        <v/>
      </c>
    </row>
    <row r="16" spans="1:6">
      <c r="A16">
        <v>13</v>
      </c>
      <c r="B16" s="46">
        <v>44634</v>
      </c>
      <c r="C16" s="169">
        <v>63.499387503205561</v>
      </c>
      <c r="D16" s="169">
        <v>128.70213492494773</v>
      </c>
      <c r="E16" s="169">
        <f t="shared" si="0"/>
        <v>63.499387503205561</v>
      </c>
      <c r="F16" s="190" t="str">
        <f t="shared" si="1"/>
        <v/>
      </c>
    </row>
    <row r="17" spans="1:7">
      <c r="A17">
        <v>14</v>
      </c>
      <c r="B17" s="46">
        <v>44635</v>
      </c>
      <c r="C17" s="169">
        <v>88.284353825206495</v>
      </c>
      <c r="D17" s="169">
        <v>128.70213492494773</v>
      </c>
      <c r="E17" s="169">
        <f t="shared" si="0"/>
        <v>88.284353825206495</v>
      </c>
      <c r="F17" s="190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M</v>
      </c>
      <c r="G17" s="191">
        <f>IF(DAY(B17)=15,D17,"")</f>
        <v>128.70213492494773</v>
      </c>
    </row>
    <row r="18" spans="1:7">
      <c r="A18">
        <v>15</v>
      </c>
      <c r="B18" s="46">
        <v>44636</v>
      </c>
      <c r="C18" s="169">
        <v>105.48959278317858</v>
      </c>
      <c r="D18" s="169">
        <v>128.70213492494773</v>
      </c>
      <c r="E18" s="169">
        <f t="shared" si="0"/>
        <v>105.48959278317858</v>
      </c>
      <c r="F18" s="190" t="str">
        <f t="shared" si="1"/>
        <v/>
      </c>
    </row>
    <row r="19" spans="1:7">
      <c r="A19">
        <v>16</v>
      </c>
      <c r="B19" s="46">
        <v>44637</v>
      </c>
      <c r="C19" s="169">
        <v>76.019370677176724</v>
      </c>
      <c r="D19" s="169">
        <v>128.70213492494773</v>
      </c>
      <c r="E19" s="169">
        <f t="shared" si="0"/>
        <v>76.019370677176724</v>
      </c>
      <c r="F19" s="190" t="str">
        <f t="shared" si="1"/>
        <v/>
      </c>
    </row>
    <row r="20" spans="1:7">
      <c r="A20">
        <v>17</v>
      </c>
      <c r="B20" s="46">
        <v>44638</v>
      </c>
      <c r="C20" s="169">
        <v>83.188072599177659</v>
      </c>
      <c r="D20" s="169">
        <v>128.70213492494773</v>
      </c>
      <c r="E20" s="169">
        <f t="shared" si="0"/>
        <v>83.188072599177659</v>
      </c>
      <c r="F20" s="190" t="str">
        <f t="shared" si="1"/>
        <v/>
      </c>
    </row>
    <row r="21" spans="1:7">
      <c r="A21">
        <v>18</v>
      </c>
      <c r="B21" s="46">
        <v>44639</v>
      </c>
      <c r="C21" s="169">
        <v>72.543714351177655</v>
      </c>
      <c r="D21" s="169">
        <v>128.70213492494773</v>
      </c>
      <c r="E21" s="169">
        <f t="shared" si="0"/>
        <v>72.543714351177655</v>
      </c>
      <c r="F21" s="190" t="str">
        <f t="shared" si="1"/>
        <v/>
      </c>
    </row>
    <row r="22" spans="1:7">
      <c r="A22">
        <v>19</v>
      </c>
      <c r="B22" s="46">
        <v>44640</v>
      </c>
      <c r="C22" s="169">
        <v>62.839279283177653</v>
      </c>
      <c r="D22" s="169">
        <v>128.70213492494773</v>
      </c>
      <c r="E22" s="169">
        <f t="shared" si="0"/>
        <v>62.839279283177653</v>
      </c>
      <c r="F22" s="190" t="str">
        <f t="shared" si="1"/>
        <v/>
      </c>
    </row>
    <row r="23" spans="1:7">
      <c r="A23">
        <v>20</v>
      </c>
      <c r="B23" s="46">
        <v>44641</v>
      </c>
      <c r="C23" s="169">
        <v>63.955175147177648</v>
      </c>
      <c r="D23" s="169">
        <v>128.70213492494773</v>
      </c>
      <c r="E23" s="169">
        <f t="shared" si="0"/>
        <v>63.955175147177648</v>
      </c>
      <c r="F23" s="190" t="str">
        <f t="shared" si="1"/>
        <v/>
      </c>
    </row>
    <row r="24" spans="1:7">
      <c r="A24">
        <v>21</v>
      </c>
      <c r="B24" s="46">
        <v>44642</v>
      </c>
      <c r="C24" s="169">
        <v>70.828786761177639</v>
      </c>
      <c r="D24" s="169">
        <v>128.70213492494773</v>
      </c>
      <c r="E24" s="169">
        <f t="shared" si="0"/>
        <v>70.828786761177639</v>
      </c>
      <c r="F24" s="190" t="str">
        <f t="shared" si="1"/>
        <v/>
      </c>
    </row>
    <row r="25" spans="1:7">
      <c r="A25">
        <v>22</v>
      </c>
      <c r="B25" s="46">
        <v>44643</v>
      </c>
      <c r="C25" s="169">
        <v>96.006202122288954</v>
      </c>
      <c r="D25" s="169">
        <v>128.70213492494773</v>
      </c>
      <c r="E25" s="169">
        <f t="shared" si="0"/>
        <v>96.006202122288954</v>
      </c>
      <c r="F25" s="190" t="str">
        <f t="shared" si="1"/>
        <v/>
      </c>
    </row>
    <row r="26" spans="1:7">
      <c r="A26">
        <v>23</v>
      </c>
      <c r="B26" s="46">
        <v>44644</v>
      </c>
      <c r="C26" s="169">
        <v>108.60737218828989</v>
      </c>
      <c r="D26" s="169">
        <v>128.70213492494773</v>
      </c>
      <c r="E26" s="169">
        <f t="shared" si="0"/>
        <v>108.60737218828989</v>
      </c>
      <c r="F26" s="190" t="str">
        <f t="shared" si="1"/>
        <v/>
      </c>
    </row>
    <row r="27" spans="1:7">
      <c r="A27">
        <v>24</v>
      </c>
      <c r="B27" s="46">
        <v>44645</v>
      </c>
      <c r="C27" s="169">
        <v>101.19374737829082</v>
      </c>
      <c r="D27" s="169">
        <v>128.70213492494773</v>
      </c>
      <c r="E27" s="169">
        <f t="shared" si="0"/>
        <v>101.19374737829082</v>
      </c>
      <c r="F27" s="190" t="str">
        <f t="shared" si="1"/>
        <v/>
      </c>
    </row>
    <row r="28" spans="1:7">
      <c r="A28">
        <v>25</v>
      </c>
      <c r="B28" s="46">
        <v>44646</v>
      </c>
      <c r="C28" s="169">
        <v>97.527889272288945</v>
      </c>
      <c r="D28" s="169">
        <v>128.70213492494773</v>
      </c>
      <c r="E28" s="169">
        <f t="shared" si="0"/>
        <v>97.527889272288945</v>
      </c>
      <c r="F28" s="190" t="str">
        <f t="shared" si="1"/>
        <v/>
      </c>
    </row>
    <row r="29" spans="1:7">
      <c r="A29">
        <v>26</v>
      </c>
      <c r="B29" s="46">
        <v>44647</v>
      </c>
      <c r="C29" s="169">
        <v>76.892811546289892</v>
      </c>
      <c r="D29" s="169">
        <v>128.70213492494773</v>
      </c>
      <c r="E29" s="169">
        <f t="shared" si="0"/>
        <v>76.892811546289892</v>
      </c>
      <c r="F29" s="190" t="str">
        <f t="shared" si="1"/>
        <v/>
      </c>
    </row>
    <row r="30" spans="1:7">
      <c r="A30">
        <v>27</v>
      </c>
      <c r="B30" s="46">
        <v>44648</v>
      </c>
      <c r="C30" s="169">
        <v>87.390972582288953</v>
      </c>
      <c r="D30" s="169">
        <v>128.70213492494773</v>
      </c>
      <c r="E30" s="169">
        <f t="shared" si="0"/>
        <v>87.390972582288953</v>
      </c>
      <c r="F30" s="190" t="str">
        <f t="shared" si="1"/>
        <v/>
      </c>
    </row>
    <row r="31" spans="1:7">
      <c r="A31">
        <v>28</v>
      </c>
      <c r="B31" s="46">
        <v>44649</v>
      </c>
      <c r="C31" s="169">
        <v>99.47516137228989</v>
      </c>
      <c r="D31" s="169">
        <v>128.70213492494773</v>
      </c>
      <c r="E31" s="169">
        <f t="shared" si="0"/>
        <v>99.47516137228989</v>
      </c>
      <c r="F31" s="190" t="str">
        <f t="shared" si="1"/>
        <v/>
      </c>
    </row>
    <row r="32" spans="1:7">
      <c r="A32">
        <v>29</v>
      </c>
      <c r="B32" s="46">
        <v>44650</v>
      </c>
      <c r="C32" s="169">
        <v>76.206657651458613</v>
      </c>
      <c r="D32" s="169">
        <v>128.70213492494773</v>
      </c>
      <c r="E32" s="169">
        <f t="shared" si="0"/>
        <v>76.206657651458613</v>
      </c>
      <c r="F32" s="190" t="str">
        <f t="shared" si="1"/>
        <v/>
      </c>
    </row>
    <row r="33" spans="1:7">
      <c r="A33">
        <v>30</v>
      </c>
      <c r="B33" s="46">
        <v>44651</v>
      </c>
      <c r="C33" s="169">
        <v>77.826651207456749</v>
      </c>
      <c r="D33" s="169">
        <v>128.70213492494773</v>
      </c>
      <c r="E33" s="169">
        <f t="shared" si="0"/>
        <v>77.826651207456749</v>
      </c>
      <c r="F33" s="190" t="str">
        <f t="shared" si="1"/>
        <v/>
      </c>
    </row>
    <row r="34" spans="1:7">
      <c r="A34">
        <v>31</v>
      </c>
      <c r="B34" s="46">
        <v>44652</v>
      </c>
      <c r="C34" s="169">
        <v>78.903165601457687</v>
      </c>
      <c r="D34" s="169">
        <v>125.24455872987446</v>
      </c>
      <c r="E34" s="169">
        <f t="shared" si="0"/>
        <v>78.903165601457687</v>
      </c>
      <c r="F34" s="190" t="str">
        <f t="shared" si="1"/>
        <v/>
      </c>
    </row>
    <row r="35" spans="1:7">
      <c r="A35">
        <v>32</v>
      </c>
      <c r="B35" s="46">
        <v>44653</v>
      </c>
      <c r="C35" s="169">
        <v>63.104449265456751</v>
      </c>
      <c r="D35" s="169">
        <v>125.24455872987446</v>
      </c>
      <c r="E35" s="169">
        <f t="shared" si="0"/>
        <v>63.104449265456751</v>
      </c>
      <c r="F35" s="190" t="str">
        <f t="shared" si="1"/>
        <v/>
      </c>
    </row>
    <row r="36" spans="1:7">
      <c r="A36">
        <v>33</v>
      </c>
      <c r="B36" s="46">
        <v>44654</v>
      </c>
      <c r="C36" s="169">
        <v>52.137112857457687</v>
      </c>
      <c r="D36" s="169">
        <v>125.24455872987446</v>
      </c>
      <c r="E36" s="169">
        <f t="shared" si="0"/>
        <v>52.137112857457687</v>
      </c>
      <c r="F36" s="190" t="str">
        <f t="shared" si="1"/>
        <v/>
      </c>
    </row>
    <row r="37" spans="1:7">
      <c r="A37">
        <v>34</v>
      </c>
      <c r="B37" s="46">
        <v>44655</v>
      </c>
      <c r="C37" s="169">
        <v>70.88203800745768</v>
      </c>
      <c r="D37" s="169">
        <v>125.24455872987446</v>
      </c>
      <c r="E37" s="169">
        <f t="shared" si="0"/>
        <v>70.88203800745768</v>
      </c>
      <c r="F37" s="190" t="str">
        <f t="shared" si="1"/>
        <v/>
      </c>
    </row>
    <row r="38" spans="1:7">
      <c r="A38">
        <v>35</v>
      </c>
      <c r="B38" s="46">
        <v>44656</v>
      </c>
      <c r="C38" s="169">
        <v>95.389061031456762</v>
      </c>
      <c r="D38" s="169">
        <v>125.24455872987446</v>
      </c>
      <c r="E38" s="169">
        <f t="shared" si="0"/>
        <v>95.389061031456762</v>
      </c>
      <c r="F38" s="190" t="str">
        <f t="shared" si="1"/>
        <v/>
      </c>
    </row>
    <row r="39" spans="1:7">
      <c r="A39">
        <v>36</v>
      </c>
      <c r="B39" s="46">
        <v>44657</v>
      </c>
      <c r="C39" s="169">
        <v>75.626797753457225</v>
      </c>
      <c r="D39" s="169">
        <v>125.24455872987446</v>
      </c>
      <c r="E39" s="169">
        <f t="shared" si="0"/>
        <v>75.626797753457225</v>
      </c>
      <c r="F39" s="190" t="str">
        <f t="shared" si="1"/>
        <v/>
      </c>
    </row>
    <row r="40" spans="1:7">
      <c r="A40">
        <v>37</v>
      </c>
      <c r="B40" s="46">
        <v>44658</v>
      </c>
      <c r="C40" s="169">
        <v>55.29940189945723</v>
      </c>
      <c r="D40" s="169">
        <v>125.24455872987446</v>
      </c>
      <c r="E40" s="169">
        <f t="shared" si="0"/>
        <v>55.29940189945723</v>
      </c>
      <c r="F40" s="190" t="str">
        <f t="shared" si="1"/>
        <v/>
      </c>
    </row>
    <row r="41" spans="1:7">
      <c r="A41">
        <v>38</v>
      </c>
      <c r="B41" s="46">
        <v>44659</v>
      </c>
      <c r="C41" s="169">
        <v>51.852576833460027</v>
      </c>
      <c r="D41" s="169">
        <v>125.24455872987446</v>
      </c>
      <c r="E41" s="169">
        <f t="shared" si="0"/>
        <v>51.852576833460027</v>
      </c>
      <c r="F41" s="190" t="str">
        <f t="shared" si="1"/>
        <v/>
      </c>
    </row>
    <row r="42" spans="1:7">
      <c r="A42">
        <v>39</v>
      </c>
      <c r="B42" s="46">
        <v>44660</v>
      </c>
      <c r="C42" s="169">
        <v>69.861402067457234</v>
      </c>
      <c r="D42" s="169">
        <v>125.24455872987446</v>
      </c>
      <c r="E42" s="169">
        <f t="shared" si="0"/>
        <v>69.861402067457234</v>
      </c>
      <c r="F42" s="190" t="str">
        <f t="shared" si="1"/>
        <v/>
      </c>
    </row>
    <row r="43" spans="1:7">
      <c r="A43">
        <v>40</v>
      </c>
      <c r="B43" s="46">
        <v>44661</v>
      </c>
      <c r="C43" s="169">
        <v>39.9763521894563</v>
      </c>
      <c r="D43" s="169">
        <v>125.24455872987446</v>
      </c>
      <c r="E43" s="169">
        <f t="shared" si="0"/>
        <v>39.9763521894563</v>
      </c>
      <c r="F43" s="190" t="str">
        <f t="shared" si="1"/>
        <v/>
      </c>
    </row>
    <row r="44" spans="1:7">
      <c r="A44">
        <v>41</v>
      </c>
      <c r="B44" s="46">
        <v>44662</v>
      </c>
      <c r="C44" s="169">
        <v>45.858379089458161</v>
      </c>
      <c r="D44" s="169">
        <v>125.24455872987446</v>
      </c>
      <c r="E44" s="169">
        <f t="shared" si="0"/>
        <v>45.858379089458161</v>
      </c>
      <c r="F44" s="190" t="str">
        <f t="shared" si="1"/>
        <v/>
      </c>
    </row>
    <row r="45" spans="1:7">
      <c r="A45">
        <v>42</v>
      </c>
      <c r="B45" s="46">
        <v>44663</v>
      </c>
      <c r="C45" s="169">
        <v>72.10542832545724</v>
      </c>
      <c r="D45" s="169">
        <v>125.24455872987446</v>
      </c>
      <c r="E45" s="169">
        <f t="shared" si="0"/>
        <v>72.10542832545724</v>
      </c>
      <c r="F45" s="190" t="str">
        <f t="shared" si="1"/>
        <v/>
      </c>
    </row>
    <row r="46" spans="1:7">
      <c r="A46">
        <v>43</v>
      </c>
      <c r="B46" s="46">
        <v>44664</v>
      </c>
      <c r="C46" s="169">
        <v>96.026662481449165</v>
      </c>
      <c r="D46" s="169">
        <v>125.24455872987446</v>
      </c>
      <c r="E46" s="169">
        <f t="shared" si="0"/>
        <v>96.026662481449165</v>
      </c>
      <c r="F46" s="190" t="str">
        <f t="shared" si="1"/>
        <v/>
      </c>
    </row>
    <row r="47" spans="1:7">
      <c r="A47">
        <v>44</v>
      </c>
      <c r="B47" s="46">
        <v>44665</v>
      </c>
      <c r="C47" s="169">
        <v>80.384848453449166</v>
      </c>
      <c r="D47" s="169">
        <v>125.24455872987446</v>
      </c>
      <c r="E47" s="169">
        <f t="shared" si="0"/>
        <v>80.384848453449166</v>
      </c>
      <c r="F47" s="190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44666</v>
      </c>
      <c r="C48" s="169">
        <v>73.85114523344825</v>
      </c>
      <c r="D48" s="169">
        <v>125.24455872987446</v>
      </c>
      <c r="E48" s="169">
        <f t="shared" si="0"/>
        <v>73.85114523344825</v>
      </c>
      <c r="F48" s="190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A</v>
      </c>
      <c r="G48" s="191">
        <f>IF(DAY(B48)=15,D48,"")</f>
        <v>125.24455872987446</v>
      </c>
    </row>
    <row r="49" spans="1:6">
      <c r="A49">
        <v>46</v>
      </c>
      <c r="B49" s="46">
        <v>44667</v>
      </c>
      <c r="C49" s="169">
        <v>64.603759637449173</v>
      </c>
      <c r="D49" s="169">
        <v>125.24455872987446</v>
      </c>
      <c r="E49" s="169">
        <f t="shared" si="0"/>
        <v>64.603759637449173</v>
      </c>
      <c r="F49" s="190" t="str">
        <f t="shared" si="1"/>
        <v/>
      </c>
    </row>
    <row r="50" spans="1:6">
      <c r="A50">
        <v>47</v>
      </c>
      <c r="B50" s="46">
        <v>44668</v>
      </c>
      <c r="C50" s="169">
        <v>71.977446119449169</v>
      </c>
      <c r="D50" s="169">
        <v>125.24455872987446</v>
      </c>
      <c r="E50" s="169">
        <f t="shared" si="0"/>
        <v>71.977446119449169</v>
      </c>
      <c r="F50" s="190" t="str">
        <f t="shared" si="1"/>
        <v/>
      </c>
    </row>
    <row r="51" spans="1:6">
      <c r="A51">
        <v>48</v>
      </c>
      <c r="B51" s="46">
        <v>44669</v>
      </c>
      <c r="C51" s="169">
        <v>78.683369269448249</v>
      </c>
      <c r="D51" s="169">
        <v>125.24455872987446</v>
      </c>
      <c r="E51" s="169">
        <f t="shared" si="0"/>
        <v>78.683369269448249</v>
      </c>
      <c r="F51" s="190" t="str">
        <f t="shared" si="1"/>
        <v/>
      </c>
    </row>
    <row r="52" spans="1:6">
      <c r="A52">
        <v>49</v>
      </c>
      <c r="B52" s="46">
        <v>44670</v>
      </c>
      <c r="C52" s="169">
        <v>82.294955059450103</v>
      </c>
      <c r="D52" s="169">
        <v>125.24455872987446</v>
      </c>
      <c r="E52" s="169">
        <f t="shared" si="0"/>
        <v>82.294955059450103</v>
      </c>
      <c r="F52" s="190" t="str">
        <f t="shared" si="1"/>
        <v/>
      </c>
    </row>
    <row r="53" spans="1:6">
      <c r="A53">
        <v>50</v>
      </c>
      <c r="B53" s="46">
        <v>44671</v>
      </c>
      <c r="C53" s="169">
        <v>90.835427421669962</v>
      </c>
      <c r="D53" s="169">
        <v>125.24455872987446</v>
      </c>
      <c r="E53" s="169">
        <f t="shared" si="0"/>
        <v>90.835427421669962</v>
      </c>
      <c r="F53" s="190" t="str">
        <f t="shared" si="1"/>
        <v/>
      </c>
    </row>
    <row r="54" spans="1:6">
      <c r="A54">
        <v>51</v>
      </c>
      <c r="B54" s="46">
        <v>44672</v>
      </c>
      <c r="C54" s="169">
        <v>106.85861408966996</v>
      </c>
      <c r="D54" s="169">
        <v>125.24455872987446</v>
      </c>
      <c r="E54" s="169">
        <f t="shared" si="0"/>
        <v>106.85861408966996</v>
      </c>
      <c r="F54" s="190" t="str">
        <f t="shared" si="1"/>
        <v/>
      </c>
    </row>
    <row r="55" spans="1:6">
      <c r="A55">
        <v>52</v>
      </c>
      <c r="B55" s="46">
        <v>44673</v>
      </c>
      <c r="C55" s="169">
        <v>109.20693919367089</v>
      </c>
      <c r="D55" s="169">
        <v>125.24455872987446</v>
      </c>
      <c r="E55" s="169">
        <f t="shared" si="0"/>
        <v>109.20693919367089</v>
      </c>
      <c r="F55" s="190" t="str">
        <f t="shared" si="1"/>
        <v/>
      </c>
    </row>
    <row r="56" spans="1:6">
      <c r="A56">
        <v>53</v>
      </c>
      <c r="B56" s="46">
        <v>44674</v>
      </c>
      <c r="C56" s="169">
        <v>78.726994011670868</v>
      </c>
      <c r="D56" s="169">
        <v>125.24455872987446</v>
      </c>
      <c r="E56" s="169">
        <f t="shared" si="0"/>
        <v>78.726994011670868</v>
      </c>
      <c r="F56" s="190" t="str">
        <f t="shared" si="1"/>
        <v/>
      </c>
    </row>
    <row r="57" spans="1:6">
      <c r="A57">
        <v>54</v>
      </c>
      <c r="B57" s="46">
        <v>44675</v>
      </c>
      <c r="C57" s="169">
        <v>90.988982781669961</v>
      </c>
      <c r="D57" s="169">
        <v>125.24455872987446</v>
      </c>
      <c r="E57" s="169">
        <f t="shared" si="0"/>
        <v>90.988982781669961</v>
      </c>
      <c r="F57" s="190" t="str">
        <f t="shared" si="1"/>
        <v/>
      </c>
    </row>
    <row r="58" spans="1:6">
      <c r="A58">
        <v>55</v>
      </c>
      <c r="B58" s="46">
        <v>44676</v>
      </c>
      <c r="C58" s="169">
        <v>100.91112083766902</v>
      </c>
      <c r="D58" s="169">
        <v>125.24455872987446</v>
      </c>
      <c r="E58" s="169">
        <f t="shared" si="0"/>
        <v>100.91112083766902</v>
      </c>
      <c r="F58" s="190" t="str">
        <f t="shared" si="1"/>
        <v/>
      </c>
    </row>
    <row r="59" spans="1:6">
      <c r="A59">
        <v>56</v>
      </c>
      <c r="B59" s="46">
        <v>44677</v>
      </c>
      <c r="C59" s="169">
        <v>103.94697229367088</v>
      </c>
      <c r="D59" s="169">
        <v>125.24455872987446</v>
      </c>
      <c r="E59" s="169">
        <f t="shared" si="0"/>
        <v>103.94697229367088</v>
      </c>
      <c r="F59" s="190" t="str">
        <f t="shared" si="1"/>
        <v/>
      </c>
    </row>
    <row r="60" spans="1:6">
      <c r="A60">
        <v>57</v>
      </c>
      <c r="B60" s="46">
        <v>44678</v>
      </c>
      <c r="C60" s="169">
        <v>98.988371420552696</v>
      </c>
      <c r="D60" s="169">
        <v>125.24455872987446</v>
      </c>
      <c r="E60" s="169">
        <f t="shared" si="0"/>
        <v>98.988371420552696</v>
      </c>
      <c r="F60" s="190" t="str">
        <f t="shared" si="1"/>
        <v/>
      </c>
    </row>
    <row r="61" spans="1:6">
      <c r="A61">
        <v>58</v>
      </c>
      <c r="B61" s="46">
        <v>44679</v>
      </c>
      <c r="C61" s="169">
        <v>113.96147318455084</v>
      </c>
      <c r="D61" s="169">
        <v>125.24455872987446</v>
      </c>
      <c r="E61" s="169">
        <f t="shared" si="0"/>
        <v>113.96147318455084</v>
      </c>
      <c r="F61" s="190" t="str">
        <f t="shared" si="1"/>
        <v/>
      </c>
    </row>
    <row r="62" spans="1:6">
      <c r="A62">
        <v>59</v>
      </c>
      <c r="B62" s="46">
        <v>44680</v>
      </c>
      <c r="C62" s="169">
        <v>117.7428588805527</v>
      </c>
      <c r="D62" s="169">
        <v>125.24455872987446</v>
      </c>
      <c r="E62" s="169">
        <f t="shared" si="0"/>
        <v>117.7428588805527</v>
      </c>
      <c r="F62" s="190" t="str">
        <f t="shared" si="1"/>
        <v/>
      </c>
    </row>
    <row r="63" spans="1:6">
      <c r="A63">
        <v>60</v>
      </c>
      <c r="B63" s="46">
        <v>44681</v>
      </c>
      <c r="C63" s="169">
        <v>104.66324693055364</v>
      </c>
      <c r="D63" s="169">
        <v>125.24455872987446</v>
      </c>
      <c r="E63" s="169">
        <f t="shared" si="0"/>
        <v>104.66324693055364</v>
      </c>
      <c r="F63" s="190" t="str">
        <f t="shared" si="1"/>
        <v/>
      </c>
    </row>
    <row r="64" spans="1:6">
      <c r="A64">
        <v>61</v>
      </c>
      <c r="B64" s="46">
        <v>44682</v>
      </c>
      <c r="C64" s="169">
        <v>83.089749126549904</v>
      </c>
      <c r="D64" s="169">
        <v>99.174715760964361</v>
      </c>
      <c r="E64" s="169">
        <f t="shared" si="0"/>
        <v>83.089749126549904</v>
      </c>
      <c r="F64" s="190" t="str">
        <f t="shared" si="1"/>
        <v/>
      </c>
    </row>
    <row r="65" spans="1:7">
      <c r="A65">
        <v>62</v>
      </c>
      <c r="B65" s="46">
        <v>44683</v>
      </c>
      <c r="C65" s="169">
        <v>91.147812052553633</v>
      </c>
      <c r="D65" s="169">
        <v>99.174715760964361</v>
      </c>
      <c r="E65" s="169">
        <f t="shared" si="0"/>
        <v>91.147812052553633</v>
      </c>
      <c r="F65" s="190" t="str">
        <f t="shared" si="1"/>
        <v/>
      </c>
    </row>
    <row r="66" spans="1:7">
      <c r="A66">
        <v>63</v>
      </c>
      <c r="B66" s="46">
        <v>44684</v>
      </c>
      <c r="C66" s="169">
        <v>110.9795229485527</v>
      </c>
      <c r="D66" s="169">
        <v>99.174715760964361</v>
      </c>
      <c r="E66" s="169">
        <f t="shared" si="0"/>
        <v>99.174715760964361</v>
      </c>
      <c r="F66" s="190" t="str">
        <f t="shared" si="1"/>
        <v/>
      </c>
    </row>
    <row r="67" spans="1:7">
      <c r="A67">
        <v>64</v>
      </c>
      <c r="B67" s="46">
        <v>44685</v>
      </c>
      <c r="C67" s="169">
        <v>107.19868597630743</v>
      </c>
      <c r="D67" s="169">
        <v>99.174715760964361</v>
      </c>
      <c r="E67" s="169">
        <f t="shared" si="0"/>
        <v>99.174715760964361</v>
      </c>
      <c r="F67" s="190" t="str">
        <f t="shared" si="1"/>
        <v/>
      </c>
    </row>
    <row r="68" spans="1:7">
      <c r="A68">
        <v>65</v>
      </c>
      <c r="B68" s="46">
        <v>44686</v>
      </c>
      <c r="C68" s="169">
        <v>86.735913152306495</v>
      </c>
      <c r="D68" s="169">
        <v>99.174715760964361</v>
      </c>
      <c r="E68" s="169">
        <f t="shared" ref="E68:E131" si="2">IF(C68&lt;D68,C68,D68)</f>
        <v>86.735913152306495</v>
      </c>
      <c r="F68" s="190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44687</v>
      </c>
      <c r="C69" s="169">
        <v>69.040709436307438</v>
      </c>
      <c r="D69" s="169">
        <v>99.174715760964361</v>
      </c>
      <c r="E69" s="169">
        <f t="shared" si="2"/>
        <v>69.040709436307438</v>
      </c>
      <c r="F69" s="190" t="str">
        <f t="shared" si="3"/>
        <v/>
      </c>
    </row>
    <row r="70" spans="1:7">
      <c r="A70">
        <v>67</v>
      </c>
      <c r="B70" s="46">
        <v>44688</v>
      </c>
      <c r="C70" s="169">
        <v>72.560665806305579</v>
      </c>
      <c r="D70" s="169">
        <v>99.174715760964361</v>
      </c>
      <c r="E70" s="169">
        <f t="shared" si="2"/>
        <v>72.560665806305579</v>
      </c>
      <c r="F70" s="190" t="str">
        <f t="shared" si="3"/>
        <v/>
      </c>
    </row>
    <row r="71" spans="1:7">
      <c r="A71">
        <v>68</v>
      </c>
      <c r="B71" s="46">
        <v>44689</v>
      </c>
      <c r="C71" s="169">
        <v>64.773468066308368</v>
      </c>
      <c r="D71" s="169">
        <v>99.174715760964361</v>
      </c>
      <c r="E71" s="169">
        <f t="shared" si="2"/>
        <v>64.773468066308368</v>
      </c>
      <c r="F71" s="190" t="str">
        <f t="shared" si="3"/>
        <v/>
      </c>
    </row>
    <row r="72" spans="1:7">
      <c r="A72">
        <v>69</v>
      </c>
      <c r="B72" s="46">
        <v>44690</v>
      </c>
      <c r="C72" s="169">
        <v>79.196354340306513</v>
      </c>
      <c r="D72" s="169">
        <v>99.174715760964361</v>
      </c>
      <c r="E72" s="169">
        <f t="shared" si="2"/>
        <v>79.196354340306513</v>
      </c>
      <c r="F72" s="190" t="str">
        <f t="shared" si="3"/>
        <v/>
      </c>
    </row>
    <row r="73" spans="1:7">
      <c r="A73">
        <v>70</v>
      </c>
      <c r="B73" s="46">
        <v>44691</v>
      </c>
      <c r="C73" s="169">
        <v>83.306836604307435</v>
      </c>
      <c r="D73" s="169">
        <v>99.174715760964361</v>
      </c>
      <c r="E73" s="169">
        <f t="shared" si="2"/>
        <v>83.306836604307435</v>
      </c>
      <c r="F73" s="190" t="str">
        <f t="shared" si="3"/>
        <v/>
      </c>
    </row>
    <row r="74" spans="1:7">
      <c r="A74">
        <v>71</v>
      </c>
      <c r="B74" s="46">
        <v>44692</v>
      </c>
      <c r="C74" s="169">
        <v>64.428383028005015</v>
      </c>
      <c r="D74" s="169">
        <v>99.174715760964361</v>
      </c>
      <c r="E74" s="169">
        <f t="shared" si="2"/>
        <v>64.428383028005015</v>
      </c>
      <c r="F74" s="190" t="str">
        <f t="shared" si="3"/>
        <v/>
      </c>
    </row>
    <row r="75" spans="1:7">
      <c r="A75">
        <v>72</v>
      </c>
      <c r="B75" s="46">
        <v>44693</v>
      </c>
      <c r="C75" s="169">
        <v>54.806804084005954</v>
      </c>
      <c r="D75" s="169">
        <v>99.174715760964361</v>
      </c>
      <c r="E75" s="169">
        <f t="shared" si="2"/>
        <v>54.806804084005954</v>
      </c>
      <c r="F75" s="190" t="str">
        <f t="shared" si="3"/>
        <v/>
      </c>
    </row>
    <row r="76" spans="1:7">
      <c r="A76">
        <v>73</v>
      </c>
      <c r="B76" s="46">
        <v>44694</v>
      </c>
      <c r="C76" s="169">
        <v>61.542816572005016</v>
      </c>
      <c r="D76" s="169">
        <v>99.174715760964361</v>
      </c>
      <c r="E76" s="169">
        <f t="shared" si="2"/>
        <v>61.542816572005016</v>
      </c>
      <c r="F76" s="190" t="str">
        <f t="shared" si="3"/>
        <v/>
      </c>
    </row>
    <row r="77" spans="1:7">
      <c r="A77">
        <v>74</v>
      </c>
      <c r="B77" s="46">
        <v>44695</v>
      </c>
      <c r="C77" s="169">
        <v>40.073271944004091</v>
      </c>
      <c r="D77" s="169">
        <v>99.174715760964361</v>
      </c>
      <c r="E77" s="169">
        <f t="shared" si="2"/>
        <v>40.073271944004091</v>
      </c>
      <c r="F77" s="190" t="str">
        <f t="shared" si="3"/>
        <v/>
      </c>
    </row>
    <row r="78" spans="1:7">
      <c r="A78">
        <v>75</v>
      </c>
      <c r="B78" s="46">
        <v>44696</v>
      </c>
      <c r="C78" s="169">
        <v>39.138138080005952</v>
      </c>
      <c r="D78" s="169">
        <v>99.174715760964361</v>
      </c>
      <c r="E78" s="169">
        <f t="shared" si="2"/>
        <v>39.138138080005952</v>
      </c>
      <c r="F78" s="190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M</v>
      </c>
      <c r="G78" s="191">
        <f>IF(DAY(B78)=15,D78,"")</f>
        <v>99.174715760964361</v>
      </c>
    </row>
    <row r="79" spans="1:7">
      <c r="A79">
        <v>76</v>
      </c>
      <c r="B79" s="46">
        <v>44697</v>
      </c>
      <c r="C79" s="169">
        <v>49.149372322006876</v>
      </c>
      <c r="D79" s="169">
        <v>99.174715760964361</v>
      </c>
      <c r="E79" s="169">
        <f t="shared" si="2"/>
        <v>49.149372322006876</v>
      </c>
      <c r="F79" s="190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44698</v>
      </c>
      <c r="C80" s="169">
        <v>51.711909812005018</v>
      </c>
      <c r="D80" s="169">
        <v>99.174715760964361</v>
      </c>
      <c r="E80" s="169">
        <f t="shared" si="2"/>
        <v>51.711909812005018</v>
      </c>
      <c r="F80" s="190" t="str">
        <f t="shared" si="3"/>
        <v/>
      </c>
    </row>
    <row r="81" spans="1:6">
      <c r="A81">
        <v>78</v>
      </c>
      <c r="B81" s="46">
        <v>44699</v>
      </c>
      <c r="C81" s="169">
        <v>61.126600312259811</v>
      </c>
      <c r="D81" s="169">
        <v>99.174715760964361</v>
      </c>
      <c r="E81" s="169">
        <f t="shared" si="2"/>
        <v>61.126600312259811</v>
      </c>
      <c r="F81" s="190" t="str">
        <f t="shared" si="3"/>
        <v/>
      </c>
    </row>
    <row r="82" spans="1:6">
      <c r="A82">
        <v>79</v>
      </c>
      <c r="B82" s="46">
        <v>44700</v>
      </c>
      <c r="C82" s="169">
        <v>65.134239836259823</v>
      </c>
      <c r="D82" s="169">
        <v>99.174715760964361</v>
      </c>
      <c r="E82" s="169">
        <f t="shared" si="2"/>
        <v>65.134239836259823</v>
      </c>
      <c r="F82" s="190" t="str">
        <f t="shared" si="3"/>
        <v/>
      </c>
    </row>
    <row r="83" spans="1:6">
      <c r="A83">
        <v>80</v>
      </c>
      <c r="B83" s="46">
        <v>44701</v>
      </c>
      <c r="C83" s="169">
        <v>62.055912656260752</v>
      </c>
      <c r="D83" s="169">
        <v>99.174715760964361</v>
      </c>
      <c r="E83" s="169">
        <f t="shared" si="2"/>
        <v>62.055912656260752</v>
      </c>
      <c r="F83" s="190" t="str">
        <f t="shared" si="3"/>
        <v/>
      </c>
    </row>
    <row r="84" spans="1:6">
      <c r="A84">
        <v>81</v>
      </c>
      <c r="B84" s="46">
        <v>44702</v>
      </c>
      <c r="C84" s="169">
        <v>57.729203064259814</v>
      </c>
      <c r="D84" s="169">
        <v>99.174715760964361</v>
      </c>
      <c r="E84" s="169">
        <f t="shared" si="2"/>
        <v>57.729203064259814</v>
      </c>
      <c r="F84" s="190" t="str">
        <f t="shared" si="3"/>
        <v/>
      </c>
    </row>
    <row r="85" spans="1:6">
      <c r="A85">
        <v>82</v>
      </c>
      <c r="B85" s="46">
        <v>44703</v>
      </c>
      <c r="C85" s="169">
        <v>52.652818350260745</v>
      </c>
      <c r="D85" s="169">
        <v>99.174715760964361</v>
      </c>
      <c r="E85" s="169">
        <f t="shared" si="2"/>
        <v>52.652818350260745</v>
      </c>
      <c r="F85" s="190" t="str">
        <f t="shared" si="3"/>
        <v/>
      </c>
    </row>
    <row r="86" spans="1:6">
      <c r="A86">
        <v>83</v>
      </c>
      <c r="B86" s="46">
        <v>44704</v>
      </c>
      <c r="C86" s="169">
        <v>62.72821390425981</v>
      </c>
      <c r="D86" s="169">
        <v>99.174715760964361</v>
      </c>
      <c r="E86" s="169">
        <f t="shared" si="2"/>
        <v>62.72821390425981</v>
      </c>
      <c r="F86" s="190" t="str">
        <f t="shared" si="3"/>
        <v/>
      </c>
    </row>
    <row r="87" spans="1:6">
      <c r="A87">
        <v>84</v>
      </c>
      <c r="B87" s="46">
        <v>44705</v>
      </c>
      <c r="C87" s="169">
        <v>55.779570632261674</v>
      </c>
      <c r="D87" s="169">
        <v>99.174715760964361</v>
      </c>
      <c r="E87" s="169">
        <f t="shared" si="2"/>
        <v>55.779570632261674</v>
      </c>
      <c r="F87" s="190" t="str">
        <f t="shared" si="3"/>
        <v/>
      </c>
    </row>
    <row r="88" spans="1:6">
      <c r="A88">
        <v>85</v>
      </c>
      <c r="B88" s="46">
        <v>44706</v>
      </c>
      <c r="C88" s="169">
        <v>37.185852168886534</v>
      </c>
      <c r="D88" s="169">
        <v>99.174715760964361</v>
      </c>
      <c r="E88" s="169">
        <f t="shared" si="2"/>
        <v>37.185852168886534</v>
      </c>
      <c r="F88" s="190" t="str">
        <f t="shared" si="3"/>
        <v/>
      </c>
    </row>
    <row r="89" spans="1:6">
      <c r="A89">
        <v>86</v>
      </c>
      <c r="B89" s="46">
        <v>44707</v>
      </c>
      <c r="C89" s="169">
        <v>32.869455544888396</v>
      </c>
      <c r="D89" s="169">
        <v>99.174715760964361</v>
      </c>
      <c r="E89" s="169">
        <f t="shared" si="2"/>
        <v>32.869455544888396</v>
      </c>
      <c r="F89" s="190" t="str">
        <f t="shared" si="3"/>
        <v/>
      </c>
    </row>
    <row r="90" spans="1:6">
      <c r="A90">
        <v>87</v>
      </c>
      <c r="B90" s="46">
        <v>44708</v>
      </c>
      <c r="C90" s="169">
        <v>34.865659270888401</v>
      </c>
      <c r="D90" s="169">
        <v>99.174715760964361</v>
      </c>
      <c r="E90" s="169">
        <f t="shared" si="2"/>
        <v>34.865659270888401</v>
      </c>
      <c r="F90" s="190" t="str">
        <f t="shared" si="3"/>
        <v/>
      </c>
    </row>
    <row r="91" spans="1:6">
      <c r="A91">
        <v>88</v>
      </c>
      <c r="B91" s="46">
        <v>44709</v>
      </c>
      <c r="C91" s="169">
        <v>41.332971382888395</v>
      </c>
      <c r="D91" s="169">
        <v>99.174715760964361</v>
      </c>
      <c r="E91" s="169">
        <f t="shared" si="2"/>
        <v>41.332971382888395</v>
      </c>
      <c r="F91" s="190" t="str">
        <f t="shared" si="3"/>
        <v/>
      </c>
    </row>
    <row r="92" spans="1:6">
      <c r="A92">
        <v>89</v>
      </c>
      <c r="B92" s="46">
        <v>44710</v>
      </c>
      <c r="C92" s="169">
        <v>28.298860492888402</v>
      </c>
      <c r="D92" s="169">
        <v>99.174715760964361</v>
      </c>
      <c r="E92" s="169">
        <f t="shared" si="2"/>
        <v>28.298860492888402</v>
      </c>
      <c r="F92" s="190" t="str">
        <f t="shared" si="3"/>
        <v/>
      </c>
    </row>
    <row r="93" spans="1:6">
      <c r="A93">
        <v>90</v>
      </c>
      <c r="B93" s="46">
        <v>44711</v>
      </c>
      <c r="C93" s="169">
        <v>38.8047019408884</v>
      </c>
      <c r="D93" s="169">
        <v>99.174715760964361</v>
      </c>
      <c r="E93" s="169">
        <f t="shared" si="2"/>
        <v>38.8047019408884</v>
      </c>
      <c r="F93" s="190" t="str">
        <f t="shared" si="3"/>
        <v/>
      </c>
    </row>
    <row r="94" spans="1:6">
      <c r="A94">
        <v>91</v>
      </c>
      <c r="B94" s="46">
        <v>44712</v>
      </c>
      <c r="C94" s="169">
        <v>48.831941006887469</v>
      </c>
      <c r="D94" s="169">
        <v>99.174715760964361</v>
      </c>
      <c r="E94" s="169">
        <f t="shared" si="2"/>
        <v>48.831941006887469</v>
      </c>
      <c r="F94" s="190" t="str">
        <f t="shared" si="3"/>
        <v/>
      </c>
    </row>
    <row r="95" spans="1:6">
      <c r="A95">
        <v>92</v>
      </c>
      <c r="B95" s="46">
        <v>44713</v>
      </c>
      <c r="C95" s="169">
        <v>41.13251892952826</v>
      </c>
      <c r="D95" s="169">
        <v>63.624179558812038</v>
      </c>
      <c r="E95" s="169">
        <f t="shared" si="2"/>
        <v>41.13251892952826</v>
      </c>
      <c r="F95" s="190" t="str">
        <f t="shared" si="3"/>
        <v/>
      </c>
    </row>
    <row r="96" spans="1:6">
      <c r="A96">
        <v>93</v>
      </c>
      <c r="B96" s="46">
        <v>44714</v>
      </c>
      <c r="C96" s="169">
        <v>52.464751009527326</v>
      </c>
      <c r="D96" s="169">
        <v>63.624179558812038</v>
      </c>
      <c r="E96" s="169">
        <f t="shared" si="2"/>
        <v>52.464751009527326</v>
      </c>
      <c r="F96" s="190" t="str">
        <f t="shared" si="3"/>
        <v/>
      </c>
    </row>
    <row r="97" spans="1:7">
      <c r="A97">
        <v>94</v>
      </c>
      <c r="B97" s="46">
        <v>44715</v>
      </c>
      <c r="C97" s="169">
        <v>46.033321545527329</v>
      </c>
      <c r="D97" s="169">
        <v>63.624179558812038</v>
      </c>
      <c r="E97" s="169">
        <f t="shared" si="2"/>
        <v>46.033321545527329</v>
      </c>
      <c r="F97" s="190" t="str">
        <f t="shared" si="3"/>
        <v/>
      </c>
    </row>
    <row r="98" spans="1:7">
      <c r="A98">
        <v>95</v>
      </c>
      <c r="B98" s="46">
        <v>44716</v>
      </c>
      <c r="C98" s="169">
        <v>32.1332122355264</v>
      </c>
      <c r="D98" s="169">
        <v>63.624179558812038</v>
      </c>
      <c r="E98" s="169">
        <f t="shared" si="2"/>
        <v>32.1332122355264</v>
      </c>
      <c r="F98" s="190" t="str">
        <f t="shared" si="3"/>
        <v/>
      </c>
    </row>
    <row r="99" spans="1:7">
      <c r="A99">
        <v>96</v>
      </c>
      <c r="B99" s="46">
        <v>44717</v>
      </c>
      <c r="C99" s="169">
        <v>24.055109761528257</v>
      </c>
      <c r="D99" s="169">
        <v>63.624179558812038</v>
      </c>
      <c r="E99" s="169">
        <f t="shared" si="2"/>
        <v>24.055109761528257</v>
      </c>
      <c r="F99" s="190" t="str">
        <f t="shared" si="3"/>
        <v/>
      </c>
    </row>
    <row r="100" spans="1:7">
      <c r="A100">
        <v>97</v>
      </c>
      <c r="B100" s="46">
        <v>44718</v>
      </c>
      <c r="C100" s="169">
        <v>30.429911945529188</v>
      </c>
      <c r="D100" s="169">
        <v>63.624179558812038</v>
      </c>
      <c r="E100" s="169">
        <f t="shared" si="2"/>
        <v>30.429911945529188</v>
      </c>
      <c r="F100" s="190" t="str">
        <f t="shared" si="3"/>
        <v/>
      </c>
    </row>
    <row r="101" spans="1:7">
      <c r="A101">
        <v>98</v>
      </c>
      <c r="B101" s="46">
        <v>44719</v>
      </c>
      <c r="C101" s="169">
        <v>29.289618123526395</v>
      </c>
      <c r="D101" s="169">
        <v>63.624179558812038</v>
      </c>
      <c r="E101" s="169">
        <f t="shared" si="2"/>
        <v>29.289618123526395</v>
      </c>
      <c r="F101" s="190" t="str">
        <f t="shared" si="3"/>
        <v/>
      </c>
    </row>
    <row r="102" spans="1:7">
      <c r="A102">
        <v>99</v>
      </c>
      <c r="B102" s="46">
        <v>44720</v>
      </c>
      <c r="C102" s="169">
        <v>22.816061077752288</v>
      </c>
      <c r="D102" s="169">
        <v>63.624179558812038</v>
      </c>
      <c r="E102" s="169">
        <f t="shared" si="2"/>
        <v>22.816061077752288</v>
      </c>
      <c r="F102" s="190" t="str">
        <f t="shared" si="3"/>
        <v/>
      </c>
    </row>
    <row r="103" spans="1:7">
      <c r="A103">
        <v>100</v>
      </c>
      <c r="B103" s="46">
        <v>44721</v>
      </c>
      <c r="C103" s="169">
        <v>25.394766507752291</v>
      </c>
      <c r="D103" s="169">
        <v>63.624179558812038</v>
      </c>
      <c r="E103" s="169">
        <f t="shared" si="2"/>
        <v>25.394766507752291</v>
      </c>
      <c r="F103" s="190" t="str">
        <f t="shared" si="3"/>
        <v/>
      </c>
    </row>
    <row r="104" spans="1:7">
      <c r="A104">
        <v>101</v>
      </c>
      <c r="B104" s="46">
        <v>44722</v>
      </c>
      <c r="C104" s="169">
        <v>30.109927453753226</v>
      </c>
      <c r="D104" s="169">
        <v>63.624179558812038</v>
      </c>
      <c r="E104" s="169">
        <f t="shared" si="2"/>
        <v>30.109927453753226</v>
      </c>
      <c r="F104" s="190" t="str">
        <f t="shared" si="3"/>
        <v/>
      </c>
    </row>
    <row r="105" spans="1:7">
      <c r="A105">
        <v>102</v>
      </c>
      <c r="B105" s="46">
        <v>44723</v>
      </c>
      <c r="C105" s="169">
        <v>26.411685901751355</v>
      </c>
      <c r="D105" s="169">
        <v>63.624179558812038</v>
      </c>
      <c r="E105" s="169">
        <f t="shared" si="2"/>
        <v>26.411685901751355</v>
      </c>
      <c r="F105" s="190" t="str">
        <f t="shared" si="3"/>
        <v/>
      </c>
    </row>
    <row r="106" spans="1:7">
      <c r="A106">
        <v>103</v>
      </c>
      <c r="B106" s="46">
        <v>44724</v>
      </c>
      <c r="C106" s="169">
        <v>19.34826807975136</v>
      </c>
      <c r="D106" s="169">
        <v>63.624179558812038</v>
      </c>
      <c r="E106" s="169">
        <f t="shared" si="2"/>
        <v>19.34826807975136</v>
      </c>
      <c r="F106" s="190" t="str">
        <f t="shared" si="3"/>
        <v/>
      </c>
    </row>
    <row r="107" spans="1:7">
      <c r="A107">
        <v>104</v>
      </c>
      <c r="B107" s="46">
        <v>44725</v>
      </c>
      <c r="C107" s="169">
        <v>46.143242131753219</v>
      </c>
      <c r="D107" s="169">
        <v>63.624179558812038</v>
      </c>
      <c r="E107" s="169">
        <f t="shared" si="2"/>
        <v>46.143242131753219</v>
      </c>
      <c r="F107" s="190" t="str">
        <f t="shared" si="3"/>
        <v/>
      </c>
    </row>
    <row r="108" spans="1:7">
      <c r="A108">
        <v>105</v>
      </c>
      <c r="B108" s="46">
        <v>44726</v>
      </c>
      <c r="C108" s="169">
        <v>42.386232761752289</v>
      </c>
      <c r="D108" s="169">
        <v>63.624179558812038</v>
      </c>
      <c r="E108" s="169">
        <f t="shared" si="2"/>
        <v>42.386232761752289</v>
      </c>
      <c r="F108" s="190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44727</v>
      </c>
      <c r="C109" s="169">
        <v>29.875350020219035</v>
      </c>
      <c r="D109" s="169">
        <v>63.624179558812038</v>
      </c>
      <c r="E109" s="169">
        <f t="shared" si="2"/>
        <v>29.875350020219035</v>
      </c>
      <c r="F109" s="190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>J</v>
      </c>
      <c r="G109" s="191">
        <f>IF(DAY(B109)=15,D109,"")</f>
        <v>63.624179558812038</v>
      </c>
    </row>
    <row r="110" spans="1:7">
      <c r="A110">
        <v>107</v>
      </c>
      <c r="B110" s="46">
        <v>44728</v>
      </c>
      <c r="C110" s="169">
        <v>5.6969416262199735</v>
      </c>
      <c r="D110" s="169">
        <v>63.624179558812038</v>
      </c>
      <c r="E110" s="169">
        <f t="shared" si="2"/>
        <v>5.6969416262199735</v>
      </c>
      <c r="F110" s="190" t="str">
        <f t="shared" si="3"/>
        <v/>
      </c>
    </row>
    <row r="111" spans="1:7">
      <c r="A111">
        <v>108</v>
      </c>
      <c r="B111" s="46">
        <v>44729</v>
      </c>
      <c r="C111" s="169">
        <v>1.2285824382199717</v>
      </c>
      <c r="D111" s="169">
        <v>63.624179558812038</v>
      </c>
      <c r="E111" s="169">
        <f t="shared" si="2"/>
        <v>1.2285824382199717</v>
      </c>
      <c r="F111" s="190" t="str">
        <f t="shared" si="3"/>
        <v/>
      </c>
    </row>
    <row r="112" spans="1:7">
      <c r="A112">
        <v>109</v>
      </c>
      <c r="B112" s="46">
        <v>44730</v>
      </c>
      <c r="C112" s="169">
        <v>10.587945084219973</v>
      </c>
      <c r="D112" s="169">
        <v>63.624179558812038</v>
      </c>
      <c r="E112" s="169">
        <f t="shared" si="2"/>
        <v>10.587945084219973</v>
      </c>
      <c r="F112" s="190" t="str">
        <f t="shared" si="3"/>
        <v/>
      </c>
    </row>
    <row r="113" spans="1:6">
      <c r="A113">
        <v>110</v>
      </c>
      <c r="B113" s="46">
        <v>44731</v>
      </c>
      <c r="C113" s="169">
        <v>1.4968882962209027</v>
      </c>
      <c r="D113" s="169">
        <v>63.624179558812038</v>
      </c>
      <c r="E113" s="169">
        <f t="shared" si="2"/>
        <v>1.4968882962209027</v>
      </c>
      <c r="F113" s="190" t="str">
        <f t="shared" si="3"/>
        <v/>
      </c>
    </row>
    <row r="114" spans="1:6">
      <c r="A114">
        <v>111</v>
      </c>
      <c r="B114" s="46">
        <v>44732</v>
      </c>
      <c r="C114" s="169">
        <v>4.6390828182190385</v>
      </c>
      <c r="D114" s="169">
        <v>63.624179558812038</v>
      </c>
      <c r="E114" s="169">
        <f t="shared" si="2"/>
        <v>4.6390828182190385</v>
      </c>
      <c r="F114" s="190" t="str">
        <f t="shared" si="3"/>
        <v/>
      </c>
    </row>
    <row r="115" spans="1:6">
      <c r="A115">
        <v>112</v>
      </c>
      <c r="B115" s="46">
        <v>44733</v>
      </c>
      <c r="C115" s="169">
        <v>7.8481299562199709</v>
      </c>
      <c r="D115" s="169">
        <v>63.624179558812038</v>
      </c>
      <c r="E115" s="169">
        <f t="shared" si="2"/>
        <v>7.8481299562199709</v>
      </c>
      <c r="F115" s="190" t="str">
        <f t="shared" si="3"/>
        <v/>
      </c>
    </row>
    <row r="116" spans="1:6">
      <c r="A116">
        <v>113</v>
      </c>
      <c r="B116" s="46">
        <v>44734</v>
      </c>
      <c r="C116" s="169">
        <v>19.553716010242528</v>
      </c>
      <c r="D116" s="169">
        <v>63.624179558812038</v>
      </c>
      <c r="E116" s="169">
        <f t="shared" si="2"/>
        <v>19.553716010242528</v>
      </c>
      <c r="F116" s="190" t="str">
        <f t="shared" si="3"/>
        <v/>
      </c>
    </row>
    <row r="117" spans="1:6">
      <c r="A117">
        <v>114</v>
      </c>
      <c r="B117" s="46">
        <v>44735</v>
      </c>
      <c r="C117" s="169">
        <v>11.837183138243461</v>
      </c>
      <c r="D117" s="169">
        <v>63.624179558812038</v>
      </c>
      <c r="E117" s="169">
        <f t="shared" si="2"/>
        <v>11.837183138243461</v>
      </c>
      <c r="F117" s="190" t="str">
        <f t="shared" si="3"/>
        <v/>
      </c>
    </row>
    <row r="118" spans="1:6">
      <c r="A118">
        <v>115</v>
      </c>
      <c r="B118" s="46">
        <v>44736</v>
      </c>
      <c r="C118" s="169">
        <v>13.610529506245326</v>
      </c>
      <c r="D118" s="169">
        <v>63.624179558812038</v>
      </c>
      <c r="E118" s="169">
        <f t="shared" si="2"/>
        <v>13.610529506245326</v>
      </c>
      <c r="F118" s="190" t="str">
        <f t="shared" si="3"/>
        <v/>
      </c>
    </row>
    <row r="119" spans="1:6">
      <c r="A119">
        <v>116</v>
      </c>
      <c r="B119" s="46">
        <v>44737</v>
      </c>
      <c r="C119" s="169">
        <v>14.079669344244394</v>
      </c>
      <c r="D119" s="169">
        <v>63.624179558812038</v>
      </c>
      <c r="E119" s="169">
        <f t="shared" si="2"/>
        <v>14.079669344244394</v>
      </c>
      <c r="F119" s="190" t="str">
        <f t="shared" si="3"/>
        <v/>
      </c>
    </row>
    <row r="120" spans="1:6">
      <c r="A120">
        <v>117</v>
      </c>
      <c r="B120" s="46">
        <v>44738</v>
      </c>
      <c r="C120" s="169">
        <v>14.795590156243463</v>
      </c>
      <c r="D120" s="169">
        <v>63.624179558812038</v>
      </c>
      <c r="E120" s="169">
        <f t="shared" si="2"/>
        <v>14.795590156243463</v>
      </c>
      <c r="F120" s="190" t="str">
        <f t="shared" si="3"/>
        <v/>
      </c>
    </row>
    <row r="121" spans="1:6">
      <c r="A121">
        <v>118</v>
      </c>
      <c r="B121" s="46">
        <v>44739</v>
      </c>
      <c r="C121" s="169">
        <v>16.280848046242532</v>
      </c>
      <c r="D121" s="169">
        <v>63.624179558812038</v>
      </c>
      <c r="E121" s="169">
        <f t="shared" si="2"/>
        <v>16.280848046242532</v>
      </c>
      <c r="F121" s="190" t="str">
        <f t="shared" si="3"/>
        <v/>
      </c>
    </row>
    <row r="122" spans="1:6">
      <c r="A122">
        <v>119</v>
      </c>
      <c r="B122" s="46">
        <v>44740</v>
      </c>
      <c r="C122" s="169">
        <v>21.948123164243466</v>
      </c>
      <c r="D122" s="169">
        <v>63.624179558812038</v>
      </c>
      <c r="E122" s="169">
        <f t="shared" si="2"/>
        <v>21.948123164243466</v>
      </c>
      <c r="F122" s="190" t="str">
        <f t="shared" si="3"/>
        <v/>
      </c>
    </row>
    <row r="123" spans="1:6">
      <c r="A123">
        <v>120</v>
      </c>
      <c r="B123" s="46">
        <v>44741</v>
      </c>
      <c r="C123" s="169">
        <v>9.1809477699111923</v>
      </c>
      <c r="D123" s="169">
        <v>63.624179558812038</v>
      </c>
      <c r="E123" s="169">
        <f t="shared" si="2"/>
        <v>9.1809477699111923</v>
      </c>
      <c r="F123" s="190" t="str">
        <f t="shared" si="3"/>
        <v/>
      </c>
    </row>
    <row r="124" spans="1:6">
      <c r="A124">
        <v>121</v>
      </c>
      <c r="B124" s="46">
        <v>44742</v>
      </c>
      <c r="C124" s="169">
        <v>13.906702505911191</v>
      </c>
      <c r="D124" s="169">
        <v>63.624179558812038</v>
      </c>
      <c r="E124" s="169">
        <f t="shared" si="2"/>
        <v>13.906702505911191</v>
      </c>
      <c r="F124" s="190" t="str">
        <f t="shared" si="3"/>
        <v/>
      </c>
    </row>
    <row r="125" spans="1:6">
      <c r="A125">
        <v>122</v>
      </c>
      <c r="B125" s="46">
        <v>44743</v>
      </c>
      <c r="C125" s="169">
        <v>18.26130749391119</v>
      </c>
      <c r="D125" s="169">
        <v>27.442156278712137</v>
      </c>
      <c r="E125" s="169">
        <f t="shared" si="2"/>
        <v>18.26130749391119</v>
      </c>
      <c r="F125" s="190" t="str">
        <f t="shared" si="3"/>
        <v/>
      </c>
    </row>
    <row r="126" spans="1:6">
      <c r="A126">
        <v>123</v>
      </c>
      <c r="B126" s="46">
        <v>44744</v>
      </c>
      <c r="C126" s="169">
        <v>13.311754027910261</v>
      </c>
      <c r="D126" s="169">
        <v>27.442156278712137</v>
      </c>
      <c r="E126" s="169">
        <f t="shared" si="2"/>
        <v>13.311754027910261</v>
      </c>
      <c r="F126" s="190" t="str">
        <f t="shared" si="3"/>
        <v/>
      </c>
    </row>
    <row r="127" spans="1:6">
      <c r="A127">
        <v>124</v>
      </c>
      <c r="B127" s="46">
        <v>44745</v>
      </c>
      <c r="C127" s="169">
        <v>10.862065957910261</v>
      </c>
      <c r="D127" s="169">
        <v>27.442156278712137</v>
      </c>
      <c r="E127" s="169">
        <f t="shared" si="2"/>
        <v>10.862065957910261</v>
      </c>
      <c r="F127" s="190" t="str">
        <f t="shared" si="3"/>
        <v/>
      </c>
    </row>
    <row r="128" spans="1:6">
      <c r="A128">
        <v>125</v>
      </c>
      <c r="B128" s="46">
        <v>44746</v>
      </c>
      <c r="C128" s="169">
        <v>12.640432783910262</v>
      </c>
      <c r="D128" s="169">
        <v>27.442156278712137</v>
      </c>
      <c r="E128" s="169">
        <f t="shared" si="2"/>
        <v>12.640432783910262</v>
      </c>
      <c r="F128" s="190" t="str">
        <f t="shared" si="3"/>
        <v/>
      </c>
    </row>
    <row r="129" spans="1:7">
      <c r="A129">
        <v>126</v>
      </c>
      <c r="B129" s="46">
        <v>44747</v>
      </c>
      <c r="C129" s="169">
        <v>9.9000488619102622</v>
      </c>
      <c r="D129" s="169">
        <v>27.442156278712137</v>
      </c>
      <c r="E129" s="169">
        <f t="shared" si="2"/>
        <v>9.9000488619102622</v>
      </c>
      <c r="F129" s="190" t="str">
        <f t="shared" si="3"/>
        <v/>
      </c>
    </row>
    <row r="130" spans="1:7">
      <c r="A130">
        <v>127</v>
      </c>
      <c r="B130" s="46">
        <v>44748</v>
      </c>
      <c r="C130" s="169">
        <v>11.283998423679</v>
      </c>
      <c r="D130" s="169">
        <v>27.442156278712137</v>
      </c>
      <c r="E130" s="169">
        <f t="shared" si="2"/>
        <v>11.283998423679</v>
      </c>
      <c r="F130" s="190" t="str">
        <f t="shared" si="3"/>
        <v/>
      </c>
    </row>
    <row r="131" spans="1:7">
      <c r="A131">
        <v>128</v>
      </c>
      <c r="B131" s="46">
        <v>44749</v>
      </c>
      <c r="C131" s="169">
        <v>8.9849090036817945</v>
      </c>
      <c r="D131" s="169">
        <v>27.442156278712137</v>
      </c>
      <c r="E131" s="169">
        <f t="shared" si="2"/>
        <v>8.9849090036817945</v>
      </c>
      <c r="F131" s="190" t="str">
        <f t="shared" si="3"/>
        <v/>
      </c>
    </row>
    <row r="132" spans="1:7">
      <c r="A132">
        <v>129</v>
      </c>
      <c r="B132" s="46">
        <v>44750</v>
      </c>
      <c r="C132" s="169">
        <v>9.7572991336799308</v>
      </c>
      <c r="D132" s="169">
        <v>27.442156278712137</v>
      </c>
      <c r="E132" s="169">
        <f t="shared" ref="E132:E195" si="4">IF(C132&lt;D132,C132,D132)</f>
        <v>9.7572991336799308</v>
      </c>
      <c r="F132" s="190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44751</v>
      </c>
      <c r="C133" s="169">
        <v>10.604230937679</v>
      </c>
      <c r="D133" s="169">
        <v>27.442156278712137</v>
      </c>
      <c r="E133" s="169">
        <f t="shared" si="4"/>
        <v>10.604230937679</v>
      </c>
      <c r="F133" s="190" t="str">
        <f t="shared" si="5"/>
        <v/>
      </c>
    </row>
    <row r="134" spans="1:7">
      <c r="A134">
        <v>131</v>
      </c>
      <c r="B134" s="46">
        <v>44752</v>
      </c>
      <c r="C134" s="169">
        <v>6.8015913716790015</v>
      </c>
      <c r="D134" s="169">
        <v>27.442156278712137</v>
      </c>
      <c r="E134" s="169">
        <f t="shared" si="4"/>
        <v>6.8015913716790015</v>
      </c>
      <c r="F134" s="190" t="str">
        <f t="shared" si="5"/>
        <v/>
      </c>
    </row>
    <row r="135" spans="1:7">
      <c r="A135">
        <v>132</v>
      </c>
      <c r="B135" s="46">
        <v>44753</v>
      </c>
      <c r="C135" s="169">
        <v>9.1149374676808659</v>
      </c>
      <c r="D135" s="169">
        <v>27.442156278712137</v>
      </c>
      <c r="E135" s="169">
        <f t="shared" si="4"/>
        <v>9.1149374676808659</v>
      </c>
      <c r="F135" s="190" t="str">
        <f t="shared" si="5"/>
        <v/>
      </c>
    </row>
    <row r="136" spans="1:7">
      <c r="A136">
        <v>133</v>
      </c>
      <c r="B136" s="46">
        <v>44754</v>
      </c>
      <c r="C136" s="169">
        <v>8.5235670636790015</v>
      </c>
      <c r="D136" s="169">
        <v>27.442156278712137</v>
      </c>
      <c r="E136" s="169">
        <f t="shared" si="4"/>
        <v>8.5235670636790015</v>
      </c>
      <c r="F136" s="190" t="str">
        <f t="shared" si="5"/>
        <v/>
      </c>
    </row>
    <row r="137" spans="1:7">
      <c r="A137">
        <v>134</v>
      </c>
      <c r="B137" s="46">
        <v>44755</v>
      </c>
      <c r="C137" s="169">
        <v>4.7929471573210609</v>
      </c>
      <c r="D137" s="169">
        <v>27.442156278712137</v>
      </c>
      <c r="E137" s="169">
        <f t="shared" si="4"/>
        <v>4.7929471573210609</v>
      </c>
      <c r="F137" s="190" t="str">
        <f t="shared" si="5"/>
        <v/>
      </c>
    </row>
    <row r="138" spans="1:7">
      <c r="A138">
        <v>135</v>
      </c>
      <c r="B138" s="46">
        <v>44756</v>
      </c>
      <c r="C138" s="169">
        <v>6.4864265373191961</v>
      </c>
      <c r="D138" s="169">
        <v>27.442156278712137</v>
      </c>
      <c r="E138" s="169">
        <f t="shared" si="4"/>
        <v>6.4864265373191961</v>
      </c>
      <c r="F138" s="190" t="str">
        <f t="shared" si="5"/>
        <v/>
      </c>
    </row>
    <row r="139" spans="1:7">
      <c r="A139">
        <v>136</v>
      </c>
      <c r="B139" s="46">
        <v>44757</v>
      </c>
      <c r="C139" s="169">
        <v>1.4838149653201254</v>
      </c>
      <c r="D139" s="169">
        <v>27.442156278712137</v>
      </c>
      <c r="E139" s="169">
        <f t="shared" si="4"/>
        <v>1.4838149653201254</v>
      </c>
      <c r="F139" s="190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J</v>
      </c>
      <c r="G139" s="191">
        <f>IF(DAY(B139)=15,D139,"")</f>
        <v>27.442156278712137</v>
      </c>
    </row>
    <row r="140" spans="1:7">
      <c r="A140">
        <v>137</v>
      </c>
      <c r="B140" s="46">
        <v>44758</v>
      </c>
      <c r="C140" s="169">
        <v>1.2497050733191937</v>
      </c>
      <c r="D140" s="169">
        <v>27.442156278712137</v>
      </c>
      <c r="E140" s="169">
        <f t="shared" si="4"/>
        <v>1.2497050733191937</v>
      </c>
      <c r="F140" s="190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/>
      </c>
    </row>
    <row r="141" spans="1:7">
      <c r="A141">
        <v>138</v>
      </c>
      <c r="B141" s="46">
        <v>44759</v>
      </c>
      <c r="C141" s="169">
        <v>1.4202057053201278</v>
      </c>
      <c r="D141" s="169">
        <v>27.442156278712137</v>
      </c>
      <c r="E141" s="169">
        <f t="shared" si="4"/>
        <v>1.4202057053201278</v>
      </c>
      <c r="F141" s="190" t="str">
        <f t="shared" si="5"/>
        <v/>
      </c>
    </row>
    <row r="142" spans="1:7">
      <c r="A142">
        <v>139</v>
      </c>
      <c r="B142" s="46">
        <v>44760</v>
      </c>
      <c r="C142" s="169">
        <v>0.75884421532105628</v>
      </c>
      <c r="D142" s="169">
        <v>27.442156278712137</v>
      </c>
      <c r="E142" s="169">
        <f t="shared" si="4"/>
        <v>0.75884421532105628</v>
      </c>
      <c r="F142" s="190" t="str">
        <f t="shared" si="5"/>
        <v/>
      </c>
    </row>
    <row r="143" spans="1:7">
      <c r="A143">
        <v>140</v>
      </c>
      <c r="B143" s="46">
        <v>44761</v>
      </c>
      <c r="C143" s="169">
        <v>1.145779831319196</v>
      </c>
      <c r="D143" s="169">
        <v>27.442156278712137</v>
      </c>
      <c r="E143" s="169">
        <f t="shared" si="4"/>
        <v>1.145779831319196</v>
      </c>
      <c r="F143" s="190" t="str">
        <f t="shared" si="5"/>
        <v/>
      </c>
    </row>
    <row r="144" spans="1:7">
      <c r="A144">
        <v>141</v>
      </c>
      <c r="B144" s="46">
        <v>44762</v>
      </c>
      <c r="C144" s="169">
        <v>20.095398515821355</v>
      </c>
      <c r="D144" s="169">
        <v>27.442156278712137</v>
      </c>
      <c r="E144" s="169">
        <f t="shared" si="4"/>
        <v>20.095398515821355</v>
      </c>
      <c r="F144" s="190" t="str">
        <f t="shared" si="5"/>
        <v/>
      </c>
    </row>
    <row r="145" spans="1:6">
      <c r="A145">
        <v>142</v>
      </c>
      <c r="B145" s="46">
        <v>44763</v>
      </c>
      <c r="C145" s="169">
        <v>2.558431247822289</v>
      </c>
      <c r="D145" s="169">
        <v>27.442156278712137</v>
      </c>
      <c r="E145" s="169">
        <f t="shared" si="4"/>
        <v>2.558431247822289</v>
      </c>
      <c r="F145" s="190" t="str">
        <f t="shared" si="5"/>
        <v/>
      </c>
    </row>
    <row r="146" spans="1:6">
      <c r="A146">
        <v>143</v>
      </c>
      <c r="B146" s="46">
        <v>44764</v>
      </c>
      <c r="C146" s="169">
        <v>9.7333589778213572</v>
      </c>
      <c r="D146" s="169">
        <v>27.442156278712137</v>
      </c>
      <c r="E146" s="169">
        <f t="shared" si="4"/>
        <v>9.7333589778213572</v>
      </c>
      <c r="F146" s="190" t="str">
        <f t="shared" si="5"/>
        <v/>
      </c>
    </row>
    <row r="147" spans="1:6">
      <c r="A147">
        <v>144</v>
      </c>
      <c r="B147" s="46">
        <v>44765</v>
      </c>
      <c r="C147" s="169">
        <v>1.8437223678213559</v>
      </c>
      <c r="D147" s="169">
        <v>27.442156278712137</v>
      </c>
      <c r="E147" s="169">
        <f t="shared" si="4"/>
        <v>1.8437223678213559</v>
      </c>
      <c r="F147" s="190" t="str">
        <f t="shared" si="5"/>
        <v/>
      </c>
    </row>
    <row r="148" spans="1:6">
      <c r="A148">
        <v>145</v>
      </c>
      <c r="B148" s="46">
        <v>44766</v>
      </c>
      <c r="C148" s="169">
        <v>6.3252045378232218</v>
      </c>
      <c r="D148" s="169">
        <v>27.442156278712137</v>
      </c>
      <c r="E148" s="169">
        <f t="shared" si="4"/>
        <v>6.3252045378232218</v>
      </c>
      <c r="F148" s="190" t="str">
        <f t="shared" si="5"/>
        <v/>
      </c>
    </row>
    <row r="149" spans="1:6">
      <c r="A149">
        <v>146</v>
      </c>
      <c r="B149" s="46">
        <v>44767</v>
      </c>
      <c r="C149" s="169">
        <v>2.6187397778213564</v>
      </c>
      <c r="D149" s="169">
        <v>27.442156278712137</v>
      </c>
      <c r="E149" s="169">
        <f t="shared" si="4"/>
        <v>2.6187397778213564</v>
      </c>
      <c r="F149" s="190" t="str">
        <f t="shared" si="5"/>
        <v/>
      </c>
    </row>
    <row r="150" spans="1:6">
      <c r="A150">
        <v>147</v>
      </c>
      <c r="B150" s="46">
        <v>44768</v>
      </c>
      <c r="C150" s="169">
        <v>3.9734406878222872</v>
      </c>
      <c r="D150" s="169">
        <v>27.442156278712137</v>
      </c>
      <c r="E150" s="169">
        <f t="shared" si="4"/>
        <v>3.9734406878222872</v>
      </c>
      <c r="F150" s="190" t="str">
        <f t="shared" si="5"/>
        <v/>
      </c>
    </row>
    <row r="151" spans="1:6">
      <c r="A151">
        <v>148</v>
      </c>
      <c r="B151" s="46">
        <v>44769</v>
      </c>
      <c r="C151" s="169">
        <v>2.3285343500869931</v>
      </c>
      <c r="D151" s="169">
        <v>27.442156278712137</v>
      </c>
      <c r="E151" s="169">
        <f t="shared" si="4"/>
        <v>2.3285343500869931</v>
      </c>
      <c r="F151" s="190" t="str">
        <f t="shared" si="5"/>
        <v/>
      </c>
    </row>
    <row r="152" spans="1:6">
      <c r="A152">
        <v>149</v>
      </c>
      <c r="B152" s="46">
        <v>44770</v>
      </c>
      <c r="C152" s="169">
        <v>3.0132909940860628</v>
      </c>
      <c r="D152" s="169">
        <v>27.442156278712137</v>
      </c>
      <c r="E152" s="169">
        <f t="shared" si="4"/>
        <v>3.0132909940860628</v>
      </c>
      <c r="F152" s="190" t="str">
        <f t="shared" si="5"/>
        <v/>
      </c>
    </row>
    <row r="153" spans="1:6">
      <c r="A153">
        <v>150</v>
      </c>
      <c r="B153" s="46">
        <v>44771</v>
      </c>
      <c r="C153" s="169">
        <v>7.9956250000860596</v>
      </c>
      <c r="D153" s="169">
        <v>27.442156278712137</v>
      </c>
      <c r="E153" s="169">
        <f t="shared" si="4"/>
        <v>7.9956250000860596</v>
      </c>
      <c r="F153" s="190" t="str">
        <f t="shared" si="5"/>
        <v/>
      </c>
    </row>
    <row r="154" spans="1:6">
      <c r="A154">
        <v>151</v>
      </c>
      <c r="B154" s="46">
        <v>44772</v>
      </c>
      <c r="C154" s="169">
        <v>1.3761316360860618</v>
      </c>
      <c r="D154" s="169">
        <v>27.442156278712137</v>
      </c>
      <c r="E154" s="169">
        <f t="shared" si="4"/>
        <v>1.3761316360860618</v>
      </c>
      <c r="F154" s="190" t="str">
        <f t="shared" si="5"/>
        <v/>
      </c>
    </row>
    <row r="155" spans="1:6">
      <c r="A155">
        <v>152</v>
      </c>
      <c r="B155" s="46">
        <v>44773</v>
      </c>
      <c r="C155" s="169">
        <v>1.0365645200851323</v>
      </c>
      <c r="D155" s="169">
        <v>27.442156278712137</v>
      </c>
      <c r="E155" s="169">
        <f t="shared" si="4"/>
        <v>1.0365645200851323</v>
      </c>
      <c r="F155" s="190" t="str">
        <f t="shared" si="5"/>
        <v/>
      </c>
    </row>
    <row r="156" spans="1:6">
      <c r="A156">
        <v>153</v>
      </c>
      <c r="B156" s="46">
        <v>44774</v>
      </c>
      <c r="C156" s="169">
        <v>3.4157058080869973</v>
      </c>
      <c r="D156" s="169">
        <v>16.581237981614105</v>
      </c>
      <c r="E156" s="169">
        <f t="shared" si="4"/>
        <v>3.4157058080869973</v>
      </c>
      <c r="F156" s="190" t="str">
        <f t="shared" si="5"/>
        <v/>
      </c>
    </row>
    <row r="157" spans="1:6">
      <c r="A157">
        <v>154</v>
      </c>
      <c r="B157" s="46">
        <v>44775</v>
      </c>
      <c r="C157" s="169">
        <v>5.5336346980869928</v>
      </c>
      <c r="D157" s="169">
        <v>16.581237981614105</v>
      </c>
      <c r="E157" s="169">
        <f t="shared" si="4"/>
        <v>5.5336346980869928</v>
      </c>
      <c r="F157" s="190" t="str">
        <f t="shared" si="5"/>
        <v/>
      </c>
    </row>
    <row r="158" spans="1:6">
      <c r="A158">
        <v>155</v>
      </c>
      <c r="B158" s="46">
        <v>44776</v>
      </c>
      <c r="C158" s="169">
        <v>1.0150136552845797</v>
      </c>
      <c r="D158" s="169">
        <v>16.581237981614105</v>
      </c>
      <c r="E158" s="169">
        <f t="shared" si="4"/>
        <v>1.0150136552845797</v>
      </c>
      <c r="F158" s="190" t="str">
        <f t="shared" si="5"/>
        <v/>
      </c>
    </row>
    <row r="159" spans="1:6">
      <c r="A159">
        <v>156</v>
      </c>
      <c r="B159" s="46">
        <v>44777</v>
      </c>
      <c r="C159" s="169">
        <v>1.4196845172845787</v>
      </c>
      <c r="D159" s="169">
        <v>16.581237981614105</v>
      </c>
      <c r="E159" s="169">
        <f t="shared" si="4"/>
        <v>1.4196845172845787</v>
      </c>
      <c r="F159" s="190" t="str">
        <f t="shared" si="5"/>
        <v/>
      </c>
    </row>
    <row r="160" spans="1:6">
      <c r="A160">
        <v>157</v>
      </c>
      <c r="B160" s="46">
        <v>44778</v>
      </c>
      <c r="C160" s="169">
        <v>1.344578549284579</v>
      </c>
      <c r="D160" s="169">
        <v>16.581237981614105</v>
      </c>
      <c r="E160" s="169">
        <f t="shared" si="4"/>
        <v>1.344578549284579</v>
      </c>
      <c r="F160" s="190" t="str">
        <f t="shared" si="5"/>
        <v/>
      </c>
    </row>
    <row r="161" spans="1:7">
      <c r="A161">
        <v>158</v>
      </c>
      <c r="B161" s="46">
        <v>44779</v>
      </c>
      <c r="C161" s="169">
        <v>0.84473048328457667</v>
      </c>
      <c r="D161" s="169">
        <v>16.581237981614105</v>
      </c>
      <c r="E161" s="169">
        <f t="shared" si="4"/>
        <v>0.84473048328457667</v>
      </c>
      <c r="F161" s="190" t="str">
        <f t="shared" si="5"/>
        <v/>
      </c>
    </row>
    <row r="162" spans="1:7">
      <c r="A162">
        <v>159</v>
      </c>
      <c r="B162" s="46">
        <v>44780</v>
      </c>
      <c r="C162" s="169">
        <v>0.6848620392845769</v>
      </c>
      <c r="D162" s="169">
        <v>16.581237981614105</v>
      </c>
      <c r="E162" s="169">
        <f t="shared" si="4"/>
        <v>0.6848620392845769</v>
      </c>
      <c r="F162" s="190" t="str">
        <f t="shared" si="5"/>
        <v/>
      </c>
    </row>
    <row r="163" spans="1:7">
      <c r="A163">
        <v>160</v>
      </c>
      <c r="B163" s="46">
        <v>44781</v>
      </c>
      <c r="C163" s="169">
        <v>1.3548702392864398</v>
      </c>
      <c r="D163" s="169">
        <v>16.581237981614105</v>
      </c>
      <c r="E163" s="169">
        <f t="shared" si="4"/>
        <v>1.3548702392864398</v>
      </c>
      <c r="F163" s="190" t="str">
        <f t="shared" si="5"/>
        <v/>
      </c>
    </row>
    <row r="164" spans="1:7">
      <c r="A164">
        <v>161</v>
      </c>
      <c r="B164" s="46">
        <v>44782</v>
      </c>
      <c r="C164" s="169">
        <v>0.71445054728457758</v>
      </c>
      <c r="D164" s="169">
        <v>16.581237981614105</v>
      </c>
      <c r="E164" s="169">
        <f t="shared" si="4"/>
        <v>0.71445054728457758</v>
      </c>
      <c r="F164" s="190" t="str">
        <f t="shared" si="5"/>
        <v/>
      </c>
    </row>
    <row r="165" spans="1:7">
      <c r="A165">
        <v>162</v>
      </c>
      <c r="B165" s="46">
        <v>44783</v>
      </c>
      <c r="C165" s="169">
        <v>4.951292308998454</v>
      </c>
      <c r="D165" s="169">
        <v>16.581237981614105</v>
      </c>
      <c r="E165" s="169">
        <f t="shared" si="4"/>
        <v>4.951292308998454</v>
      </c>
      <c r="F165" s="190" t="str">
        <f t="shared" si="5"/>
        <v/>
      </c>
    </row>
    <row r="166" spans="1:7">
      <c r="A166">
        <v>163</v>
      </c>
      <c r="B166" s="46">
        <v>44784</v>
      </c>
      <c r="C166" s="169">
        <v>1.8089405069993882</v>
      </c>
      <c r="D166" s="169">
        <v>16.581237981614105</v>
      </c>
      <c r="E166" s="169">
        <f t="shared" si="4"/>
        <v>1.8089405069993882</v>
      </c>
      <c r="F166" s="190" t="str">
        <f t="shared" si="5"/>
        <v/>
      </c>
    </row>
    <row r="167" spans="1:7">
      <c r="A167">
        <v>164</v>
      </c>
      <c r="B167" s="46">
        <v>44785</v>
      </c>
      <c r="C167" s="169">
        <v>1.2088658429984571</v>
      </c>
      <c r="D167" s="169">
        <v>16.581237981614105</v>
      </c>
      <c r="E167" s="169">
        <f t="shared" si="4"/>
        <v>1.2088658429984571</v>
      </c>
      <c r="F167" s="190" t="str">
        <f t="shared" si="5"/>
        <v/>
      </c>
    </row>
    <row r="168" spans="1:7">
      <c r="A168">
        <v>165</v>
      </c>
      <c r="B168" s="46">
        <v>44786</v>
      </c>
      <c r="C168" s="169">
        <v>2.0559283149993899</v>
      </c>
      <c r="D168" s="169">
        <v>16.581237981614105</v>
      </c>
      <c r="E168" s="169">
        <f t="shared" si="4"/>
        <v>2.0559283149993899</v>
      </c>
      <c r="F168" s="190" t="str">
        <f t="shared" si="5"/>
        <v/>
      </c>
    </row>
    <row r="169" spans="1:7">
      <c r="A169">
        <v>166</v>
      </c>
      <c r="B169" s="46">
        <v>44787</v>
      </c>
      <c r="C169" s="169">
        <v>1.3494826249993894</v>
      </c>
      <c r="D169" s="169">
        <v>16.581237981614105</v>
      </c>
      <c r="E169" s="169">
        <f t="shared" si="4"/>
        <v>1.3494826249993894</v>
      </c>
      <c r="F169" s="190" t="str">
        <f t="shared" si="5"/>
        <v/>
      </c>
    </row>
    <row r="170" spans="1:7">
      <c r="A170">
        <v>167</v>
      </c>
      <c r="B170" s="46">
        <v>44788</v>
      </c>
      <c r="C170" s="169">
        <v>1.4888449209993888</v>
      </c>
      <c r="D170" s="169">
        <v>16.581237981614105</v>
      </c>
      <c r="E170" s="169">
        <f t="shared" si="4"/>
        <v>1.4888449209993888</v>
      </c>
      <c r="F170" s="190" t="str">
        <f t="shared" si="5"/>
        <v>A</v>
      </c>
      <c r="G170" s="191">
        <f>IF(DAY(B170)=15,D170,"")</f>
        <v>16.581237981614105</v>
      </c>
    </row>
    <row r="171" spans="1:7">
      <c r="A171">
        <v>168</v>
      </c>
      <c r="B171" s="46">
        <v>44789</v>
      </c>
      <c r="C171" s="169">
        <v>1.9584668109975283</v>
      </c>
      <c r="D171" s="169">
        <v>16.581237981614105</v>
      </c>
      <c r="E171" s="169">
        <f t="shared" si="4"/>
        <v>1.9584668109975283</v>
      </c>
      <c r="F171" s="190" t="str">
        <f t="shared" si="5"/>
        <v/>
      </c>
    </row>
    <row r="172" spans="1:7">
      <c r="A172">
        <v>169</v>
      </c>
      <c r="B172" s="46">
        <v>44790</v>
      </c>
      <c r="C172" s="169">
        <v>2.0455242808154872</v>
      </c>
      <c r="D172" s="169">
        <v>16.581237981614105</v>
      </c>
      <c r="E172" s="169">
        <f t="shared" si="4"/>
        <v>2.0455242808154872</v>
      </c>
      <c r="F172" s="190" t="str">
        <f t="shared" si="5"/>
        <v/>
      </c>
    </row>
    <row r="173" spans="1:7">
      <c r="A173">
        <v>170</v>
      </c>
      <c r="B173" s="46">
        <v>44791</v>
      </c>
      <c r="C173" s="169">
        <v>4.2989096648145573</v>
      </c>
      <c r="D173" s="169">
        <v>16.581237981614105</v>
      </c>
      <c r="E173" s="169">
        <f t="shared" si="4"/>
        <v>4.2989096648145573</v>
      </c>
      <c r="F173" s="190" t="str">
        <f t="shared" si="5"/>
        <v/>
      </c>
    </row>
    <row r="174" spans="1:7">
      <c r="A174">
        <v>171</v>
      </c>
      <c r="B174" s="46">
        <v>44792</v>
      </c>
      <c r="C174" s="169">
        <v>12.690759120815484</v>
      </c>
      <c r="D174" s="169">
        <v>16.581237981614105</v>
      </c>
      <c r="E174" s="169">
        <f t="shared" si="4"/>
        <v>12.690759120815484</v>
      </c>
      <c r="F174" s="190" t="str">
        <f t="shared" si="5"/>
        <v/>
      </c>
    </row>
    <row r="175" spans="1:7">
      <c r="A175">
        <v>172</v>
      </c>
      <c r="B175" s="46">
        <v>44793</v>
      </c>
      <c r="C175" s="169">
        <v>8.6578875528154864</v>
      </c>
      <c r="D175" s="169">
        <v>16.581237981614105</v>
      </c>
      <c r="E175" s="169">
        <f t="shared" si="4"/>
        <v>8.6578875528154864</v>
      </c>
      <c r="F175" s="190" t="str">
        <f t="shared" si="5"/>
        <v/>
      </c>
    </row>
    <row r="176" spans="1:7">
      <c r="A176">
        <v>173</v>
      </c>
      <c r="B176" s="46">
        <v>44794</v>
      </c>
      <c r="C176" s="169">
        <v>0.61437914281455597</v>
      </c>
      <c r="D176" s="169">
        <v>16.581237981614105</v>
      </c>
      <c r="E176" s="169">
        <f t="shared" si="4"/>
        <v>0.61437914281455597</v>
      </c>
      <c r="F176" s="190" t="str">
        <f t="shared" si="5"/>
        <v/>
      </c>
    </row>
    <row r="177" spans="1:6">
      <c r="A177">
        <v>174</v>
      </c>
      <c r="B177" s="46">
        <v>44795</v>
      </c>
      <c r="C177" s="169">
        <v>3.5108373468164173</v>
      </c>
      <c r="D177" s="169">
        <v>16.581237981614105</v>
      </c>
      <c r="E177" s="169">
        <f t="shared" si="4"/>
        <v>3.5108373468164173</v>
      </c>
      <c r="F177" s="190" t="str">
        <f t="shared" si="5"/>
        <v/>
      </c>
    </row>
    <row r="178" spans="1:6">
      <c r="A178">
        <v>175</v>
      </c>
      <c r="B178" s="46">
        <v>44796</v>
      </c>
      <c r="C178" s="169">
        <v>14.344237460814554</v>
      </c>
      <c r="D178" s="169">
        <v>16.581237981614105</v>
      </c>
      <c r="E178" s="169">
        <f t="shared" si="4"/>
        <v>14.344237460814554</v>
      </c>
      <c r="F178" s="190" t="str">
        <f t="shared" si="5"/>
        <v/>
      </c>
    </row>
    <row r="179" spans="1:6">
      <c r="A179">
        <v>176</v>
      </c>
      <c r="B179" s="46">
        <v>44797</v>
      </c>
      <c r="C179" s="169">
        <v>8.5498916085703378</v>
      </c>
      <c r="D179" s="169">
        <v>16.581237981614105</v>
      </c>
      <c r="E179" s="169">
        <f t="shared" si="4"/>
        <v>8.5498916085703378</v>
      </c>
      <c r="F179" s="190" t="str">
        <f t="shared" si="5"/>
        <v/>
      </c>
    </row>
    <row r="180" spans="1:6">
      <c r="A180">
        <v>177</v>
      </c>
      <c r="B180" s="46">
        <v>44798</v>
      </c>
      <c r="C180" s="169">
        <v>1.5303369785712713</v>
      </c>
      <c r="D180" s="169">
        <v>16.581237981614105</v>
      </c>
      <c r="E180" s="169">
        <f t="shared" si="4"/>
        <v>1.5303369785712713</v>
      </c>
      <c r="F180" s="190" t="str">
        <f t="shared" si="5"/>
        <v/>
      </c>
    </row>
    <row r="181" spans="1:6">
      <c r="A181">
        <v>178</v>
      </c>
      <c r="B181" s="46">
        <v>44799</v>
      </c>
      <c r="C181" s="169">
        <v>0.83904528857127303</v>
      </c>
      <c r="D181" s="169">
        <v>16.581237981614105</v>
      </c>
      <c r="E181" s="169">
        <f t="shared" si="4"/>
        <v>0.83904528857127303</v>
      </c>
      <c r="F181" s="190" t="str">
        <f t="shared" si="5"/>
        <v/>
      </c>
    </row>
    <row r="182" spans="1:6">
      <c r="A182">
        <v>179</v>
      </c>
      <c r="B182" s="46">
        <v>44800</v>
      </c>
      <c r="C182" s="169">
        <v>6.8410561985703389</v>
      </c>
      <c r="D182" s="169">
        <v>16.581237981614105</v>
      </c>
      <c r="E182" s="169">
        <f t="shared" si="4"/>
        <v>6.8410561985703389</v>
      </c>
      <c r="F182" s="190" t="str">
        <f t="shared" si="5"/>
        <v/>
      </c>
    </row>
    <row r="183" spans="1:6">
      <c r="A183">
        <v>180</v>
      </c>
      <c r="B183" s="46">
        <v>44801</v>
      </c>
      <c r="C183" s="169">
        <v>1.2625524625712714</v>
      </c>
      <c r="D183" s="169">
        <v>16.581237981614105</v>
      </c>
      <c r="E183" s="169">
        <f t="shared" si="4"/>
        <v>1.2625524625712714</v>
      </c>
      <c r="F183" s="190" t="str">
        <f t="shared" si="5"/>
        <v/>
      </c>
    </row>
    <row r="184" spans="1:6">
      <c r="A184">
        <v>181</v>
      </c>
      <c r="B184" s="46">
        <v>44802</v>
      </c>
      <c r="C184" s="169">
        <v>7.5174735565703381</v>
      </c>
      <c r="D184" s="169">
        <v>16.581237981614105</v>
      </c>
      <c r="E184" s="169">
        <f t="shared" si="4"/>
        <v>7.5174735565703381</v>
      </c>
      <c r="F184" s="190" t="str">
        <f t="shared" si="5"/>
        <v/>
      </c>
    </row>
    <row r="185" spans="1:6">
      <c r="A185">
        <v>182</v>
      </c>
      <c r="B185" s="46">
        <v>44803</v>
      </c>
      <c r="C185" s="169">
        <v>19.776171736570337</v>
      </c>
      <c r="D185" s="169">
        <v>16.581237981614105</v>
      </c>
      <c r="E185" s="169">
        <f t="shared" si="4"/>
        <v>16.581237981614105</v>
      </c>
      <c r="F185" s="190" t="str">
        <f t="shared" si="5"/>
        <v/>
      </c>
    </row>
    <row r="186" spans="1:6">
      <c r="A186">
        <v>183</v>
      </c>
      <c r="B186" s="46">
        <v>44804</v>
      </c>
      <c r="C186" s="169">
        <v>8.722780433249012</v>
      </c>
      <c r="D186" s="169">
        <v>16.581237981614105</v>
      </c>
      <c r="E186" s="169">
        <f t="shared" si="4"/>
        <v>8.722780433249012</v>
      </c>
      <c r="F186" s="190" t="str">
        <f t="shared" si="5"/>
        <v/>
      </c>
    </row>
    <row r="187" spans="1:6">
      <c r="A187">
        <v>184</v>
      </c>
      <c r="B187" s="46">
        <v>44805</v>
      </c>
      <c r="C187" s="169">
        <v>3.75937736524715</v>
      </c>
      <c r="D187" s="169">
        <v>21.033168040284398</v>
      </c>
      <c r="E187" s="169">
        <f t="shared" si="4"/>
        <v>3.75937736524715</v>
      </c>
      <c r="F187" s="190" t="str">
        <f t="shared" si="5"/>
        <v/>
      </c>
    </row>
    <row r="188" spans="1:6">
      <c r="A188">
        <v>185</v>
      </c>
      <c r="B188" s="46">
        <v>44806</v>
      </c>
      <c r="C188" s="169">
        <v>0.88406260924808155</v>
      </c>
      <c r="D188" s="169">
        <v>21.033168040284398</v>
      </c>
      <c r="E188" s="169">
        <f t="shared" si="4"/>
        <v>0.88406260924808155</v>
      </c>
      <c r="F188" s="190" t="str">
        <f t="shared" si="5"/>
        <v/>
      </c>
    </row>
    <row r="189" spans="1:6">
      <c r="A189">
        <v>186</v>
      </c>
      <c r="B189" s="46">
        <v>44807</v>
      </c>
      <c r="C189" s="169">
        <v>1.0237342512480792</v>
      </c>
      <c r="D189" s="169">
        <v>21.033168040284398</v>
      </c>
      <c r="E189" s="169">
        <f t="shared" si="4"/>
        <v>1.0237342512480792</v>
      </c>
      <c r="F189" s="190" t="str">
        <f t="shared" si="5"/>
        <v/>
      </c>
    </row>
    <row r="190" spans="1:6">
      <c r="A190">
        <v>187</v>
      </c>
      <c r="B190" s="46">
        <v>44808</v>
      </c>
      <c r="C190" s="169">
        <v>0.77966490724714821</v>
      </c>
      <c r="D190" s="169">
        <v>21.033168040284398</v>
      </c>
      <c r="E190" s="169">
        <f t="shared" si="4"/>
        <v>0.77966490724714821</v>
      </c>
      <c r="F190" s="190" t="str">
        <f t="shared" si="5"/>
        <v/>
      </c>
    </row>
    <row r="191" spans="1:6">
      <c r="A191">
        <v>188</v>
      </c>
      <c r="B191" s="46">
        <v>44809</v>
      </c>
      <c r="C191" s="169">
        <v>1.1887372492471477</v>
      </c>
      <c r="D191" s="169">
        <v>21.033168040284398</v>
      </c>
      <c r="E191" s="169">
        <f t="shared" si="4"/>
        <v>1.1887372492471477</v>
      </c>
      <c r="F191" s="190" t="str">
        <f t="shared" si="5"/>
        <v/>
      </c>
    </row>
    <row r="192" spans="1:6">
      <c r="A192">
        <v>189</v>
      </c>
      <c r="B192" s="46">
        <v>44810</v>
      </c>
      <c r="C192" s="169">
        <v>1.0673817012471483</v>
      </c>
      <c r="D192" s="169">
        <v>21.033168040284398</v>
      </c>
      <c r="E192" s="169">
        <f t="shared" si="4"/>
        <v>1.0673817012471483</v>
      </c>
      <c r="F192" s="190" t="str">
        <f t="shared" si="5"/>
        <v/>
      </c>
    </row>
    <row r="193" spans="1:7">
      <c r="A193">
        <v>190</v>
      </c>
      <c r="B193" s="46">
        <v>44811</v>
      </c>
      <c r="C193" s="169">
        <v>2.861113293107628</v>
      </c>
      <c r="D193" s="169">
        <v>21.033168040284398</v>
      </c>
      <c r="E193" s="169">
        <f t="shared" si="4"/>
        <v>2.861113293107628</v>
      </c>
      <c r="F193" s="190" t="str">
        <f t="shared" si="5"/>
        <v/>
      </c>
    </row>
    <row r="194" spans="1:7">
      <c r="A194">
        <v>191</v>
      </c>
      <c r="B194" s="46">
        <v>44812</v>
      </c>
      <c r="C194" s="169">
        <v>14.729327259105769</v>
      </c>
      <c r="D194" s="169">
        <v>21.033168040284398</v>
      </c>
      <c r="E194" s="169">
        <f t="shared" si="4"/>
        <v>14.729327259105769</v>
      </c>
      <c r="F194" s="190" t="str">
        <f t="shared" si="5"/>
        <v/>
      </c>
    </row>
    <row r="195" spans="1:7">
      <c r="A195">
        <v>192</v>
      </c>
      <c r="B195" s="46">
        <v>44813</v>
      </c>
      <c r="C195" s="169">
        <v>35.028359161107623</v>
      </c>
      <c r="D195" s="169">
        <v>21.033168040284398</v>
      </c>
      <c r="E195" s="169">
        <f t="shared" si="4"/>
        <v>21.033168040284398</v>
      </c>
      <c r="F195" s="190" t="str">
        <f t="shared" si="5"/>
        <v/>
      </c>
    </row>
    <row r="196" spans="1:7">
      <c r="A196">
        <v>193</v>
      </c>
      <c r="B196" s="46">
        <v>44814</v>
      </c>
      <c r="C196" s="169">
        <v>13.304091817105764</v>
      </c>
      <c r="D196" s="169">
        <v>21.033168040284398</v>
      </c>
      <c r="E196" s="169">
        <f t="shared" ref="E196:E259" si="6">IF(C196&lt;D196,C196,D196)</f>
        <v>13.304091817105764</v>
      </c>
      <c r="F196" s="190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44815</v>
      </c>
      <c r="C197" s="169">
        <v>3.8972143651076294</v>
      </c>
      <c r="D197" s="169">
        <v>21.033168040284398</v>
      </c>
      <c r="E197" s="169">
        <f t="shared" si="6"/>
        <v>3.8972143651076294</v>
      </c>
      <c r="F197" s="190" t="str">
        <f t="shared" si="7"/>
        <v/>
      </c>
    </row>
    <row r="198" spans="1:7">
      <c r="A198">
        <v>195</v>
      </c>
      <c r="B198" s="46">
        <v>44816</v>
      </c>
      <c r="C198" s="169">
        <v>5.1029455751057649</v>
      </c>
      <c r="D198" s="169">
        <v>21.033168040284398</v>
      </c>
      <c r="E198" s="169">
        <f t="shared" si="6"/>
        <v>5.1029455751057649</v>
      </c>
      <c r="F198" s="190" t="str">
        <f t="shared" si="7"/>
        <v/>
      </c>
    </row>
    <row r="199" spans="1:7">
      <c r="A199">
        <v>196</v>
      </c>
      <c r="B199" s="46">
        <v>44817</v>
      </c>
      <c r="C199" s="169">
        <v>15.392030115107627</v>
      </c>
      <c r="D199" s="169">
        <v>21.033168040284398</v>
      </c>
      <c r="E199" s="169">
        <f t="shared" si="6"/>
        <v>15.392030115107627</v>
      </c>
      <c r="F199" s="190" t="str">
        <f t="shared" si="7"/>
        <v/>
      </c>
    </row>
    <row r="200" spans="1:7">
      <c r="A200">
        <v>197</v>
      </c>
      <c r="B200" s="46">
        <v>44818</v>
      </c>
      <c r="C200" s="169">
        <v>12.323274605496154</v>
      </c>
      <c r="D200" s="169">
        <v>21.033168040284398</v>
      </c>
      <c r="E200" s="169">
        <f t="shared" si="6"/>
        <v>12.323274605496154</v>
      </c>
      <c r="F200" s="190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44819</v>
      </c>
      <c r="C201" s="169">
        <v>31.926451273495221</v>
      </c>
      <c r="D201" s="169">
        <v>21.033168040284398</v>
      </c>
      <c r="E201" s="169">
        <f t="shared" si="6"/>
        <v>21.033168040284398</v>
      </c>
      <c r="F201" s="190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>S</v>
      </c>
      <c r="G201" s="191">
        <f>IF(DAY(B201)=15,D201,"")</f>
        <v>21.033168040284398</v>
      </c>
    </row>
    <row r="202" spans="1:7">
      <c r="A202">
        <v>199</v>
      </c>
      <c r="B202" s="46">
        <v>44820</v>
      </c>
      <c r="C202" s="169">
        <v>36.880526189495228</v>
      </c>
      <c r="D202" s="169">
        <v>21.033168040284398</v>
      </c>
      <c r="E202" s="169">
        <f t="shared" si="6"/>
        <v>21.033168040284398</v>
      </c>
      <c r="F202" s="190" t="str">
        <f t="shared" si="7"/>
        <v/>
      </c>
    </row>
    <row r="203" spans="1:7">
      <c r="A203">
        <v>200</v>
      </c>
      <c r="B203" s="46">
        <v>44821</v>
      </c>
      <c r="C203" s="169">
        <v>16.045436705495224</v>
      </c>
      <c r="D203" s="169">
        <v>21.033168040284398</v>
      </c>
      <c r="E203" s="169">
        <f t="shared" si="6"/>
        <v>16.045436705495224</v>
      </c>
      <c r="F203" s="190" t="str">
        <f t="shared" si="7"/>
        <v/>
      </c>
    </row>
    <row r="204" spans="1:7">
      <c r="A204">
        <v>201</v>
      </c>
      <c r="B204" s="46">
        <v>44822</v>
      </c>
      <c r="C204" s="169">
        <v>13.812473805496156</v>
      </c>
      <c r="D204" s="169">
        <v>21.033168040284398</v>
      </c>
      <c r="E204" s="169">
        <f t="shared" si="6"/>
        <v>13.812473805496156</v>
      </c>
      <c r="F204" s="190" t="str">
        <f t="shared" si="7"/>
        <v/>
      </c>
    </row>
    <row r="205" spans="1:7">
      <c r="A205">
        <v>202</v>
      </c>
      <c r="B205" s="46">
        <v>44823</v>
      </c>
      <c r="C205" s="169">
        <v>28.333530505496157</v>
      </c>
      <c r="D205" s="169">
        <v>21.033168040284398</v>
      </c>
      <c r="E205" s="169">
        <f t="shared" si="6"/>
        <v>21.033168040284398</v>
      </c>
      <c r="F205" s="190" t="str">
        <f t="shared" si="7"/>
        <v/>
      </c>
    </row>
    <row r="206" spans="1:7">
      <c r="A206">
        <v>203</v>
      </c>
      <c r="B206" s="46">
        <v>44824</v>
      </c>
      <c r="C206" s="169">
        <v>28.85055041349429</v>
      </c>
      <c r="D206" s="169">
        <v>21.033168040284398</v>
      </c>
      <c r="E206" s="169">
        <f t="shared" si="6"/>
        <v>21.033168040284398</v>
      </c>
      <c r="F206" s="190" t="str">
        <f t="shared" si="7"/>
        <v/>
      </c>
    </row>
    <row r="207" spans="1:7">
      <c r="A207">
        <v>204</v>
      </c>
      <c r="B207" s="46">
        <v>44825</v>
      </c>
      <c r="C207" s="169">
        <v>18.883001663328205</v>
      </c>
      <c r="D207" s="169">
        <v>21.033168040284398</v>
      </c>
      <c r="E207" s="169">
        <f t="shared" si="6"/>
        <v>18.883001663328205</v>
      </c>
      <c r="F207" s="190" t="str">
        <f t="shared" si="7"/>
        <v/>
      </c>
    </row>
    <row r="208" spans="1:7">
      <c r="A208">
        <v>205</v>
      </c>
      <c r="B208" s="46">
        <v>44826</v>
      </c>
      <c r="C208" s="169">
        <v>15.002863983329139</v>
      </c>
      <c r="D208" s="169">
        <v>21.033168040284398</v>
      </c>
      <c r="E208" s="169">
        <f t="shared" si="6"/>
        <v>15.002863983329139</v>
      </c>
      <c r="F208" s="190" t="str">
        <f t="shared" si="7"/>
        <v/>
      </c>
    </row>
    <row r="209" spans="1:6">
      <c r="A209">
        <v>206</v>
      </c>
      <c r="B209" s="46">
        <v>44827</v>
      </c>
      <c r="C209" s="169">
        <v>15.342557020327281</v>
      </c>
      <c r="D209" s="169">
        <v>21.033168040284398</v>
      </c>
      <c r="E209" s="169">
        <f t="shared" si="6"/>
        <v>15.342557020327281</v>
      </c>
      <c r="F209" s="190" t="str">
        <f t="shared" si="7"/>
        <v/>
      </c>
    </row>
    <row r="210" spans="1:6">
      <c r="A210">
        <v>207</v>
      </c>
      <c r="B210" s="46">
        <v>44828</v>
      </c>
      <c r="C210" s="169">
        <v>7.3419266263291432</v>
      </c>
      <c r="D210" s="169">
        <v>21.033168040284398</v>
      </c>
      <c r="E210" s="169">
        <f t="shared" si="6"/>
        <v>7.3419266263291432</v>
      </c>
      <c r="F210" s="190" t="str">
        <f t="shared" si="7"/>
        <v/>
      </c>
    </row>
    <row r="211" spans="1:6">
      <c r="A211">
        <v>208</v>
      </c>
      <c r="B211" s="46">
        <v>44829</v>
      </c>
      <c r="C211" s="169">
        <v>1.2835539603282087</v>
      </c>
      <c r="D211" s="169">
        <v>21.033168040284398</v>
      </c>
      <c r="E211" s="169">
        <f t="shared" si="6"/>
        <v>1.2835539603282087</v>
      </c>
      <c r="F211" s="190" t="str">
        <f t="shared" si="7"/>
        <v/>
      </c>
    </row>
    <row r="212" spans="1:6">
      <c r="A212">
        <v>209</v>
      </c>
      <c r="B212" s="46">
        <v>44830</v>
      </c>
      <c r="C212" s="169">
        <v>1.0723605263272766</v>
      </c>
      <c r="D212" s="169">
        <v>21.033168040284398</v>
      </c>
      <c r="E212" s="169">
        <f t="shared" si="6"/>
        <v>1.0723605263272766</v>
      </c>
      <c r="F212" s="190" t="str">
        <f t="shared" si="7"/>
        <v/>
      </c>
    </row>
    <row r="213" spans="1:6">
      <c r="A213">
        <v>210</v>
      </c>
      <c r="B213" s="46">
        <v>44831</v>
      </c>
      <c r="C213" s="169">
        <v>0.7543829633291389</v>
      </c>
      <c r="D213" s="169">
        <v>21.033168040284398</v>
      </c>
      <c r="E213" s="169">
        <f t="shared" si="6"/>
        <v>0.7543829633291389</v>
      </c>
      <c r="F213" s="190" t="str">
        <f t="shared" si="7"/>
        <v/>
      </c>
    </row>
    <row r="214" spans="1:6">
      <c r="A214">
        <v>211</v>
      </c>
      <c r="B214" s="46">
        <v>44832</v>
      </c>
      <c r="C214" s="169">
        <v>0.58730482457556721</v>
      </c>
      <c r="D214" s="169">
        <v>21.033168040284398</v>
      </c>
      <c r="E214" s="169">
        <f t="shared" si="6"/>
        <v>0.58730482457556721</v>
      </c>
      <c r="F214" s="190" t="str">
        <f t="shared" si="7"/>
        <v/>
      </c>
    </row>
    <row r="215" spans="1:6">
      <c r="A215">
        <v>212</v>
      </c>
      <c r="B215" s="46">
        <v>44833</v>
      </c>
      <c r="C215" s="169">
        <v>1.5463534845746363</v>
      </c>
      <c r="D215" s="169">
        <v>21.033168040284398</v>
      </c>
      <c r="E215" s="169">
        <f t="shared" si="6"/>
        <v>1.5463534845746363</v>
      </c>
      <c r="F215" s="190" t="str">
        <f t="shared" si="7"/>
        <v/>
      </c>
    </row>
    <row r="216" spans="1:6">
      <c r="A216">
        <v>213</v>
      </c>
      <c r="B216" s="46">
        <v>44834</v>
      </c>
      <c r="C216" s="169">
        <v>15.887395672575567</v>
      </c>
      <c r="D216" s="169">
        <v>21.033168040284398</v>
      </c>
      <c r="E216" s="169">
        <f t="shared" si="6"/>
        <v>15.887395672575567</v>
      </c>
      <c r="F216" s="190" t="str">
        <f t="shared" si="7"/>
        <v/>
      </c>
    </row>
    <row r="217" spans="1:6">
      <c r="A217">
        <v>214</v>
      </c>
      <c r="B217" s="46">
        <v>44835</v>
      </c>
      <c r="C217" s="169">
        <v>11.164280907575565</v>
      </c>
      <c r="D217" s="169">
        <v>41.704179443866899</v>
      </c>
      <c r="E217" s="169">
        <f t="shared" si="6"/>
        <v>11.164280907575565</v>
      </c>
      <c r="F217" s="190" t="str">
        <f t="shared" si="7"/>
        <v/>
      </c>
    </row>
    <row r="218" spans="1:6">
      <c r="A218">
        <v>215</v>
      </c>
      <c r="B218" s="46">
        <v>44836</v>
      </c>
      <c r="C218" s="169">
        <v>7.9122592325755665</v>
      </c>
      <c r="D218" s="169">
        <v>41.704179443866899</v>
      </c>
      <c r="E218" s="169">
        <f t="shared" si="6"/>
        <v>7.9122592325755665</v>
      </c>
      <c r="F218" s="190" t="str">
        <f t="shared" si="7"/>
        <v/>
      </c>
    </row>
    <row r="219" spans="1:6">
      <c r="A219">
        <v>216</v>
      </c>
      <c r="B219" s="46">
        <v>44837</v>
      </c>
      <c r="C219" s="169">
        <v>20.836308586575566</v>
      </c>
      <c r="D219" s="169">
        <v>41.704179443866899</v>
      </c>
      <c r="E219" s="169">
        <f t="shared" si="6"/>
        <v>20.836308586575566</v>
      </c>
      <c r="F219" s="190" t="str">
        <f t="shared" si="7"/>
        <v/>
      </c>
    </row>
    <row r="220" spans="1:6">
      <c r="A220">
        <v>217</v>
      </c>
      <c r="B220" s="46">
        <v>44838</v>
      </c>
      <c r="C220" s="169">
        <v>16.374421057575567</v>
      </c>
      <c r="D220" s="169">
        <v>41.704179443866899</v>
      </c>
      <c r="E220" s="169">
        <f t="shared" si="6"/>
        <v>16.374421057575567</v>
      </c>
      <c r="F220" s="190" t="str">
        <f t="shared" si="7"/>
        <v/>
      </c>
    </row>
    <row r="221" spans="1:6">
      <c r="A221">
        <v>218</v>
      </c>
      <c r="B221" s="46">
        <v>44839</v>
      </c>
      <c r="C221" s="169">
        <v>8.6200838880381276</v>
      </c>
      <c r="D221" s="169">
        <v>41.704179443866899</v>
      </c>
      <c r="E221" s="169">
        <f t="shared" si="6"/>
        <v>8.6200838880381276</v>
      </c>
      <c r="F221" s="190" t="str">
        <f t="shared" si="7"/>
        <v/>
      </c>
    </row>
    <row r="222" spans="1:6">
      <c r="A222">
        <v>219</v>
      </c>
      <c r="B222" s="46">
        <v>44840</v>
      </c>
      <c r="C222" s="169">
        <v>9.3206282890390568</v>
      </c>
      <c r="D222" s="169">
        <v>41.704179443866899</v>
      </c>
      <c r="E222" s="169">
        <f t="shared" si="6"/>
        <v>9.3206282890390568</v>
      </c>
      <c r="F222" s="190" t="str">
        <f t="shared" si="7"/>
        <v/>
      </c>
    </row>
    <row r="223" spans="1:6">
      <c r="A223">
        <v>220</v>
      </c>
      <c r="B223" s="46">
        <v>44841</v>
      </c>
      <c r="C223" s="169">
        <v>13.718987029038125</v>
      </c>
      <c r="D223" s="169">
        <v>41.704179443866899</v>
      </c>
      <c r="E223" s="169">
        <f t="shared" si="6"/>
        <v>13.718987029038125</v>
      </c>
      <c r="F223" s="190" t="str">
        <f t="shared" si="7"/>
        <v/>
      </c>
    </row>
    <row r="224" spans="1:6">
      <c r="A224">
        <v>221</v>
      </c>
      <c r="B224" s="46">
        <v>44842</v>
      </c>
      <c r="C224" s="169">
        <v>5.6873968090381259</v>
      </c>
      <c r="D224" s="169">
        <v>41.704179443866899</v>
      </c>
      <c r="E224" s="169">
        <f t="shared" si="6"/>
        <v>5.6873968090381259</v>
      </c>
      <c r="F224" s="190" t="str">
        <f t="shared" si="7"/>
        <v/>
      </c>
    </row>
    <row r="225" spans="1:7">
      <c r="A225">
        <v>222</v>
      </c>
      <c r="B225" s="46">
        <v>44843</v>
      </c>
      <c r="C225" s="169">
        <v>4.7046773290381259</v>
      </c>
      <c r="D225" s="169">
        <v>41.704179443866899</v>
      </c>
      <c r="E225" s="169">
        <f t="shared" si="6"/>
        <v>4.7046773290381259</v>
      </c>
      <c r="F225" s="190" t="str">
        <f t="shared" si="7"/>
        <v/>
      </c>
    </row>
    <row r="226" spans="1:7">
      <c r="A226">
        <v>223</v>
      </c>
      <c r="B226" s="46">
        <v>44844</v>
      </c>
      <c r="C226" s="169">
        <v>14.868684329039057</v>
      </c>
      <c r="D226" s="169">
        <v>41.704179443866899</v>
      </c>
      <c r="E226" s="169">
        <f t="shared" si="6"/>
        <v>14.868684329039057</v>
      </c>
      <c r="F226" s="190" t="str">
        <f t="shared" si="7"/>
        <v/>
      </c>
    </row>
    <row r="227" spans="1:7">
      <c r="A227">
        <v>224</v>
      </c>
      <c r="B227" s="46">
        <v>44845</v>
      </c>
      <c r="C227" s="169">
        <v>11.643986429039058</v>
      </c>
      <c r="D227" s="169">
        <v>41.704179443866899</v>
      </c>
      <c r="E227" s="169">
        <f t="shared" si="6"/>
        <v>11.643986429039058</v>
      </c>
      <c r="F227" s="190" t="str">
        <f t="shared" si="7"/>
        <v/>
      </c>
    </row>
    <row r="228" spans="1:7">
      <c r="A228">
        <v>225</v>
      </c>
      <c r="B228" s="46">
        <v>44846</v>
      </c>
      <c r="C228" s="169">
        <v>8.0045478843297495</v>
      </c>
      <c r="D228" s="169">
        <v>41.704179443866899</v>
      </c>
      <c r="E228" s="169">
        <f t="shared" si="6"/>
        <v>8.0045478843297495</v>
      </c>
      <c r="F228" s="190" t="str">
        <f t="shared" si="7"/>
        <v/>
      </c>
    </row>
    <row r="229" spans="1:7">
      <c r="A229">
        <v>226</v>
      </c>
      <c r="B229" s="46">
        <v>44847</v>
      </c>
      <c r="C229" s="169">
        <v>13.789712744328819</v>
      </c>
      <c r="D229" s="169">
        <v>41.704179443866899</v>
      </c>
      <c r="E229" s="169">
        <f t="shared" si="6"/>
        <v>13.789712744328819</v>
      </c>
      <c r="F229" s="190" t="str">
        <f t="shared" si="7"/>
        <v/>
      </c>
    </row>
    <row r="230" spans="1:7">
      <c r="A230">
        <v>227</v>
      </c>
      <c r="B230" s="46">
        <v>44848</v>
      </c>
      <c r="C230" s="169">
        <v>13.052763888329748</v>
      </c>
      <c r="D230" s="169">
        <v>41.704179443866899</v>
      </c>
      <c r="E230" s="169">
        <f t="shared" si="6"/>
        <v>13.052763888329748</v>
      </c>
      <c r="F230" s="190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44849</v>
      </c>
      <c r="C231" s="169">
        <v>8.0933909843288188</v>
      </c>
      <c r="D231" s="169">
        <v>41.704179443866899</v>
      </c>
      <c r="E231" s="169">
        <f t="shared" si="6"/>
        <v>8.0933909843288188</v>
      </c>
      <c r="F231" s="190" t="str">
        <f t="shared" si="7"/>
        <v>O</v>
      </c>
      <c r="G231" s="191">
        <f>IF(DAY(B231)=15,D231,"")</f>
        <v>41.704179443866899</v>
      </c>
    </row>
    <row r="232" spans="1:7">
      <c r="A232">
        <v>229</v>
      </c>
      <c r="B232" s="46">
        <v>44850</v>
      </c>
      <c r="C232" s="169">
        <v>9.3252266443297493</v>
      </c>
      <c r="D232" s="169">
        <v>41.704179443866899</v>
      </c>
      <c r="E232" s="169">
        <f t="shared" si="6"/>
        <v>9.3252266443297493</v>
      </c>
      <c r="F232" s="190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44851</v>
      </c>
      <c r="C233" s="169">
        <v>13.83965312432975</v>
      </c>
      <c r="D233" s="169">
        <v>41.704179443866899</v>
      </c>
      <c r="E233" s="169">
        <f t="shared" si="6"/>
        <v>13.83965312432975</v>
      </c>
      <c r="F233" s="190" t="str">
        <f t="shared" si="7"/>
        <v/>
      </c>
    </row>
    <row r="234" spans="1:7">
      <c r="A234">
        <v>231</v>
      </c>
      <c r="B234" s="46">
        <v>44852</v>
      </c>
      <c r="C234" s="169">
        <v>13.928123504328818</v>
      </c>
      <c r="D234" s="169">
        <v>41.704179443866899</v>
      </c>
      <c r="E234" s="169">
        <f t="shared" si="6"/>
        <v>13.928123504328818</v>
      </c>
      <c r="F234" s="190" t="str">
        <f t="shared" si="7"/>
        <v/>
      </c>
    </row>
    <row r="235" spans="1:7">
      <c r="A235">
        <v>232</v>
      </c>
      <c r="B235" s="46">
        <v>44853</v>
      </c>
      <c r="C235" s="169">
        <v>35.992593623746593</v>
      </c>
      <c r="D235" s="169">
        <v>41.704179443866899</v>
      </c>
      <c r="E235" s="169">
        <f t="shared" si="6"/>
        <v>35.992593623746593</v>
      </c>
      <c r="F235" s="190" t="str">
        <f t="shared" si="7"/>
        <v/>
      </c>
    </row>
    <row r="236" spans="1:7">
      <c r="A236">
        <v>233</v>
      </c>
      <c r="B236" s="46">
        <v>44854</v>
      </c>
      <c r="C236" s="169">
        <v>41.817164023747523</v>
      </c>
      <c r="D236" s="169">
        <v>41.704179443866899</v>
      </c>
      <c r="E236" s="169">
        <f t="shared" si="6"/>
        <v>41.704179443866899</v>
      </c>
      <c r="F236" s="190" t="str">
        <f t="shared" si="7"/>
        <v/>
      </c>
    </row>
    <row r="237" spans="1:7">
      <c r="A237">
        <v>234</v>
      </c>
      <c r="B237" s="46">
        <v>44855</v>
      </c>
      <c r="C237" s="169">
        <v>48.173908019746591</v>
      </c>
      <c r="D237" s="169">
        <v>41.704179443866899</v>
      </c>
      <c r="E237" s="169">
        <f t="shared" si="6"/>
        <v>41.704179443866899</v>
      </c>
      <c r="F237" s="190" t="str">
        <f t="shared" si="7"/>
        <v/>
      </c>
    </row>
    <row r="238" spans="1:7">
      <c r="A238">
        <v>235</v>
      </c>
      <c r="B238" s="46">
        <v>44856</v>
      </c>
      <c r="C238" s="169">
        <v>42.896840683746589</v>
      </c>
      <c r="D238" s="169">
        <v>41.704179443866899</v>
      </c>
      <c r="E238" s="169">
        <f t="shared" si="6"/>
        <v>41.704179443866899</v>
      </c>
      <c r="F238" s="190" t="str">
        <f t="shared" si="7"/>
        <v/>
      </c>
    </row>
    <row r="239" spans="1:7">
      <c r="A239">
        <v>236</v>
      </c>
      <c r="B239" s="46">
        <v>44857</v>
      </c>
      <c r="C239" s="169">
        <v>43.311794262746588</v>
      </c>
      <c r="D239" s="169">
        <v>41.704179443866899</v>
      </c>
      <c r="E239" s="169">
        <f t="shared" si="6"/>
        <v>41.704179443866899</v>
      </c>
      <c r="F239" s="190" t="str">
        <f t="shared" si="7"/>
        <v/>
      </c>
    </row>
    <row r="240" spans="1:7">
      <c r="A240">
        <v>237</v>
      </c>
      <c r="B240" s="46">
        <v>44858</v>
      </c>
      <c r="C240" s="169">
        <v>55.407811499746586</v>
      </c>
      <c r="D240" s="169">
        <v>41.704179443866899</v>
      </c>
      <c r="E240" s="169">
        <f t="shared" si="6"/>
        <v>41.704179443866899</v>
      </c>
      <c r="F240" s="190" t="str">
        <f t="shared" si="7"/>
        <v/>
      </c>
    </row>
    <row r="241" spans="1:6">
      <c r="A241">
        <v>238</v>
      </c>
      <c r="B241" s="46">
        <v>44859</v>
      </c>
      <c r="C241" s="169">
        <v>44.68847854174566</v>
      </c>
      <c r="D241" s="169">
        <v>41.704179443866899</v>
      </c>
      <c r="E241" s="169">
        <f t="shared" si="6"/>
        <v>41.704179443866899</v>
      </c>
      <c r="F241" s="190" t="str">
        <f t="shared" si="7"/>
        <v/>
      </c>
    </row>
    <row r="242" spans="1:6">
      <c r="A242">
        <v>239</v>
      </c>
      <c r="B242" s="46">
        <v>44860</v>
      </c>
      <c r="C242" s="169">
        <v>65.112371026325349</v>
      </c>
      <c r="D242" s="169">
        <v>41.704179443866899</v>
      </c>
      <c r="E242" s="169">
        <f t="shared" si="6"/>
        <v>41.704179443866899</v>
      </c>
      <c r="F242" s="190" t="str">
        <f t="shared" si="7"/>
        <v/>
      </c>
    </row>
    <row r="243" spans="1:6">
      <c r="A243">
        <v>240</v>
      </c>
      <c r="B243" s="46">
        <v>44861</v>
      </c>
      <c r="C243" s="169">
        <v>50.107547146325345</v>
      </c>
      <c r="D243" s="169">
        <v>41.704179443866899</v>
      </c>
      <c r="E243" s="169">
        <f t="shared" si="6"/>
        <v>41.704179443866899</v>
      </c>
      <c r="F243" s="190" t="str">
        <f t="shared" si="7"/>
        <v/>
      </c>
    </row>
    <row r="244" spans="1:6">
      <c r="A244">
        <v>241</v>
      </c>
      <c r="B244" s="46">
        <v>44862</v>
      </c>
      <c r="C244" s="169">
        <v>52.928805754324408</v>
      </c>
      <c r="D244" s="169">
        <v>41.704179443866899</v>
      </c>
      <c r="E244" s="169">
        <f t="shared" si="6"/>
        <v>41.704179443866899</v>
      </c>
      <c r="F244" s="190" t="str">
        <f t="shared" si="7"/>
        <v/>
      </c>
    </row>
    <row r="245" spans="1:6">
      <c r="A245">
        <v>242</v>
      </c>
      <c r="B245" s="46">
        <v>44863</v>
      </c>
      <c r="C245" s="169">
        <v>54.124593021325346</v>
      </c>
      <c r="D245" s="169">
        <v>41.704179443866899</v>
      </c>
      <c r="E245" s="169">
        <f t="shared" si="6"/>
        <v>41.704179443866899</v>
      </c>
      <c r="F245" s="190" t="str">
        <f t="shared" si="7"/>
        <v/>
      </c>
    </row>
    <row r="246" spans="1:6">
      <c r="A246">
        <v>243</v>
      </c>
      <c r="B246" s="46">
        <v>44864</v>
      </c>
      <c r="C246" s="169">
        <v>56.34280086632441</v>
      </c>
      <c r="D246" s="169">
        <v>41.704179443866899</v>
      </c>
      <c r="E246" s="169">
        <f t="shared" si="6"/>
        <v>41.704179443866899</v>
      </c>
      <c r="F246" s="190" t="str">
        <f t="shared" si="7"/>
        <v/>
      </c>
    </row>
    <row r="247" spans="1:6">
      <c r="A247">
        <v>244</v>
      </c>
      <c r="B247" s="46">
        <v>44865</v>
      </c>
      <c r="C247" s="169">
        <v>56.065740652324415</v>
      </c>
      <c r="D247" s="169">
        <v>41.704179443866899</v>
      </c>
      <c r="E247" s="169">
        <f t="shared" si="6"/>
        <v>41.704179443866899</v>
      </c>
      <c r="F247" s="190" t="str">
        <f t="shared" si="7"/>
        <v/>
      </c>
    </row>
    <row r="248" spans="1:6">
      <c r="A248">
        <v>245</v>
      </c>
      <c r="B248" s="46">
        <v>44866</v>
      </c>
      <c r="C248" s="169">
        <v>55.076187238325346</v>
      </c>
      <c r="D248" s="169">
        <v>83.437278222405467</v>
      </c>
      <c r="E248" s="169">
        <f t="shared" si="6"/>
        <v>55.076187238325346</v>
      </c>
      <c r="F248" s="190" t="str">
        <f t="shared" si="7"/>
        <v/>
      </c>
    </row>
    <row r="249" spans="1:6">
      <c r="A249">
        <v>246</v>
      </c>
      <c r="B249" s="46">
        <v>44867</v>
      </c>
      <c r="C249" s="169">
        <v>48.425857542046465</v>
      </c>
      <c r="D249" s="169">
        <v>83.437278222405467</v>
      </c>
      <c r="E249" s="169">
        <f t="shared" si="6"/>
        <v>48.425857542046465</v>
      </c>
      <c r="F249" s="190" t="str">
        <f t="shared" si="7"/>
        <v/>
      </c>
    </row>
    <row r="250" spans="1:6">
      <c r="A250">
        <v>247</v>
      </c>
      <c r="B250" s="46">
        <v>44868</v>
      </c>
      <c r="C250" s="169">
        <v>49.6583143780474</v>
      </c>
      <c r="D250" s="169">
        <v>83.437278222405467</v>
      </c>
      <c r="E250" s="169">
        <f t="shared" si="6"/>
        <v>49.6583143780474</v>
      </c>
      <c r="F250" s="190" t="str">
        <f t="shared" si="7"/>
        <v/>
      </c>
    </row>
    <row r="251" spans="1:6">
      <c r="A251">
        <v>248</v>
      </c>
      <c r="B251" s="46">
        <v>44869</v>
      </c>
      <c r="C251" s="169">
        <v>46.57988732604646</v>
      </c>
      <c r="D251" s="169">
        <v>83.437278222405467</v>
      </c>
      <c r="E251" s="169">
        <f t="shared" si="6"/>
        <v>46.57988732604646</v>
      </c>
      <c r="F251" s="190" t="str">
        <f t="shared" si="7"/>
        <v/>
      </c>
    </row>
    <row r="252" spans="1:6">
      <c r="A252">
        <v>249</v>
      </c>
      <c r="B252" s="46">
        <v>44870</v>
      </c>
      <c r="C252" s="169">
        <v>40.598709918047398</v>
      </c>
      <c r="D252" s="169">
        <v>83.437278222405467</v>
      </c>
      <c r="E252" s="169">
        <f t="shared" si="6"/>
        <v>40.598709918047398</v>
      </c>
      <c r="F252" s="190" t="str">
        <f t="shared" si="7"/>
        <v/>
      </c>
    </row>
    <row r="253" spans="1:6">
      <c r="A253">
        <v>250</v>
      </c>
      <c r="B253" s="46">
        <v>44871</v>
      </c>
      <c r="C253" s="169">
        <v>40.303915262046466</v>
      </c>
      <c r="D253" s="169">
        <v>83.437278222405467</v>
      </c>
      <c r="E253" s="169">
        <f t="shared" si="6"/>
        <v>40.303915262046466</v>
      </c>
      <c r="F253" s="190" t="str">
        <f t="shared" si="7"/>
        <v/>
      </c>
    </row>
    <row r="254" spans="1:6">
      <c r="A254">
        <v>251</v>
      </c>
      <c r="B254" s="46">
        <v>44872</v>
      </c>
      <c r="C254" s="169">
        <v>48.816425262047403</v>
      </c>
      <c r="D254" s="169">
        <v>83.437278222405467</v>
      </c>
      <c r="E254" s="169">
        <f t="shared" si="6"/>
        <v>48.816425262047403</v>
      </c>
      <c r="F254" s="190" t="str">
        <f t="shared" si="7"/>
        <v/>
      </c>
    </row>
    <row r="255" spans="1:6">
      <c r="A255">
        <v>252</v>
      </c>
      <c r="B255" s="46">
        <v>44873</v>
      </c>
      <c r="C255" s="169">
        <v>44.846004198047396</v>
      </c>
      <c r="D255" s="169">
        <v>83.437278222405467</v>
      </c>
      <c r="E255" s="169">
        <f t="shared" si="6"/>
        <v>44.846004198047396</v>
      </c>
      <c r="F255" s="190" t="str">
        <f t="shared" si="7"/>
        <v/>
      </c>
    </row>
    <row r="256" spans="1:6">
      <c r="A256">
        <v>253</v>
      </c>
      <c r="B256" s="46">
        <v>44874</v>
      </c>
      <c r="C256" s="169">
        <v>40.210301950567583</v>
      </c>
      <c r="D256" s="169">
        <v>83.437278222405467</v>
      </c>
      <c r="E256" s="169">
        <f t="shared" si="6"/>
        <v>40.210301950567583</v>
      </c>
      <c r="F256" s="190" t="str">
        <f t="shared" si="7"/>
        <v/>
      </c>
    </row>
    <row r="257" spans="1:7">
      <c r="A257">
        <v>254</v>
      </c>
      <c r="B257" s="46">
        <v>44875</v>
      </c>
      <c r="C257" s="169">
        <v>42.183786190569442</v>
      </c>
      <c r="D257" s="169">
        <v>83.437278222405467</v>
      </c>
      <c r="E257" s="169">
        <f t="shared" si="6"/>
        <v>42.183786190569442</v>
      </c>
      <c r="F257" s="190" t="str">
        <f t="shared" si="7"/>
        <v/>
      </c>
    </row>
    <row r="258" spans="1:7">
      <c r="A258">
        <v>255</v>
      </c>
      <c r="B258" s="46">
        <v>44876</v>
      </c>
      <c r="C258" s="169">
        <v>35.259605954567583</v>
      </c>
      <c r="D258" s="169">
        <v>83.437278222405467</v>
      </c>
      <c r="E258" s="169">
        <f t="shared" si="6"/>
        <v>35.259605954567583</v>
      </c>
      <c r="F258" s="190" t="str">
        <f t="shared" si="7"/>
        <v/>
      </c>
    </row>
    <row r="259" spans="1:7">
      <c r="A259">
        <v>256</v>
      </c>
      <c r="B259" s="46">
        <v>44877</v>
      </c>
      <c r="C259" s="169">
        <v>33.117230706570382</v>
      </c>
      <c r="D259" s="169">
        <v>83.437278222405467</v>
      </c>
      <c r="E259" s="169">
        <f t="shared" si="6"/>
        <v>33.117230706570382</v>
      </c>
      <c r="F259" s="190" t="str">
        <f t="shared" si="7"/>
        <v/>
      </c>
    </row>
    <row r="260" spans="1:7">
      <c r="A260">
        <v>257</v>
      </c>
      <c r="B260" s="46">
        <v>44878</v>
      </c>
      <c r="C260" s="169">
        <v>35.898128154565725</v>
      </c>
      <c r="D260" s="169">
        <v>83.437278222405467</v>
      </c>
      <c r="E260" s="169">
        <f t="shared" ref="E260:E323" si="8">IF(C260&lt;D260,C260,D260)</f>
        <v>35.898128154565725</v>
      </c>
      <c r="F260" s="190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44879</v>
      </c>
      <c r="C261" s="169">
        <v>40.284799802569445</v>
      </c>
      <c r="D261" s="169">
        <v>83.437278222405467</v>
      </c>
      <c r="E261" s="169">
        <f t="shared" si="8"/>
        <v>40.284799802569445</v>
      </c>
      <c r="F261" s="190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44880</v>
      </c>
      <c r="C262" s="169">
        <v>36.520872542569442</v>
      </c>
      <c r="D262" s="169">
        <v>83.437278222405467</v>
      </c>
      <c r="E262" s="169">
        <f t="shared" si="8"/>
        <v>36.520872542569442</v>
      </c>
      <c r="F262" s="190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>N</v>
      </c>
      <c r="G262" s="191">
        <f>IF(DAY(B262)=15,D262,"")</f>
        <v>83.437278222405467</v>
      </c>
    </row>
    <row r="263" spans="1:7">
      <c r="A263">
        <v>260</v>
      </c>
      <c r="B263" s="46">
        <v>44881</v>
      </c>
      <c r="C263" s="169">
        <v>50.810418460735974</v>
      </c>
      <c r="D263" s="169">
        <v>83.437278222405467</v>
      </c>
      <c r="E263" s="169">
        <f t="shared" si="8"/>
        <v>50.810418460735974</v>
      </c>
      <c r="F263" s="190" t="str">
        <f t="shared" si="9"/>
        <v/>
      </c>
    </row>
    <row r="264" spans="1:7">
      <c r="A264">
        <v>261</v>
      </c>
      <c r="B264" s="46">
        <v>44882</v>
      </c>
      <c r="C264" s="169">
        <v>53.929281809736899</v>
      </c>
      <c r="D264" s="169">
        <v>83.437278222405467</v>
      </c>
      <c r="E264" s="169">
        <f t="shared" si="8"/>
        <v>53.929281809736899</v>
      </c>
      <c r="F264" s="190" t="str">
        <f t="shared" si="9"/>
        <v/>
      </c>
    </row>
    <row r="265" spans="1:7">
      <c r="A265">
        <v>262</v>
      </c>
      <c r="B265" s="46">
        <v>44883</v>
      </c>
      <c r="C265" s="169">
        <v>62.131612867738767</v>
      </c>
      <c r="D265" s="169">
        <v>83.437278222405467</v>
      </c>
      <c r="E265" s="169">
        <f t="shared" si="8"/>
        <v>62.131612867738767</v>
      </c>
      <c r="F265" s="190" t="str">
        <f t="shared" si="9"/>
        <v/>
      </c>
    </row>
    <row r="266" spans="1:7">
      <c r="A266">
        <v>263</v>
      </c>
      <c r="B266" s="46">
        <v>44884</v>
      </c>
      <c r="C266" s="169">
        <v>54.420209876736905</v>
      </c>
      <c r="D266" s="169">
        <v>83.437278222405467</v>
      </c>
      <c r="E266" s="169">
        <f t="shared" si="8"/>
        <v>54.420209876736905</v>
      </c>
      <c r="F266" s="190" t="str">
        <f t="shared" si="9"/>
        <v/>
      </c>
    </row>
    <row r="267" spans="1:7">
      <c r="A267">
        <v>264</v>
      </c>
      <c r="B267" s="46">
        <v>44885</v>
      </c>
      <c r="C267" s="169">
        <v>53.518528580737829</v>
      </c>
      <c r="D267" s="169">
        <v>83.437278222405467</v>
      </c>
      <c r="E267" s="169">
        <f t="shared" si="8"/>
        <v>53.518528580737829</v>
      </c>
      <c r="F267" s="190" t="str">
        <f t="shared" si="9"/>
        <v/>
      </c>
    </row>
    <row r="268" spans="1:7">
      <c r="A268">
        <v>265</v>
      </c>
      <c r="B268" s="46">
        <v>44886</v>
      </c>
      <c r="C268" s="169">
        <v>62.131172240737833</v>
      </c>
      <c r="D268" s="169">
        <v>83.437278222405467</v>
      </c>
      <c r="E268" s="169">
        <f t="shared" si="8"/>
        <v>62.131172240737833</v>
      </c>
      <c r="F268" s="190" t="str">
        <f t="shared" si="9"/>
        <v/>
      </c>
    </row>
    <row r="269" spans="1:7">
      <c r="A269">
        <v>266</v>
      </c>
      <c r="B269" s="46">
        <v>44887</v>
      </c>
      <c r="C269" s="169">
        <v>73.563721316736903</v>
      </c>
      <c r="D269" s="169">
        <v>83.437278222405467</v>
      </c>
      <c r="E269" s="169">
        <f t="shared" si="8"/>
        <v>73.563721316736903</v>
      </c>
      <c r="F269" s="190" t="str">
        <f t="shared" si="9"/>
        <v/>
      </c>
    </row>
    <row r="270" spans="1:7">
      <c r="A270">
        <v>267</v>
      </c>
      <c r="B270" s="46">
        <v>44888</v>
      </c>
      <c r="C270" s="169">
        <v>132.91856463312783</v>
      </c>
      <c r="D270" s="169">
        <v>83.437278222405467</v>
      </c>
      <c r="E270" s="169">
        <f t="shared" si="8"/>
        <v>83.437278222405467</v>
      </c>
      <c r="F270" s="190" t="str">
        <f t="shared" si="9"/>
        <v/>
      </c>
    </row>
    <row r="271" spans="1:7">
      <c r="A271">
        <v>268</v>
      </c>
      <c r="B271" s="46">
        <v>44889</v>
      </c>
      <c r="C271" s="169">
        <v>146.27818403312966</v>
      </c>
      <c r="D271" s="169">
        <v>83.437278222405467</v>
      </c>
      <c r="E271" s="169">
        <f t="shared" si="8"/>
        <v>83.437278222405467</v>
      </c>
      <c r="F271" s="190" t="str">
        <f t="shared" si="9"/>
        <v/>
      </c>
    </row>
    <row r="272" spans="1:7">
      <c r="A272">
        <v>269</v>
      </c>
      <c r="B272" s="46">
        <v>44890</v>
      </c>
      <c r="C272" s="169">
        <v>139.25365684112688</v>
      </c>
      <c r="D272" s="169">
        <v>83.437278222405467</v>
      </c>
      <c r="E272" s="169">
        <f t="shared" si="8"/>
        <v>83.437278222405467</v>
      </c>
      <c r="F272" s="190" t="str">
        <f t="shared" si="9"/>
        <v/>
      </c>
    </row>
    <row r="273" spans="1:6">
      <c r="A273">
        <v>270</v>
      </c>
      <c r="B273" s="46">
        <v>44891</v>
      </c>
      <c r="C273" s="169">
        <v>144.99080638912872</v>
      </c>
      <c r="D273" s="169">
        <v>83.437278222405467</v>
      </c>
      <c r="E273" s="169">
        <f t="shared" si="8"/>
        <v>83.437278222405467</v>
      </c>
      <c r="F273" s="190" t="str">
        <f t="shared" si="9"/>
        <v/>
      </c>
    </row>
    <row r="274" spans="1:6">
      <c r="A274">
        <v>271</v>
      </c>
      <c r="B274" s="46">
        <v>44892</v>
      </c>
      <c r="C274" s="169">
        <v>137.60218416912781</v>
      </c>
      <c r="D274" s="169">
        <v>83.437278222405467</v>
      </c>
      <c r="E274" s="169">
        <f t="shared" si="8"/>
        <v>83.437278222405467</v>
      </c>
      <c r="F274" s="190" t="str">
        <f t="shared" si="9"/>
        <v/>
      </c>
    </row>
    <row r="275" spans="1:6">
      <c r="A275">
        <v>272</v>
      </c>
      <c r="B275" s="46">
        <v>44893</v>
      </c>
      <c r="C275" s="169">
        <v>124.6874201251278</v>
      </c>
      <c r="D275" s="169">
        <v>83.437278222405467</v>
      </c>
      <c r="E275" s="169">
        <f t="shared" si="8"/>
        <v>83.437278222405467</v>
      </c>
      <c r="F275" s="190" t="str">
        <f t="shared" si="9"/>
        <v/>
      </c>
    </row>
    <row r="276" spans="1:6">
      <c r="A276">
        <v>273</v>
      </c>
      <c r="B276" s="46">
        <v>44894</v>
      </c>
      <c r="C276" s="169">
        <v>156.9668081931278</v>
      </c>
      <c r="D276" s="169">
        <v>83.437278222405467</v>
      </c>
      <c r="E276" s="169">
        <f t="shared" si="8"/>
        <v>83.437278222405467</v>
      </c>
      <c r="F276" s="190" t="str">
        <f t="shared" si="9"/>
        <v/>
      </c>
    </row>
    <row r="277" spans="1:6">
      <c r="A277">
        <v>274</v>
      </c>
      <c r="B277" s="46">
        <v>44895</v>
      </c>
      <c r="C277" s="169">
        <v>78.008705493811078</v>
      </c>
      <c r="D277" s="169">
        <v>83.437278222405467</v>
      </c>
      <c r="E277" s="169">
        <f t="shared" si="8"/>
        <v>78.008705493811078</v>
      </c>
      <c r="F277" s="190" t="str">
        <f t="shared" si="9"/>
        <v/>
      </c>
    </row>
    <row r="278" spans="1:6">
      <c r="A278">
        <v>275</v>
      </c>
      <c r="B278" s="46">
        <v>44896</v>
      </c>
      <c r="C278" s="169">
        <v>70.797097722812012</v>
      </c>
      <c r="D278" s="169">
        <v>108.10243370537623</v>
      </c>
      <c r="E278" s="169">
        <f t="shared" si="8"/>
        <v>70.797097722812012</v>
      </c>
      <c r="F278" s="190" t="str">
        <f t="shared" si="9"/>
        <v/>
      </c>
    </row>
    <row r="279" spans="1:6">
      <c r="A279">
        <v>276</v>
      </c>
      <c r="B279" s="46">
        <v>44897</v>
      </c>
      <c r="C279" s="169">
        <v>76.424206708811099</v>
      </c>
      <c r="D279" s="169">
        <v>108.10243370537623</v>
      </c>
      <c r="E279" s="169">
        <f t="shared" si="8"/>
        <v>76.424206708811099</v>
      </c>
      <c r="F279" s="190" t="str">
        <f t="shared" si="9"/>
        <v/>
      </c>
    </row>
    <row r="280" spans="1:6">
      <c r="A280">
        <v>277</v>
      </c>
      <c r="B280" s="46">
        <v>44898</v>
      </c>
      <c r="C280" s="169">
        <v>79.337202661810153</v>
      </c>
      <c r="D280" s="169">
        <v>108.10243370537623</v>
      </c>
      <c r="E280" s="169">
        <f t="shared" si="8"/>
        <v>79.337202661810153</v>
      </c>
      <c r="F280" s="190" t="str">
        <f t="shared" si="9"/>
        <v/>
      </c>
    </row>
    <row r="281" spans="1:6">
      <c r="A281">
        <v>278</v>
      </c>
      <c r="B281" s="46">
        <v>44899</v>
      </c>
      <c r="C281" s="169">
        <v>77.282747661811086</v>
      </c>
      <c r="D281" s="169">
        <v>108.10243370537623</v>
      </c>
      <c r="E281" s="169">
        <f t="shared" si="8"/>
        <v>77.282747661811086</v>
      </c>
      <c r="F281" s="190" t="str">
        <f t="shared" si="9"/>
        <v/>
      </c>
    </row>
    <row r="282" spans="1:6">
      <c r="A282">
        <v>279</v>
      </c>
      <c r="B282" s="46">
        <v>44900</v>
      </c>
      <c r="C282" s="169">
        <v>74.790135021811096</v>
      </c>
      <c r="D282" s="169">
        <v>108.10243370537623</v>
      </c>
      <c r="E282" s="169">
        <f t="shared" si="8"/>
        <v>74.790135021811096</v>
      </c>
      <c r="F282" s="190" t="str">
        <f t="shared" si="9"/>
        <v/>
      </c>
    </row>
    <row r="283" spans="1:6">
      <c r="A283">
        <v>280</v>
      </c>
      <c r="B283" s="46">
        <v>44901</v>
      </c>
      <c r="C283" s="169">
        <v>73.873102701812016</v>
      </c>
      <c r="D283" s="169">
        <v>108.10243370537623</v>
      </c>
      <c r="E283" s="169">
        <f t="shared" si="8"/>
        <v>73.873102701812016</v>
      </c>
      <c r="F283" s="190" t="str">
        <f t="shared" si="9"/>
        <v/>
      </c>
    </row>
    <row r="284" spans="1:6">
      <c r="A284">
        <v>281</v>
      </c>
      <c r="B284" s="46">
        <v>44902</v>
      </c>
      <c r="C284" s="169">
        <v>83.25524646274809</v>
      </c>
      <c r="D284" s="169">
        <v>108.10243370537623</v>
      </c>
      <c r="E284" s="169">
        <f t="shared" si="8"/>
        <v>83.25524646274809</v>
      </c>
      <c r="F284" s="190" t="str">
        <f t="shared" si="9"/>
        <v/>
      </c>
    </row>
    <row r="285" spans="1:6">
      <c r="A285">
        <v>282</v>
      </c>
      <c r="B285" s="46">
        <v>44903</v>
      </c>
      <c r="C285" s="169">
        <v>78.200729502751827</v>
      </c>
      <c r="D285" s="169">
        <v>108.10243370537623</v>
      </c>
      <c r="E285" s="169">
        <f t="shared" si="8"/>
        <v>78.200729502751827</v>
      </c>
      <c r="F285" s="190" t="str">
        <f t="shared" si="9"/>
        <v/>
      </c>
    </row>
    <row r="286" spans="1:6">
      <c r="A286">
        <v>283</v>
      </c>
      <c r="B286" s="46">
        <v>44904</v>
      </c>
      <c r="C286" s="169">
        <v>81.242425742749973</v>
      </c>
      <c r="D286" s="169">
        <v>108.10243370537623</v>
      </c>
      <c r="E286" s="169">
        <f t="shared" si="8"/>
        <v>81.242425742749973</v>
      </c>
      <c r="F286" s="190" t="str">
        <f t="shared" si="9"/>
        <v/>
      </c>
    </row>
    <row r="287" spans="1:6">
      <c r="A287">
        <v>284</v>
      </c>
      <c r="B287" s="46">
        <v>44905</v>
      </c>
      <c r="C287" s="169">
        <v>65.708957131749969</v>
      </c>
      <c r="D287" s="169">
        <v>108.10243370537623</v>
      </c>
      <c r="E287" s="169">
        <f t="shared" si="8"/>
        <v>65.708957131749969</v>
      </c>
      <c r="F287" s="190" t="str">
        <f t="shared" si="9"/>
        <v/>
      </c>
    </row>
    <row r="288" spans="1:6">
      <c r="A288">
        <v>285</v>
      </c>
      <c r="B288" s="46">
        <v>44906</v>
      </c>
      <c r="C288" s="169">
        <v>67.742122181749025</v>
      </c>
      <c r="D288" s="169">
        <v>108.10243370537623</v>
      </c>
      <c r="E288" s="169">
        <f t="shared" si="8"/>
        <v>67.742122181749025</v>
      </c>
      <c r="F288" s="190" t="str">
        <f t="shared" si="9"/>
        <v/>
      </c>
    </row>
    <row r="289" spans="1:7">
      <c r="A289">
        <v>286</v>
      </c>
      <c r="B289" s="46">
        <v>44907</v>
      </c>
      <c r="C289" s="169">
        <v>74.222568034749969</v>
      </c>
      <c r="D289" s="169">
        <v>108.10243370537623</v>
      </c>
      <c r="E289" s="169">
        <f t="shared" si="8"/>
        <v>74.222568034749969</v>
      </c>
      <c r="F289" s="190" t="str">
        <f t="shared" si="9"/>
        <v/>
      </c>
    </row>
    <row r="290" spans="1:7">
      <c r="A290">
        <v>287</v>
      </c>
      <c r="B290" s="46">
        <v>44908</v>
      </c>
      <c r="C290" s="169">
        <v>101.85167531074997</v>
      </c>
      <c r="D290" s="169">
        <v>108.10243370537623</v>
      </c>
      <c r="E290" s="169">
        <f t="shared" si="8"/>
        <v>101.85167531074997</v>
      </c>
      <c r="F290" s="190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/>
      </c>
    </row>
    <row r="291" spans="1:7">
      <c r="A291">
        <v>288</v>
      </c>
      <c r="B291" s="46">
        <v>44909</v>
      </c>
      <c r="C291" s="169">
        <v>289.86074061030251</v>
      </c>
      <c r="D291" s="169">
        <v>108.10243370537623</v>
      </c>
      <c r="E291" s="169">
        <f t="shared" si="8"/>
        <v>108.10243370537623</v>
      </c>
      <c r="F291" s="190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44910</v>
      </c>
      <c r="C292" s="169">
        <v>284.54769954630444</v>
      </c>
      <c r="D292" s="169">
        <v>108.10243370537623</v>
      </c>
      <c r="E292" s="169">
        <f t="shared" si="8"/>
        <v>108.10243370537623</v>
      </c>
      <c r="F292" s="190" t="str">
        <f t="shared" si="9"/>
        <v>D</v>
      </c>
      <c r="G292" s="191">
        <f>IF(DAY(B292)=15,D292,"")</f>
        <v>108.10243370537623</v>
      </c>
    </row>
    <row r="293" spans="1:7">
      <c r="A293">
        <v>290</v>
      </c>
      <c r="B293" s="46">
        <v>44911</v>
      </c>
      <c r="C293" s="169">
        <v>307.98983931430348</v>
      </c>
      <c r="D293" s="169">
        <v>108.10243370537623</v>
      </c>
      <c r="E293" s="169">
        <f t="shared" si="8"/>
        <v>108.10243370537623</v>
      </c>
      <c r="F293" s="190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44912</v>
      </c>
      <c r="C294" s="169">
        <v>302.0154462823034</v>
      </c>
      <c r="D294" s="169">
        <v>108.10243370537623</v>
      </c>
      <c r="E294" s="169">
        <f t="shared" si="8"/>
        <v>108.10243370537623</v>
      </c>
      <c r="F294" s="190" t="str">
        <f t="shared" si="9"/>
        <v/>
      </c>
    </row>
    <row r="295" spans="1:7">
      <c r="A295">
        <v>292</v>
      </c>
      <c r="B295" s="46">
        <v>44913</v>
      </c>
      <c r="C295" s="169">
        <v>247.77309099030251</v>
      </c>
      <c r="D295" s="169">
        <v>108.10243370537623</v>
      </c>
      <c r="E295" s="169">
        <f t="shared" si="8"/>
        <v>108.10243370537623</v>
      </c>
      <c r="F295" s="190" t="str">
        <f t="shared" si="9"/>
        <v/>
      </c>
    </row>
    <row r="296" spans="1:7">
      <c r="A296">
        <v>293</v>
      </c>
      <c r="B296" s="46">
        <v>44914</v>
      </c>
      <c r="C296" s="169">
        <v>269.45547892630435</v>
      </c>
      <c r="D296" s="169">
        <v>108.10243370537623</v>
      </c>
      <c r="E296" s="169">
        <f t="shared" si="8"/>
        <v>108.10243370537623</v>
      </c>
      <c r="F296" s="190" t="str">
        <f t="shared" si="9"/>
        <v/>
      </c>
    </row>
    <row r="297" spans="1:7">
      <c r="A297">
        <v>294</v>
      </c>
      <c r="B297" s="46">
        <v>44915</v>
      </c>
      <c r="C297" s="169">
        <v>283.37033685830437</v>
      </c>
      <c r="D297" s="169">
        <v>108.10243370537623</v>
      </c>
      <c r="E297" s="169">
        <f t="shared" si="8"/>
        <v>108.10243370537623</v>
      </c>
      <c r="F297" s="190" t="str">
        <f t="shared" si="9"/>
        <v/>
      </c>
    </row>
    <row r="298" spans="1:7">
      <c r="A298">
        <v>295</v>
      </c>
      <c r="B298" s="46">
        <v>44916</v>
      </c>
      <c r="C298" s="169">
        <v>216.08716630322749</v>
      </c>
      <c r="D298" s="169">
        <v>108.10243370537623</v>
      </c>
      <c r="E298" s="169">
        <f t="shared" si="8"/>
        <v>108.10243370537623</v>
      </c>
      <c r="F298" s="190" t="str">
        <f t="shared" si="9"/>
        <v/>
      </c>
    </row>
    <row r="299" spans="1:7">
      <c r="A299">
        <v>296</v>
      </c>
      <c r="B299" s="46">
        <v>44917</v>
      </c>
      <c r="C299" s="169">
        <v>230.81324102322563</v>
      </c>
      <c r="D299" s="169">
        <v>108.10243370537623</v>
      </c>
      <c r="E299" s="169">
        <f t="shared" si="8"/>
        <v>108.10243370537623</v>
      </c>
      <c r="F299" s="190" t="str">
        <f t="shared" si="9"/>
        <v/>
      </c>
    </row>
    <row r="300" spans="1:7">
      <c r="A300">
        <v>297</v>
      </c>
      <c r="B300" s="46">
        <v>44918</v>
      </c>
      <c r="C300" s="169">
        <v>208.30023159122655</v>
      </c>
      <c r="D300" s="169">
        <v>108.10243370537623</v>
      </c>
      <c r="E300" s="169">
        <f t="shared" si="8"/>
        <v>108.10243370537623</v>
      </c>
      <c r="F300" s="190" t="str">
        <f t="shared" si="9"/>
        <v/>
      </c>
    </row>
    <row r="301" spans="1:7">
      <c r="A301">
        <v>298</v>
      </c>
      <c r="B301" s="46">
        <v>44919</v>
      </c>
      <c r="C301" s="169">
        <v>181.29447120322658</v>
      </c>
      <c r="D301" s="169">
        <v>108.10243370537623</v>
      </c>
      <c r="E301" s="169">
        <f t="shared" si="8"/>
        <v>108.10243370537623</v>
      </c>
      <c r="F301" s="190" t="str">
        <f t="shared" si="9"/>
        <v/>
      </c>
    </row>
    <row r="302" spans="1:7">
      <c r="A302">
        <v>299</v>
      </c>
      <c r="B302" s="46">
        <v>44920</v>
      </c>
      <c r="C302" s="169">
        <v>167.15576251522654</v>
      </c>
      <c r="D302" s="169">
        <v>108.10243370537623</v>
      </c>
      <c r="E302" s="169">
        <f t="shared" si="8"/>
        <v>108.10243370537623</v>
      </c>
      <c r="F302" s="190" t="str">
        <f t="shared" si="9"/>
        <v/>
      </c>
    </row>
    <row r="303" spans="1:7">
      <c r="A303">
        <v>300</v>
      </c>
      <c r="B303" s="46">
        <v>44921</v>
      </c>
      <c r="C303" s="169">
        <v>203.88989757522563</v>
      </c>
      <c r="D303" s="169">
        <v>108.10243370537623</v>
      </c>
      <c r="E303" s="169">
        <f t="shared" si="8"/>
        <v>108.10243370537623</v>
      </c>
      <c r="F303" s="190" t="str">
        <f t="shared" si="9"/>
        <v/>
      </c>
    </row>
    <row r="304" spans="1:7">
      <c r="A304">
        <v>301</v>
      </c>
      <c r="B304" s="46">
        <v>44922</v>
      </c>
      <c r="C304" s="169">
        <v>233.8799983832275</v>
      </c>
      <c r="D304" s="169">
        <v>108.10243370537623</v>
      </c>
      <c r="E304" s="169">
        <f t="shared" si="8"/>
        <v>108.10243370537623</v>
      </c>
      <c r="F304" s="190" t="str">
        <f t="shared" si="9"/>
        <v/>
      </c>
    </row>
    <row r="305" spans="1:6">
      <c r="A305">
        <v>302</v>
      </c>
      <c r="B305" s="46">
        <v>44923</v>
      </c>
      <c r="C305" s="169">
        <v>193.42706543876241</v>
      </c>
      <c r="D305" s="169">
        <v>108.10243370537623</v>
      </c>
      <c r="E305" s="169">
        <f t="shared" si="8"/>
        <v>108.10243370537623</v>
      </c>
      <c r="F305" s="190" t="str">
        <f t="shared" si="9"/>
        <v/>
      </c>
    </row>
    <row r="306" spans="1:6">
      <c r="A306">
        <v>303</v>
      </c>
      <c r="B306" s="46">
        <v>44924</v>
      </c>
      <c r="C306" s="169">
        <v>195.83576991875964</v>
      </c>
      <c r="D306" s="169">
        <v>108.10243370537623</v>
      </c>
      <c r="E306" s="169">
        <f t="shared" si="8"/>
        <v>108.10243370537623</v>
      </c>
      <c r="F306" s="190" t="str">
        <f t="shared" si="9"/>
        <v/>
      </c>
    </row>
    <row r="307" spans="1:6">
      <c r="A307">
        <v>304</v>
      </c>
      <c r="B307" s="46">
        <v>44925</v>
      </c>
      <c r="C307" s="169">
        <v>180.58791271476244</v>
      </c>
      <c r="D307" s="169">
        <v>108.10243370537623</v>
      </c>
      <c r="E307" s="169">
        <f t="shared" si="8"/>
        <v>108.10243370537623</v>
      </c>
      <c r="F307" s="190" t="str">
        <f t="shared" si="9"/>
        <v/>
      </c>
    </row>
    <row r="308" spans="1:6">
      <c r="A308">
        <v>305</v>
      </c>
      <c r="B308" s="46">
        <v>44926</v>
      </c>
      <c r="C308" s="169">
        <v>180.64716726676147</v>
      </c>
      <c r="D308" s="169">
        <v>108.10243370537623</v>
      </c>
      <c r="E308" s="169">
        <f t="shared" si="8"/>
        <v>108.10243370537623</v>
      </c>
      <c r="F308" s="190" t="str">
        <f t="shared" si="9"/>
        <v/>
      </c>
    </row>
    <row r="309" spans="1:6">
      <c r="A309">
        <v>306</v>
      </c>
      <c r="B309" s="46">
        <v>44927</v>
      </c>
      <c r="C309" s="169">
        <v>184.78891499076244</v>
      </c>
      <c r="D309" s="169">
        <v>119.44455644829111</v>
      </c>
      <c r="E309" s="169">
        <f t="shared" si="8"/>
        <v>119.44455644829111</v>
      </c>
      <c r="F309" s="190" t="str">
        <f t="shared" si="9"/>
        <v/>
      </c>
    </row>
    <row r="310" spans="1:6">
      <c r="A310">
        <v>307</v>
      </c>
      <c r="B310" s="46">
        <v>44928</v>
      </c>
      <c r="C310" s="169">
        <v>244.50320051076056</v>
      </c>
      <c r="D310" s="169">
        <v>119.44455644829111</v>
      </c>
      <c r="E310" s="169">
        <f t="shared" si="8"/>
        <v>119.44455644829111</v>
      </c>
      <c r="F310" s="190" t="str">
        <f t="shared" si="9"/>
        <v/>
      </c>
    </row>
    <row r="311" spans="1:6">
      <c r="A311">
        <v>308</v>
      </c>
      <c r="B311" s="46">
        <v>44929</v>
      </c>
      <c r="C311" s="169">
        <v>261.70456261476147</v>
      </c>
      <c r="D311" s="169">
        <v>119.44455644829111</v>
      </c>
      <c r="E311" s="169">
        <f t="shared" si="8"/>
        <v>119.44455644829111</v>
      </c>
      <c r="F311" s="190" t="str">
        <f t="shared" si="9"/>
        <v/>
      </c>
    </row>
    <row r="312" spans="1:6">
      <c r="A312">
        <v>309</v>
      </c>
      <c r="B312" s="46">
        <v>44930</v>
      </c>
      <c r="C312" s="169">
        <v>209.39474584719699</v>
      </c>
      <c r="D312" s="169">
        <v>119.44455644829111</v>
      </c>
      <c r="E312" s="169">
        <f t="shared" si="8"/>
        <v>119.44455644829111</v>
      </c>
      <c r="F312" s="190" t="str">
        <f t="shared" si="9"/>
        <v/>
      </c>
    </row>
    <row r="313" spans="1:6">
      <c r="A313">
        <v>310</v>
      </c>
      <c r="B313" s="46">
        <v>44931</v>
      </c>
      <c r="C313" s="169">
        <v>214.371626552197</v>
      </c>
      <c r="D313" s="169">
        <v>119.44455644829111</v>
      </c>
      <c r="E313" s="169">
        <f t="shared" si="8"/>
        <v>119.44455644829111</v>
      </c>
      <c r="F313" s="190" t="str">
        <f t="shared" si="9"/>
        <v/>
      </c>
    </row>
    <row r="314" spans="1:6">
      <c r="A314">
        <v>311</v>
      </c>
      <c r="B314" s="46">
        <v>44932</v>
      </c>
      <c r="C314" s="169">
        <v>202.38816227619512</v>
      </c>
      <c r="D314" s="169">
        <v>119.44455644829111</v>
      </c>
      <c r="E314" s="169">
        <f t="shared" si="8"/>
        <v>119.44455644829111</v>
      </c>
      <c r="F314" s="190" t="str">
        <f t="shared" si="9"/>
        <v/>
      </c>
    </row>
    <row r="315" spans="1:6">
      <c r="A315">
        <v>312</v>
      </c>
      <c r="B315" s="46">
        <v>44933</v>
      </c>
      <c r="C315" s="169">
        <v>145.55916480019513</v>
      </c>
      <c r="D315" s="169">
        <v>119.44455644829111</v>
      </c>
      <c r="E315" s="169">
        <f t="shared" si="8"/>
        <v>119.44455644829111</v>
      </c>
      <c r="F315" s="190" t="str">
        <f t="shared" si="9"/>
        <v/>
      </c>
    </row>
    <row r="316" spans="1:6">
      <c r="A316">
        <v>313</v>
      </c>
      <c r="B316" s="46">
        <v>44934</v>
      </c>
      <c r="C316" s="169">
        <v>152.323538516197</v>
      </c>
      <c r="D316" s="169">
        <v>119.44455644829111</v>
      </c>
      <c r="E316" s="169">
        <f t="shared" si="8"/>
        <v>119.44455644829111</v>
      </c>
      <c r="F316" s="190" t="str">
        <f t="shared" si="9"/>
        <v/>
      </c>
    </row>
    <row r="317" spans="1:6">
      <c r="A317">
        <v>314</v>
      </c>
      <c r="B317" s="46">
        <v>44935</v>
      </c>
      <c r="C317" s="169">
        <v>173.53116320419701</v>
      </c>
      <c r="D317" s="169">
        <v>119.44455644829111</v>
      </c>
      <c r="E317" s="169">
        <f t="shared" si="8"/>
        <v>119.44455644829111</v>
      </c>
      <c r="F317" s="190" t="str">
        <f t="shared" si="9"/>
        <v/>
      </c>
    </row>
    <row r="318" spans="1:6">
      <c r="A318">
        <v>315</v>
      </c>
      <c r="B318" s="46">
        <v>44936</v>
      </c>
      <c r="C318" s="169">
        <v>220.26875334819513</v>
      </c>
      <c r="D318" s="169">
        <v>119.44455644829111</v>
      </c>
      <c r="E318" s="169">
        <f t="shared" si="8"/>
        <v>119.44455644829111</v>
      </c>
      <c r="F318" s="190" t="str">
        <f t="shared" si="9"/>
        <v/>
      </c>
    </row>
    <row r="319" spans="1:6">
      <c r="A319">
        <v>316</v>
      </c>
      <c r="B319" s="46">
        <v>44937</v>
      </c>
      <c r="C319" s="169">
        <v>192.5710449574604</v>
      </c>
      <c r="D319" s="169">
        <v>119.44455644829111</v>
      </c>
      <c r="E319" s="169">
        <f t="shared" si="8"/>
        <v>119.44455644829111</v>
      </c>
      <c r="F319" s="190" t="str">
        <f t="shared" si="9"/>
        <v/>
      </c>
    </row>
    <row r="320" spans="1:6">
      <c r="A320">
        <v>317</v>
      </c>
      <c r="B320" s="46">
        <v>44938</v>
      </c>
      <c r="C320" s="169">
        <v>204.5784574534604</v>
      </c>
      <c r="D320" s="169">
        <v>119.44455644829111</v>
      </c>
      <c r="E320" s="169">
        <f t="shared" si="8"/>
        <v>119.44455644829111</v>
      </c>
      <c r="F320" s="190" t="str">
        <f t="shared" si="9"/>
        <v/>
      </c>
    </row>
    <row r="321" spans="1:7">
      <c r="A321">
        <v>318</v>
      </c>
      <c r="B321" s="46">
        <v>44939</v>
      </c>
      <c r="C321" s="169">
        <v>208.32460987346039</v>
      </c>
      <c r="D321" s="169">
        <v>119.44455644829111</v>
      </c>
      <c r="E321" s="169">
        <f t="shared" si="8"/>
        <v>119.44455644829111</v>
      </c>
      <c r="F321" s="190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/>
      </c>
    </row>
    <row r="322" spans="1:7">
      <c r="A322">
        <v>319</v>
      </c>
      <c r="B322" s="46">
        <v>44940</v>
      </c>
      <c r="C322" s="169">
        <v>185.10954953746227</v>
      </c>
      <c r="D322" s="169">
        <v>119.44455644829111</v>
      </c>
      <c r="E322" s="169">
        <f t="shared" si="8"/>
        <v>119.44455644829111</v>
      </c>
      <c r="F322" s="190" t="str">
        <f t="shared" si="9"/>
        <v/>
      </c>
    </row>
    <row r="323" spans="1:7">
      <c r="A323">
        <v>320</v>
      </c>
      <c r="B323" s="46">
        <v>44941</v>
      </c>
      <c r="C323" s="169">
        <v>125.00584058545854</v>
      </c>
      <c r="D323" s="169">
        <v>119.44455644829111</v>
      </c>
      <c r="E323" s="169">
        <f t="shared" si="8"/>
        <v>119.44455644829111</v>
      </c>
      <c r="F323" s="190" t="str">
        <f t="shared" si="9"/>
        <v>E</v>
      </c>
      <c r="G323" s="191">
        <f>IF(DAY(B323)=15,D323,"")</f>
        <v>119.44455644829111</v>
      </c>
    </row>
    <row r="324" spans="1:7">
      <c r="A324">
        <v>321</v>
      </c>
      <c r="B324" s="46">
        <v>44942</v>
      </c>
      <c r="C324" s="169">
        <v>142.93200117346228</v>
      </c>
      <c r="D324" s="169">
        <v>119.44455644829111</v>
      </c>
      <c r="E324" s="169">
        <f t="shared" ref="E324:E387" si="10">IF(C324&lt;D324,C324,D324)</f>
        <v>119.44455644829111</v>
      </c>
      <c r="F324" s="190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44943</v>
      </c>
      <c r="C325" s="169">
        <v>139.53542649845855</v>
      </c>
      <c r="D325" s="169">
        <v>119.44455644829111</v>
      </c>
      <c r="E325" s="169">
        <f t="shared" si="10"/>
        <v>119.44455644829111</v>
      </c>
      <c r="F325" s="190" t="str">
        <f t="shared" si="11"/>
        <v/>
      </c>
    </row>
    <row r="326" spans="1:7">
      <c r="A326">
        <v>323</v>
      </c>
      <c r="B326" s="46">
        <v>44944</v>
      </c>
      <c r="C326" s="169">
        <v>210.03939627556045</v>
      </c>
      <c r="D326" s="169">
        <v>119.44455644829111</v>
      </c>
      <c r="E326" s="169">
        <f t="shared" si="10"/>
        <v>119.44455644829111</v>
      </c>
      <c r="F326" s="190" t="str">
        <f t="shared" si="11"/>
        <v/>
      </c>
    </row>
    <row r="327" spans="1:7">
      <c r="A327">
        <v>324</v>
      </c>
      <c r="B327" s="46">
        <v>44945</v>
      </c>
      <c r="C327" s="169">
        <v>212.57782873355859</v>
      </c>
      <c r="D327" s="169">
        <v>119.44455644829111</v>
      </c>
      <c r="E327" s="169">
        <f t="shared" si="10"/>
        <v>119.44455644829111</v>
      </c>
      <c r="F327" s="190" t="str">
        <f t="shared" si="11"/>
        <v/>
      </c>
    </row>
    <row r="328" spans="1:7">
      <c r="A328">
        <v>325</v>
      </c>
      <c r="B328" s="46">
        <v>44946</v>
      </c>
      <c r="C328" s="169">
        <v>233.41317704555675</v>
      </c>
      <c r="D328" s="169">
        <v>119.44455644829111</v>
      </c>
      <c r="E328" s="169">
        <f t="shared" si="10"/>
        <v>119.44455644829111</v>
      </c>
      <c r="F328" s="190" t="str">
        <f t="shared" si="11"/>
        <v/>
      </c>
    </row>
    <row r="329" spans="1:7">
      <c r="A329">
        <v>326</v>
      </c>
      <c r="B329" s="46">
        <v>44947</v>
      </c>
      <c r="C329" s="169">
        <v>216.84184448956046</v>
      </c>
      <c r="D329" s="169">
        <v>119.44455644829111</v>
      </c>
      <c r="E329" s="169">
        <f t="shared" si="10"/>
        <v>119.44455644829111</v>
      </c>
      <c r="F329" s="190" t="str">
        <f t="shared" si="11"/>
        <v/>
      </c>
    </row>
    <row r="330" spans="1:7">
      <c r="A330">
        <v>327</v>
      </c>
      <c r="B330" s="46">
        <v>44948</v>
      </c>
      <c r="C330" s="169">
        <v>209.10542282955862</v>
      </c>
      <c r="D330" s="169">
        <v>119.44455644829111</v>
      </c>
      <c r="E330" s="169">
        <f t="shared" si="10"/>
        <v>119.44455644829111</v>
      </c>
      <c r="F330" s="190" t="str">
        <f t="shared" si="11"/>
        <v/>
      </c>
    </row>
    <row r="331" spans="1:7">
      <c r="A331">
        <v>328</v>
      </c>
      <c r="B331" s="46">
        <v>44949</v>
      </c>
      <c r="C331" s="169">
        <v>237.83656097755673</v>
      </c>
      <c r="D331" s="169">
        <v>119.44455644829111</v>
      </c>
      <c r="E331" s="169">
        <f t="shared" si="10"/>
        <v>119.44455644829111</v>
      </c>
      <c r="F331" s="190" t="str">
        <f t="shared" si="11"/>
        <v/>
      </c>
    </row>
    <row r="332" spans="1:7">
      <c r="A332">
        <v>329</v>
      </c>
      <c r="B332" s="46">
        <v>44950</v>
      </c>
      <c r="C332" s="169">
        <v>265.54094923356047</v>
      </c>
      <c r="D332" s="169">
        <v>119.44455644829111</v>
      </c>
      <c r="E332" s="169">
        <f t="shared" si="10"/>
        <v>119.44455644829111</v>
      </c>
      <c r="F332" s="190" t="str">
        <f t="shared" si="11"/>
        <v/>
      </c>
    </row>
    <row r="333" spans="1:7">
      <c r="A333">
        <v>330</v>
      </c>
      <c r="B333" s="46">
        <v>44951</v>
      </c>
      <c r="C333" s="169">
        <v>175.17871750291602</v>
      </c>
      <c r="D333" s="169">
        <v>119.44455644829111</v>
      </c>
      <c r="E333" s="169">
        <f t="shared" si="10"/>
        <v>119.44455644829111</v>
      </c>
      <c r="F333" s="190" t="str">
        <f t="shared" si="11"/>
        <v/>
      </c>
    </row>
    <row r="334" spans="1:7">
      <c r="A334">
        <v>331</v>
      </c>
      <c r="B334" s="46">
        <v>44952</v>
      </c>
      <c r="C334" s="169">
        <v>170.86068855092162</v>
      </c>
      <c r="D334" s="169">
        <v>119.44455644829111</v>
      </c>
      <c r="E334" s="169">
        <f t="shared" si="10"/>
        <v>119.44455644829111</v>
      </c>
      <c r="F334" s="190" t="str">
        <f t="shared" si="11"/>
        <v/>
      </c>
    </row>
    <row r="335" spans="1:7">
      <c r="A335">
        <v>332</v>
      </c>
      <c r="B335" s="46">
        <v>44953</v>
      </c>
      <c r="C335" s="169">
        <v>152.21228546691788</v>
      </c>
      <c r="D335" s="169">
        <v>119.44455644829111</v>
      </c>
      <c r="E335" s="169">
        <f t="shared" si="10"/>
        <v>119.44455644829111</v>
      </c>
      <c r="F335" s="190" t="str">
        <f t="shared" si="11"/>
        <v/>
      </c>
    </row>
    <row r="336" spans="1:7">
      <c r="A336">
        <v>333</v>
      </c>
      <c r="B336" s="46">
        <v>44954</v>
      </c>
      <c r="C336" s="169">
        <v>118.46477353891974</v>
      </c>
      <c r="D336" s="169">
        <v>119.44455644829111</v>
      </c>
      <c r="E336" s="169">
        <f t="shared" si="10"/>
        <v>118.46477353891974</v>
      </c>
      <c r="F336" s="190" t="str">
        <f t="shared" si="11"/>
        <v/>
      </c>
    </row>
    <row r="337" spans="1:6">
      <c r="A337">
        <v>334</v>
      </c>
      <c r="B337" s="46">
        <v>44955</v>
      </c>
      <c r="C337" s="169">
        <v>117.16378841892161</v>
      </c>
      <c r="D337" s="169">
        <v>119.44455644829111</v>
      </c>
      <c r="E337" s="169">
        <f t="shared" si="10"/>
        <v>117.16378841892161</v>
      </c>
      <c r="F337" s="190" t="str">
        <f t="shared" si="11"/>
        <v/>
      </c>
    </row>
    <row r="338" spans="1:6">
      <c r="A338">
        <v>335</v>
      </c>
      <c r="B338" s="46">
        <v>44956</v>
      </c>
      <c r="C338" s="169">
        <v>167.22598204691789</v>
      </c>
      <c r="D338" s="169">
        <v>119.44455644829111</v>
      </c>
      <c r="E338" s="169">
        <f t="shared" si="10"/>
        <v>119.44455644829111</v>
      </c>
      <c r="F338" s="190" t="str">
        <f t="shared" si="11"/>
        <v/>
      </c>
    </row>
    <row r="339" spans="1:6">
      <c r="A339">
        <v>336</v>
      </c>
      <c r="B339" s="46">
        <v>44957</v>
      </c>
      <c r="C339" s="169">
        <v>156.98586410691601</v>
      </c>
      <c r="D339" s="169">
        <v>119.44455644829111</v>
      </c>
      <c r="E339" s="169">
        <f t="shared" si="10"/>
        <v>119.44455644829111</v>
      </c>
      <c r="F339" s="190" t="str">
        <f t="shared" si="11"/>
        <v/>
      </c>
    </row>
    <row r="340" spans="1:6">
      <c r="A340">
        <v>337</v>
      </c>
      <c r="B340" s="46">
        <v>44958</v>
      </c>
      <c r="C340" s="169">
        <v>109.03309077138364</v>
      </c>
      <c r="D340" s="169">
        <v>127.90897946252304</v>
      </c>
      <c r="E340" s="169">
        <f t="shared" si="10"/>
        <v>109.03309077138364</v>
      </c>
      <c r="F340" s="190" t="str">
        <f t="shared" si="11"/>
        <v/>
      </c>
    </row>
    <row r="341" spans="1:6">
      <c r="A341">
        <v>338</v>
      </c>
      <c r="B341" s="46">
        <v>44959</v>
      </c>
      <c r="C341" s="169">
        <v>110.26363983538177</v>
      </c>
      <c r="D341" s="169">
        <v>127.90897946252304</v>
      </c>
      <c r="E341" s="169">
        <f t="shared" si="10"/>
        <v>110.26363983538177</v>
      </c>
      <c r="F341" s="190" t="str">
        <f t="shared" si="11"/>
        <v/>
      </c>
    </row>
    <row r="342" spans="1:6">
      <c r="A342">
        <v>339</v>
      </c>
      <c r="B342" s="46">
        <v>44960</v>
      </c>
      <c r="C342" s="169">
        <v>114.63091317137805</v>
      </c>
      <c r="D342" s="169">
        <v>127.90897946252304</v>
      </c>
      <c r="E342" s="169">
        <f t="shared" si="10"/>
        <v>114.63091317137805</v>
      </c>
      <c r="F342" s="190" t="str">
        <f t="shared" si="11"/>
        <v/>
      </c>
    </row>
    <row r="343" spans="1:6">
      <c r="A343">
        <v>340</v>
      </c>
      <c r="B343" s="46">
        <v>44961</v>
      </c>
      <c r="C343" s="169">
        <v>66.753752903383628</v>
      </c>
      <c r="D343" s="169">
        <v>127.90897946252304</v>
      </c>
      <c r="E343" s="169">
        <f t="shared" si="10"/>
        <v>66.753752903383628</v>
      </c>
      <c r="F343" s="190" t="str">
        <f t="shared" si="11"/>
        <v/>
      </c>
    </row>
    <row r="344" spans="1:6">
      <c r="A344">
        <v>341</v>
      </c>
      <c r="B344" s="46">
        <v>44962</v>
      </c>
      <c r="C344" s="169">
        <v>34.78218156738177</v>
      </c>
      <c r="D344" s="169">
        <v>127.90897946252304</v>
      </c>
      <c r="E344" s="169">
        <f t="shared" si="10"/>
        <v>34.78218156738177</v>
      </c>
      <c r="F344" s="190" t="str">
        <f t="shared" si="11"/>
        <v/>
      </c>
    </row>
    <row r="345" spans="1:6">
      <c r="A345">
        <v>342</v>
      </c>
      <c r="B345" s="46">
        <v>44963</v>
      </c>
      <c r="C345" s="169">
        <v>54.500162847379904</v>
      </c>
      <c r="D345" s="169">
        <v>127.90897946252304</v>
      </c>
      <c r="E345" s="169">
        <f t="shared" si="10"/>
        <v>54.500162847379904</v>
      </c>
      <c r="F345" s="190" t="str">
        <f t="shared" si="11"/>
        <v/>
      </c>
    </row>
    <row r="346" spans="1:6">
      <c r="A346">
        <v>343</v>
      </c>
      <c r="B346" s="46">
        <v>44964</v>
      </c>
      <c r="C346" s="169">
        <v>98.063543611379913</v>
      </c>
      <c r="D346" s="169">
        <v>127.90897946252304</v>
      </c>
      <c r="E346" s="169">
        <f t="shared" si="10"/>
        <v>98.063543611379913</v>
      </c>
      <c r="F346" s="190" t="str">
        <f t="shared" si="11"/>
        <v/>
      </c>
    </row>
    <row r="347" spans="1:6">
      <c r="A347">
        <v>344</v>
      </c>
      <c r="B347" s="46">
        <v>44965</v>
      </c>
      <c r="C347" s="169">
        <v>105.16722153277999</v>
      </c>
      <c r="D347" s="169">
        <v>127.90897946252304</v>
      </c>
      <c r="E347" s="169">
        <f t="shared" si="10"/>
        <v>105.16722153277999</v>
      </c>
      <c r="F347" s="190" t="str">
        <f t="shared" si="11"/>
        <v/>
      </c>
    </row>
    <row r="348" spans="1:6">
      <c r="A348">
        <v>345</v>
      </c>
      <c r="B348" s="46">
        <v>44966</v>
      </c>
      <c r="C348" s="169">
        <v>89.486015136778136</v>
      </c>
      <c r="D348" s="169">
        <v>127.90897946252304</v>
      </c>
      <c r="E348" s="169">
        <f t="shared" si="10"/>
        <v>89.486015136778136</v>
      </c>
      <c r="F348" s="190" t="str">
        <f t="shared" si="11"/>
        <v/>
      </c>
    </row>
    <row r="349" spans="1:6">
      <c r="A349">
        <v>346</v>
      </c>
      <c r="B349" s="46">
        <v>44967</v>
      </c>
      <c r="C349" s="169">
        <v>92.054752980778133</v>
      </c>
      <c r="D349" s="169">
        <v>127.90897946252304</v>
      </c>
      <c r="E349" s="169">
        <f t="shared" si="10"/>
        <v>92.054752980778133</v>
      </c>
      <c r="F349" s="190" t="str">
        <f t="shared" si="11"/>
        <v/>
      </c>
    </row>
    <row r="350" spans="1:6">
      <c r="A350">
        <v>347</v>
      </c>
      <c r="B350" s="46">
        <v>44968</v>
      </c>
      <c r="C350" s="169">
        <v>63.116028124776278</v>
      </c>
      <c r="D350" s="169">
        <v>127.90897946252304</v>
      </c>
      <c r="E350" s="169">
        <f t="shared" si="10"/>
        <v>63.116028124776278</v>
      </c>
      <c r="F350" s="190" t="str">
        <f t="shared" si="11"/>
        <v/>
      </c>
    </row>
    <row r="351" spans="1:6">
      <c r="A351">
        <v>348</v>
      </c>
      <c r="B351" s="46">
        <v>44969</v>
      </c>
      <c r="C351" s="169">
        <v>58.134459388780002</v>
      </c>
      <c r="D351" s="169">
        <v>127.90897946252304</v>
      </c>
      <c r="E351" s="169">
        <f t="shared" si="10"/>
        <v>58.134459388780002</v>
      </c>
      <c r="F351" s="190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/>
      </c>
    </row>
    <row r="352" spans="1:6">
      <c r="A352">
        <v>349</v>
      </c>
      <c r="B352" s="46">
        <v>44970</v>
      </c>
      <c r="C352" s="169">
        <v>73.263080304778143</v>
      </c>
      <c r="D352" s="169">
        <v>127.90897946252304</v>
      </c>
      <c r="E352" s="169">
        <f t="shared" si="10"/>
        <v>73.263080304778143</v>
      </c>
      <c r="F352" s="190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7">
      <c r="A353">
        <v>350</v>
      </c>
      <c r="B353" s="46">
        <v>44971</v>
      </c>
      <c r="C353" s="169">
        <v>62.306540532776268</v>
      </c>
      <c r="D353" s="169">
        <v>127.90897946252304</v>
      </c>
      <c r="E353" s="169">
        <f t="shared" si="10"/>
        <v>62.306540532776268</v>
      </c>
      <c r="F353" s="190" t="str">
        <f t="shared" si="11"/>
        <v/>
      </c>
    </row>
    <row r="354" spans="1:7">
      <c r="A354">
        <v>351</v>
      </c>
      <c r="B354" s="46">
        <v>44972</v>
      </c>
      <c r="C354" s="169">
        <v>73.531928758387934</v>
      </c>
      <c r="D354" s="169">
        <v>127.90897946252304</v>
      </c>
      <c r="E354" s="169">
        <f t="shared" si="10"/>
        <v>73.531928758387934</v>
      </c>
      <c r="F354" s="190" t="str">
        <f t="shared" si="11"/>
        <v>F</v>
      </c>
      <c r="G354" s="191">
        <f>IF(DAY(B354)=15,D354,"")</f>
        <v>127.90897946252304</v>
      </c>
    </row>
    <row r="355" spans="1:7">
      <c r="A355">
        <v>352</v>
      </c>
      <c r="B355" s="46">
        <v>44973</v>
      </c>
      <c r="C355" s="169">
        <v>76.053243566387934</v>
      </c>
      <c r="D355" s="169">
        <v>127.90897946252304</v>
      </c>
      <c r="E355" s="169">
        <f t="shared" si="10"/>
        <v>76.053243566387934</v>
      </c>
      <c r="F355" s="190" t="str">
        <f t="shared" si="11"/>
        <v/>
      </c>
    </row>
    <row r="356" spans="1:7">
      <c r="A356">
        <v>353</v>
      </c>
      <c r="B356" s="46">
        <v>44974</v>
      </c>
      <c r="C356" s="169">
        <v>60.426528206387943</v>
      </c>
      <c r="D356" s="169">
        <v>127.90897946252304</v>
      </c>
      <c r="E356" s="169">
        <f t="shared" si="10"/>
        <v>60.426528206387943</v>
      </c>
      <c r="F356" s="190" t="str">
        <f t="shared" si="11"/>
        <v/>
      </c>
    </row>
    <row r="357" spans="1:7">
      <c r="A357">
        <v>354</v>
      </c>
      <c r="B357" s="46">
        <v>44975</v>
      </c>
      <c r="C357" s="169">
        <v>55.316475114384218</v>
      </c>
      <c r="D357" s="169">
        <v>127.90897946252304</v>
      </c>
      <c r="E357" s="169">
        <f t="shared" si="10"/>
        <v>55.316475114384218</v>
      </c>
      <c r="F357" s="190" t="str">
        <f t="shared" si="11"/>
        <v/>
      </c>
    </row>
    <row r="358" spans="1:7">
      <c r="A358">
        <v>355</v>
      </c>
      <c r="B358" s="46">
        <v>44976</v>
      </c>
      <c r="C358" s="169">
        <v>46.887263002386071</v>
      </c>
      <c r="D358" s="169">
        <v>127.90897946252304</v>
      </c>
      <c r="E358" s="169">
        <f t="shared" si="10"/>
        <v>46.887263002386071</v>
      </c>
      <c r="F358" s="190" t="str">
        <f t="shared" si="11"/>
        <v/>
      </c>
    </row>
    <row r="359" spans="1:7">
      <c r="A359">
        <v>356</v>
      </c>
      <c r="B359" s="46">
        <v>44977</v>
      </c>
      <c r="C359" s="169">
        <v>55.109618946389801</v>
      </c>
      <c r="D359" s="169">
        <v>127.90897946252304</v>
      </c>
      <c r="E359" s="169">
        <f t="shared" si="10"/>
        <v>55.109618946389801</v>
      </c>
      <c r="F359" s="190" t="str">
        <f t="shared" si="11"/>
        <v/>
      </c>
    </row>
    <row r="360" spans="1:7">
      <c r="A360">
        <v>357</v>
      </c>
      <c r="B360" s="46">
        <v>44978</v>
      </c>
      <c r="C360" s="169">
        <v>69.806273530386065</v>
      </c>
      <c r="D360" s="169">
        <v>127.90897946252304</v>
      </c>
      <c r="E360" s="169">
        <f t="shared" si="10"/>
        <v>69.806273530386065</v>
      </c>
      <c r="F360" s="190" t="str">
        <f t="shared" si="11"/>
        <v/>
      </c>
    </row>
    <row r="361" spans="1:7">
      <c r="A361">
        <v>358</v>
      </c>
      <c r="B361" s="46">
        <v>44979</v>
      </c>
      <c r="C361" s="169">
        <v>79.245709382491881</v>
      </c>
      <c r="D361" s="169">
        <v>127.90897946252304</v>
      </c>
      <c r="E361" s="169">
        <f t="shared" si="10"/>
        <v>79.245709382491881</v>
      </c>
      <c r="F361" s="190" t="str">
        <f t="shared" si="11"/>
        <v/>
      </c>
    </row>
    <row r="362" spans="1:7">
      <c r="A362">
        <v>359</v>
      </c>
      <c r="B362" s="46">
        <v>44980</v>
      </c>
      <c r="C362" s="169">
        <v>71.616866294493732</v>
      </c>
      <c r="D362" s="169">
        <v>127.90897946252304</v>
      </c>
      <c r="E362" s="169">
        <f t="shared" si="10"/>
        <v>71.616866294493732</v>
      </c>
      <c r="F362" s="190" t="str">
        <f t="shared" si="11"/>
        <v/>
      </c>
    </row>
    <row r="363" spans="1:7">
      <c r="A363">
        <v>360</v>
      </c>
      <c r="B363" s="46">
        <v>44981</v>
      </c>
      <c r="C363" s="169">
        <v>87.473997022493748</v>
      </c>
      <c r="D363" s="169">
        <v>127.90897946252304</v>
      </c>
      <c r="E363" s="169">
        <f t="shared" si="10"/>
        <v>87.473997022493748</v>
      </c>
      <c r="F363" s="190" t="str">
        <f t="shared" si="11"/>
        <v/>
      </c>
    </row>
    <row r="364" spans="1:7">
      <c r="A364">
        <v>361</v>
      </c>
      <c r="B364" s="46">
        <v>44982</v>
      </c>
      <c r="C364" s="169">
        <v>78.828305238490017</v>
      </c>
      <c r="D364" s="169">
        <v>127.90897946252304</v>
      </c>
      <c r="E364" s="169">
        <f t="shared" si="10"/>
        <v>78.828305238490017</v>
      </c>
      <c r="F364" s="190" t="str">
        <f t="shared" si="11"/>
        <v/>
      </c>
    </row>
    <row r="365" spans="1:7">
      <c r="A365">
        <v>362</v>
      </c>
      <c r="B365" s="46">
        <v>44983</v>
      </c>
      <c r="C365" s="169">
        <v>40.052989714493741</v>
      </c>
      <c r="D365" s="169">
        <v>127.90897946252304</v>
      </c>
      <c r="E365" s="169">
        <f t="shared" si="10"/>
        <v>40.052989714493741</v>
      </c>
      <c r="F365" s="190" t="str">
        <f t="shared" si="11"/>
        <v/>
      </c>
    </row>
    <row r="366" spans="1:7">
      <c r="A366">
        <v>363</v>
      </c>
      <c r="B366" s="46">
        <v>44984</v>
      </c>
      <c r="C366" s="169">
        <v>41.832245766493749</v>
      </c>
      <c r="D366" s="169">
        <v>127.90897946252304</v>
      </c>
      <c r="E366" s="169">
        <f t="shared" si="10"/>
        <v>41.832245766493749</v>
      </c>
      <c r="F366" s="190" t="str">
        <f t="shared" si="11"/>
        <v/>
      </c>
    </row>
    <row r="367" spans="1:7">
      <c r="A367">
        <v>364</v>
      </c>
      <c r="B367" s="46">
        <v>44985</v>
      </c>
      <c r="C367" s="169">
        <v>59.689216074493743</v>
      </c>
      <c r="D367" s="169">
        <v>127.90897946252304</v>
      </c>
      <c r="E367" s="169">
        <f t="shared" si="10"/>
        <v>59.689216074493743</v>
      </c>
      <c r="F367" s="190" t="str">
        <f t="shared" si="11"/>
        <v/>
      </c>
    </row>
    <row r="368" spans="1:7">
      <c r="A368">
        <v>365</v>
      </c>
      <c r="B368" s="46">
        <v>44986</v>
      </c>
      <c r="C368" s="169">
        <v>63.845889240687391</v>
      </c>
      <c r="D368" s="169">
        <v>128.17187118314504</v>
      </c>
      <c r="E368" s="169">
        <f t="shared" si="10"/>
        <v>63.845889240687391</v>
      </c>
      <c r="F368" s="190" t="str">
        <f t="shared" si="11"/>
        <v/>
      </c>
    </row>
    <row r="369" spans="1:7">
      <c r="A369">
        <v>366</v>
      </c>
      <c r="B369" s="46">
        <v>44987</v>
      </c>
      <c r="C369" s="169">
        <v>65.594713584685536</v>
      </c>
      <c r="D369" s="169">
        <v>128.17187118314504</v>
      </c>
      <c r="E369" s="169">
        <f t="shared" si="10"/>
        <v>65.594713584685536</v>
      </c>
      <c r="F369" s="190" t="str">
        <f t="shared" si="11"/>
        <v/>
      </c>
    </row>
    <row r="370" spans="1:7">
      <c r="A370">
        <v>367</v>
      </c>
      <c r="B370" s="46">
        <v>44988</v>
      </c>
      <c r="C370" s="169">
        <v>63.735669172687395</v>
      </c>
      <c r="D370" s="169">
        <v>128.17187118314504</v>
      </c>
      <c r="E370" s="169">
        <f t="shared" si="10"/>
        <v>63.735669172687395</v>
      </c>
      <c r="F370" s="190" t="str">
        <f t="shared" si="11"/>
        <v/>
      </c>
    </row>
    <row r="371" spans="1:7">
      <c r="A371">
        <v>368</v>
      </c>
      <c r="B371" s="46">
        <v>44989</v>
      </c>
      <c r="C371" s="169">
        <v>68.749519408687391</v>
      </c>
      <c r="D371" s="169">
        <v>128.17187118314504</v>
      </c>
      <c r="E371" s="169">
        <f t="shared" si="10"/>
        <v>68.749519408687391</v>
      </c>
      <c r="F371" s="190" t="str">
        <f t="shared" si="11"/>
        <v/>
      </c>
    </row>
    <row r="372" spans="1:7">
      <c r="A372">
        <v>369</v>
      </c>
      <c r="B372" s="46">
        <v>44990</v>
      </c>
      <c r="C372" s="169">
        <v>73.192417176687385</v>
      </c>
      <c r="D372" s="169">
        <v>128.17187118314504</v>
      </c>
      <c r="E372" s="169">
        <f t="shared" si="10"/>
        <v>73.192417176687385</v>
      </c>
      <c r="F372" s="190" t="str">
        <f t="shared" si="11"/>
        <v/>
      </c>
    </row>
    <row r="373" spans="1:7">
      <c r="A373">
        <v>370</v>
      </c>
      <c r="B373" s="46">
        <v>44991</v>
      </c>
      <c r="C373" s="169">
        <v>65.045856980683681</v>
      </c>
      <c r="D373" s="169">
        <v>128.17187118314504</v>
      </c>
      <c r="E373" s="169">
        <f t="shared" si="10"/>
        <v>65.045856980683681</v>
      </c>
      <c r="F373" s="190" t="str">
        <f t="shared" si="11"/>
        <v/>
      </c>
    </row>
    <row r="374" spans="1:7">
      <c r="A374">
        <v>371</v>
      </c>
      <c r="B374" s="46">
        <v>44992</v>
      </c>
      <c r="C374" s="169">
        <v>29.680922709689256</v>
      </c>
      <c r="D374" s="169">
        <v>128.17187118314504</v>
      </c>
      <c r="E374" s="169">
        <f t="shared" si="10"/>
        <v>29.680922709689256</v>
      </c>
      <c r="F374" s="190" t="str">
        <f t="shared" si="11"/>
        <v/>
      </c>
    </row>
    <row r="375" spans="1:7">
      <c r="A375">
        <v>372</v>
      </c>
      <c r="B375" s="46">
        <v>44993</v>
      </c>
      <c r="C375" s="169">
        <v>84.243647918236263</v>
      </c>
      <c r="D375" s="169">
        <v>128.17187118314504</v>
      </c>
      <c r="E375" s="169">
        <f t="shared" si="10"/>
        <v>84.243647918236263</v>
      </c>
      <c r="F375" s="190" t="str">
        <f t="shared" si="11"/>
        <v/>
      </c>
    </row>
    <row r="376" spans="1:7">
      <c r="A376">
        <v>373</v>
      </c>
      <c r="B376" s="46">
        <v>44994</v>
      </c>
      <c r="C376" s="169">
        <v>81.759938380236278</v>
      </c>
      <c r="D376" s="169">
        <v>128.17187118314504</v>
      </c>
      <c r="E376" s="169">
        <f t="shared" si="10"/>
        <v>81.759938380236278</v>
      </c>
      <c r="F376" s="190" t="str">
        <f t="shared" si="11"/>
        <v/>
      </c>
    </row>
    <row r="377" spans="1:7">
      <c r="A377">
        <v>374</v>
      </c>
      <c r="B377" s="46">
        <v>44995</v>
      </c>
      <c r="C377" s="169">
        <v>75.292607818238125</v>
      </c>
      <c r="D377" s="169">
        <v>128.17187118314504</v>
      </c>
      <c r="E377" s="169">
        <f t="shared" si="10"/>
        <v>75.292607818238125</v>
      </c>
      <c r="F377" s="190" t="str">
        <f t="shared" si="11"/>
        <v/>
      </c>
    </row>
    <row r="378" spans="1:7">
      <c r="A378">
        <v>375</v>
      </c>
      <c r="B378" s="46">
        <v>44996</v>
      </c>
      <c r="C378" s="169">
        <v>73.712334547238129</v>
      </c>
      <c r="D378" s="169">
        <v>128.17187118314504</v>
      </c>
      <c r="E378" s="169">
        <f t="shared" si="10"/>
        <v>73.712334547238129</v>
      </c>
      <c r="F378" s="190" t="str">
        <f t="shared" si="11"/>
        <v/>
      </c>
    </row>
    <row r="379" spans="1:7">
      <c r="A379">
        <v>376</v>
      </c>
      <c r="B379" s="46">
        <v>44997</v>
      </c>
      <c r="C379" s="169">
        <v>92.286320339236269</v>
      </c>
      <c r="D379" s="169">
        <v>128.17187118314504</v>
      </c>
      <c r="E379" s="169">
        <f t="shared" si="10"/>
        <v>92.286320339236269</v>
      </c>
      <c r="F379" s="190" t="str">
        <f t="shared" si="11"/>
        <v/>
      </c>
    </row>
    <row r="380" spans="1:7">
      <c r="A380">
        <v>377</v>
      </c>
      <c r="B380" s="46">
        <v>44998</v>
      </c>
      <c r="C380" s="169">
        <v>82.872276331234403</v>
      </c>
      <c r="D380" s="169">
        <v>128.17187118314504</v>
      </c>
      <c r="E380" s="169">
        <f t="shared" si="10"/>
        <v>82.872276331234403</v>
      </c>
      <c r="F380" s="190" t="str">
        <f t="shared" si="11"/>
        <v/>
      </c>
    </row>
    <row r="381" spans="1:7">
      <c r="A381">
        <v>378</v>
      </c>
      <c r="B381" s="46">
        <v>44999</v>
      </c>
      <c r="C381" s="169">
        <v>92.154447647236253</v>
      </c>
      <c r="D381" s="169">
        <v>128.17187118314504</v>
      </c>
      <c r="E381" s="169">
        <f t="shared" si="10"/>
        <v>92.154447647236253</v>
      </c>
      <c r="F381" s="190" t="str">
        <f t="shared" si="11"/>
        <v/>
      </c>
    </row>
    <row r="382" spans="1:7">
      <c r="A382">
        <v>379</v>
      </c>
      <c r="B382" s="46">
        <v>45000</v>
      </c>
      <c r="C382" s="169">
        <v>124.34518904481936</v>
      </c>
      <c r="D382" s="169">
        <v>128.17187118314504</v>
      </c>
      <c r="E382" s="169">
        <f t="shared" si="10"/>
        <v>124.34518904481936</v>
      </c>
      <c r="F382" s="190" t="str">
        <f t="shared" si="11"/>
        <v>M</v>
      </c>
      <c r="G382" s="191">
        <f>IF(DAY(B382)=15,D382,"")</f>
        <v>128.17187118314504</v>
      </c>
    </row>
    <row r="383" spans="1:7">
      <c r="A383">
        <v>380</v>
      </c>
      <c r="B383" s="46">
        <v>45001</v>
      </c>
      <c r="C383" s="169">
        <v>95.956148556819358</v>
      </c>
      <c r="D383" s="169">
        <v>128.17187118314504</v>
      </c>
      <c r="E383" s="169">
        <f t="shared" si="10"/>
        <v>95.956148556819358</v>
      </c>
      <c r="F383" s="190" t="str">
        <f t="shared" si="11"/>
        <v/>
      </c>
    </row>
    <row r="384" spans="1:7">
      <c r="A384">
        <v>381</v>
      </c>
      <c r="B384" s="46">
        <v>45002</v>
      </c>
      <c r="C384" s="169">
        <v>91.613632812819361</v>
      </c>
      <c r="D384" s="169">
        <v>128.17187118314504</v>
      </c>
      <c r="E384" s="169">
        <f t="shared" si="10"/>
        <v>91.613632812819361</v>
      </c>
      <c r="F384" s="190" t="str">
        <f t="shared" si="11"/>
        <v/>
      </c>
    </row>
    <row r="385" spans="1:6">
      <c r="A385">
        <v>382</v>
      </c>
      <c r="B385" s="46">
        <v>45003</v>
      </c>
      <c r="C385" s="169">
        <v>103.17959691681936</v>
      </c>
      <c r="D385" s="169">
        <v>128.17187118314504</v>
      </c>
      <c r="E385" s="169">
        <f t="shared" si="10"/>
        <v>103.17959691681936</v>
      </c>
      <c r="F385" s="190" t="str">
        <f t="shared" si="11"/>
        <v/>
      </c>
    </row>
    <row r="386" spans="1:6">
      <c r="A386">
        <v>383</v>
      </c>
      <c r="B386" s="46">
        <v>45004</v>
      </c>
      <c r="C386" s="169">
        <v>95.411051064821223</v>
      </c>
      <c r="D386" s="169">
        <v>128.17187118314504</v>
      </c>
      <c r="E386" s="169">
        <f t="shared" si="10"/>
        <v>95.411051064821223</v>
      </c>
      <c r="F386" s="190" t="str">
        <f t="shared" si="11"/>
        <v/>
      </c>
    </row>
    <row r="387" spans="1:6">
      <c r="A387">
        <v>384</v>
      </c>
      <c r="B387" s="46">
        <v>45005</v>
      </c>
      <c r="C387" s="169">
        <v>113.2834192728175</v>
      </c>
      <c r="D387" s="169">
        <v>128.17187118314504</v>
      </c>
      <c r="E387" s="169">
        <f t="shared" si="10"/>
        <v>113.2834192728175</v>
      </c>
      <c r="F387" s="190" t="str">
        <f t="shared" si="11"/>
        <v/>
      </c>
    </row>
    <row r="388" spans="1:6">
      <c r="A388">
        <v>385</v>
      </c>
      <c r="B388" s="46">
        <v>45006</v>
      </c>
      <c r="C388" s="169">
        <v>112.77105030081937</v>
      </c>
      <c r="D388" s="169">
        <v>128.17187118314504</v>
      </c>
      <c r="E388" s="169">
        <f t="shared" ref="E388:E395" si="12">IF(C388&lt;D388,C388,D388)</f>
        <v>112.77105030081937</v>
      </c>
      <c r="F388" s="190" t="str">
        <f t="shared" ref="F388:F397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45007</v>
      </c>
      <c r="C389" s="169">
        <v>85.567416835179571</v>
      </c>
      <c r="D389" s="169">
        <v>128.17187118314504</v>
      </c>
      <c r="E389" s="169">
        <f t="shared" si="12"/>
        <v>85.567416835179571</v>
      </c>
      <c r="F389" s="190" t="str">
        <f t="shared" si="13"/>
        <v/>
      </c>
    </row>
    <row r="390" spans="1:6">
      <c r="A390">
        <v>387</v>
      </c>
      <c r="B390" s="46">
        <v>45008</v>
      </c>
      <c r="C390" s="169">
        <v>75.413188003183294</v>
      </c>
      <c r="D390" s="169">
        <v>128.17187118314504</v>
      </c>
      <c r="E390" s="169">
        <f t="shared" si="12"/>
        <v>75.413188003183294</v>
      </c>
      <c r="F390" s="190" t="str">
        <f t="shared" si="13"/>
        <v/>
      </c>
    </row>
    <row r="391" spans="1:6">
      <c r="A391">
        <v>388</v>
      </c>
      <c r="B391" s="46">
        <v>45009</v>
      </c>
      <c r="C391" s="169">
        <v>72.71037366717772</v>
      </c>
      <c r="D391" s="169">
        <v>128.17187118314504</v>
      </c>
      <c r="E391" s="169">
        <f t="shared" si="12"/>
        <v>72.71037366717772</v>
      </c>
      <c r="F391" s="190" t="str">
        <f t="shared" si="13"/>
        <v/>
      </c>
    </row>
    <row r="392" spans="1:6">
      <c r="A392">
        <v>389</v>
      </c>
      <c r="B392" s="46">
        <v>45010</v>
      </c>
      <c r="C392" s="169">
        <v>62.063371844181432</v>
      </c>
      <c r="D392" s="169">
        <v>128.17187118314504</v>
      </c>
      <c r="E392" s="169">
        <f t="shared" si="12"/>
        <v>62.063371844181432</v>
      </c>
      <c r="F392" s="190" t="str">
        <f t="shared" si="13"/>
        <v/>
      </c>
    </row>
    <row r="393" spans="1:6">
      <c r="A393">
        <v>390</v>
      </c>
      <c r="B393" s="46">
        <v>45011</v>
      </c>
      <c r="C393" s="169">
        <v>47.909107123179574</v>
      </c>
      <c r="D393" s="169">
        <v>128.17187118314504</v>
      </c>
      <c r="E393" s="169">
        <f t="shared" si="12"/>
        <v>47.909107123179574</v>
      </c>
      <c r="F393" s="190" t="str">
        <f t="shared" si="13"/>
        <v/>
      </c>
    </row>
    <row r="394" spans="1:6">
      <c r="A394">
        <v>391</v>
      </c>
      <c r="B394" s="46">
        <v>45012</v>
      </c>
      <c r="C394" s="169">
        <v>85.160162743181445</v>
      </c>
      <c r="D394" s="169">
        <v>128.17187118314504</v>
      </c>
      <c r="E394" s="169">
        <f t="shared" si="12"/>
        <v>85.160162743181445</v>
      </c>
      <c r="F394" s="190" t="str">
        <f t="shared" si="13"/>
        <v/>
      </c>
    </row>
    <row r="395" spans="1:6">
      <c r="A395">
        <v>392</v>
      </c>
      <c r="B395" s="46">
        <v>45013</v>
      </c>
      <c r="C395" s="169">
        <v>98.305163666181443</v>
      </c>
      <c r="D395" s="169">
        <v>128.17187118314504</v>
      </c>
      <c r="E395" s="169">
        <f t="shared" si="12"/>
        <v>98.305163666181443</v>
      </c>
      <c r="F395" s="190" t="str">
        <f t="shared" si="13"/>
        <v/>
      </c>
    </row>
    <row r="396" spans="1:6">
      <c r="A396">
        <v>393</v>
      </c>
      <c r="B396" s="46">
        <v>45014</v>
      </c>
      <c r="C396" s="169">
        <v>64.599935202706135</v>
      </c>
      <c r="D396" s="169">
        <v>128.17187118314504</v>
      </c>
      <c r="E396" s="169">
        <f t="shared" ref="E396:E398" si="14">IF(C396&lt;D396,C396,D396)</f>
        <v>64.599935202706135</v>
      </c>
      <c r="F396" s="190" t="str">
        <f t="shared" si="13"/>
        <v/>
      </c>
    </row>
    <row r="397" spans="1:6">
      <c r="A397">
        <v>394</v>
      </c>
      <c r="B397" s="46">
        <v>45015</v>
      </c>
      <c r="C397" s="169">
        <v>58.873206382707991</v>
      </c>
      <c r="D397" s="169">
        <v>128.17187118314504</v>
      </c>
      <c r="E397" s="169">
        <f t="shared" si="14"/>
        <v>58.873206382707991</v>
      </c>
      <c r="F397" s="190" t="str">
        <f t="shared" si="13"/>
        <v/>
      </c>
    </row>
    <row r="398" spans="1:6">
      <c r="A398">
        <v>395</v>
      </c>
      <c r="B398" s="46">
        <v>45016</v>
      </c>
      <c r="C398" s="169">
        <v>53.17528535570986</v>
      </c>
      <c r="D398" s="169">
        <v>128.17187118314504</v>
      </c>
      <c r="E398" s="169">
        <f t="shared" si="14"/>
        <v>53.17528535570986</v>
      </c>
      <c r="F398" s="190" t="str">
        <f t="shared" ref="F398" si="15">IF(DAY(B398)=15,IF(MONTH(B398)=1,"E",IF(MONTH(B398)=2,"F",IF(MONTH(B398)=3,"M",IF(MONTH(B398)=4,"A",IF(MONTH(B398)=5,"M",IF(MONTH(B398)=6,"J",IF(MONTH(B398)=7,"J",IF(MONTH(B398)=8,"A",IF(MONTH(B398)=9,"S",IF(MONTH(B398)=10,"O",IF(MONTH(B398)=11,"N",IF(MONTH(B398)=12,"D","")))))))))))),"")</f>
        <v/>
      </c>
    </row>
    <row r="399" spans="1:6">
      <c r="B399" s="46"/>
      <c r="C399" s="169"/>
      <c r="D399" s="169"/>
      <c r="E399" s="169"/>
      <c r="F399" s="190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169"/>
      <c r="D400" s="169"/>
      <c r="E400" s="169"/>
      <c r="F400" s="190" t="str">
        <f t="shared" si="16"/>
        <v/>
      </c>
    </row>
    <row r="401" spans="3:7">
      <c r="C401" s="169" t="s">
        <v>146</v>
      </c>
      <c r="D401" s="169" t="s">
        <v>146</v>
      </c>
      <c r="E401" s="169" t="str">
        <f t="shared" ref="E401:E451" si="17">IF(C401&lt;D401,C401,D401)</f>
        <v/>
      </c>
      <c r="F401" s="190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69" t="s">
        <v>146</v>
      </c>
      <c r="D402" s="169" t="s">
        <v>146</v>
      </c>
      <c r="E402" s="169" t="str">
        <f t="shared" si="17"/>
        <v/>
      </c>
      <c r="F402" s="190" t="str">
        <f t="shared" si="18"/>
        <v/>
      </c>
    </row>
    <row r="403" spans="3:7">
      <c r="C403" s="169" t="s">
        <v>146</v>
      </c>
      <c r="D403" s="169" t="s">
        <v>146</v>
      </c>
      <c r="E403" s="169" t="str">
        <f t="shared" si="17"/>
        <v/>
      </c>
      <c r="F403" s="190" t="str">
        <f t="shared" si="18"/>
        <v/>
      </c>
    </row>
    <row r="404" spans="3:7">
      <c r="C404" s="169" t="s">
        <v>146</v>
      </c>
      <c r="D404" s="169" t="s">
        <v>146</v>
      </c>
      <c r="E404" s="169" t="str">
        <f t="shared" si="17"/>
        <v/>
      </c>
      <c r="F404" s="190" t="str">
        <f t="shared" si="18"/>
        <v/>
      </c>
    </row>
    <row r="405" spans="3:7">
      <c r="C405" s="169" t="s">
        <v>146</v>
      </c>
      <c r="D405" s="169" t="s">
        <v>146</v>
      </c>
      <c r="E405" s="169" t="str">
        <f t="shared" si="17"/>
        <v/>
      </c>
      <c r="F405" s="190" t="str">
        <f t="shared" si="18"/>
        <v/>
      </c>
    </row>
    <row r="406" spans="3:7">
      <c r="C406" s="169" t="s">
        <v>146</v>
      </c>
      <c r="D406" s="169" t="s">
        <v>146</v>
      </c>
      <c r="E406" s="169" t="str">
        <f t="shared" si="17"/>
        <v/>
      </c>
      <c r="F406" s="190" t="str">
        <f t="shared" si="18"/>
        <v/>
      </c>
    </row>
    <row r="407" spans="3:7">
      <c r="C407" s="169" t="s">
        <v>146</v>
      </c>
      <c r="D407" s="169" t="s">
        <v>146</v>
      </c>
      <c r="E407" s="169" t="str">
        <f t="shared" si="17"/>
        <v/>
      </c>
      <c r="F407" s="190" t="str">
        <f t="shared" si="18"/>
        <v/>
      </c>
    </row>
    <row r="408" spans="3:7">
      <c r="C408" s="169" t="s">
        <v>146</v>
      </c>
      <c r="D408" s="169" t="s">
        <v>146</v>
      </c>
      <c r="E408" s="169" t="str">
        <f t="shared" si="17"/>
        <v/>
      </c>
      <c r="F408" s="190" t="str">
        <f t="shared" si="18"/>
        <v/>
      </c>
    </row>
    <row r="409" spans="3:7">
      <c r="C409" s="169" t="s">
        <v>146</v>
      </c>
      <c r="D409" s="169" t="s">
        <v>146</v>
      </c>
      <c r="E409" s="169" t="str">
        <f t="shared" si="17"/>
        <v/>
      </c>
      <c r="F409" s="190" t="str">
        <f t="shared" si="18"/>
        <v/>
      </c>
    </row>
    <row r="410" spans="3:7">
      <c r="C410" s="169" t="s">
        <v>146</v>
      </c>
      <c r="D410" s="169" t="s">
        <v>146</v>
      </c>
      <c r="E410" s="169" t="str">
        <f t="shared" si="17"/>
        <v/>
      </c>
      <c r="F410" s="190" t="str">
        <f t="shared" si="18"/>
        <v/>
      </c>
    </row>
    <row r="411" spans="3:7">
      <c r="C411" s="169" t="s">
        <v>146</v>
      </c>
      <c r="D411" s="169" t="s">
        <v>146</v>
      </c>
      <c r="E411" s="169" t="str">
        <f t="shared" si="17"/>
        <v/>
      </c>
      <c r="F411" s="190" t="str">
        <f t="shared" si="18"/>
        <v/>
      </c>
    </row>
    <row r="412" spans="3:7">
      <c r="C412" s="169" t="s">
        <v>146</v>
      </c>
      <c r="D412" s="169" t="s">
        <v>146</v>
      </c>
      <c r="E412" s="169" t="str">
        <f t="shared" si="17"/>
        <v/>
      </c>
      <c r="F412" s="190" t="str">
        <f t="shared" si="18"/>
        <v/>
      </c>
      <c r="G412" s="191" t="str">
        <f t="shared" ref="G412" si="19">IF(DAY(B412)=15,D412,"")</f>
        <v/>
      </c>
    </row>
    <row r="413" spans="3:7">
      <c r="C413" s="169" t="s">
        <v>146</v>
      </c>
      <c r="D413" s="169" t="s">
        <v>146</v>
      </c>
      <c r="E413" s="169" t="str">
        <f t="shared" si="17"/>
        <v/>
      </c>
    </row>
    <row r="414" spans="3:7">
      <c r="C414" s="169" t="s">
        <v>146</v>
      </c>
      <c r="D414" s="169" t="s">
        <v>146</v>
      </c>
      <c r="E414" s="169" t="str">
        <f t="shared" si="17"/>
        <v/>
      </c>
    </row>
    <row r="415" spans="3:7">
      <c r="C415" s="169" t="s">
        <v>146</v>
      </c>
      <c r="D415" s="169" t="s">
        <v>146</v>
      </c>
      <c r="E415" s="169" t="str">
        <f t="shared" si="17"/>
        <v/>
      </c>
    </row>
    <row r="416" spans="3:7">
      <c r="C416" s="169" t="s">
        <v>146</v>
      </c>
      <c r="D416" s="169" t="s">
        <v>146</v>
      </c>
      <c r="E416" s="169" t="str">
        <f t="shared" si="17"/>
        <v/>
      </c>
    </row>
    <row r="417" spans="3:5">
      <c r="C417" s="169" t="s">
        <v>146</v>
      </c>
      <c r="D417" s="169" t="s">
        <v>146</v>
      </c>
      <c r="E417" s="169" t="str">
        <f t="shared" si="17"/>
        <v/>
      </c>
    </row>
    <row r="418" spans="3:5">
      <c r="C418" s="169" t="s">
        <v>146</v>
      </c>
      <c r="D418" s="169" t="s">
        <v>146</v>
      </c>
      <c r="E418" s="169" t="str">
        <f t="shared" si="17"/>
        <v/>
      </c>
    </row>
    <row r="419" spans="3:5">
      <c r="C419" s="169" t="s">
        <v>146</v>
      </c>
      <c r="D419" s="169" t="s">
        <v>146</v>
      </c>
      <c r="E419" s="169" t="str">
        <f t="shared" si="17"/>
        <v/>
      </c>
    </row>
    <row r="420" spans="3:5">
      <c r="C420" s="169" t="s">
        <v>146</v>
      </c>
      <c r="D420" s="169" t="s">
        <v>146</v>
      </c>
      <c r="E420" s="169" t="str">
        <f t="shared" si="17"/>
        <v/>
      </c>
    </row>
    <row r="421" spans="3:5">
      <c r="C421" s="169" t="s">
        <v>146</v>
      </c>
      <c r="D421" s="169" t="s">
        <v>146</v>
      </c>
      <c r="E421" s="169" t="str">
        <f t="shared" si="17"/>
        <v/>
      </c>
    </row>
    <row r="422" spans="3:5">
      <c r="C422" s="169" t="s">
        <v>146</v>
      </c>
      <c r="D422" s="169" t="s">
        <v>146</v>
      </c>
      <c r="E422" s="169" t="str">
        <f t="shared" si="17"/>
        <v/>
      </c>
    </row>
    <row r="423" spans="3:5">
      <c r="C423" s="169" t="s">
        <v>146</v>
      </c>
      <c r="D423" s="169" t="s">
        <v>146</v>
      </c>
      <c r="E423" s="169" t="str">
        <f t="shared" si="17"/>
        <v/>
      </c>
    </row>
    <row r="424" spans="3:5">
      <c r="C424" s="169" t="s">
        <v>146</v>
      </c>
      <c r="D424" s="169" t="s">
        <v>146</v>
      </c>
      <c r="E424" s="169" t="str">
        <f t="shared" si="17"/>
        <v/>
      </c>
    </row>
    <row r="425" spans="3:5">
      <c r="C425" s="169" t="s">
        <v>146</v>
      </c>
      <c r="D425" s="169" t="s">
        <v>146</v>
      </c>
      <c r="E425" s="169" t="str">
        <f t="shared" si="17"/>
        <v/>
      </c>
    </row>
    <row r="426" spans="3:5">
      <c r="C426" s="169" t="s">
        <v>146</v>
      </c>
      <c r="D426" s="169" t="s">
        <v>146</v>
      </c>
      <c r="E426" s="169" t="str">
        <f t="shared" si="17"/>
        <v/>
      </c>
    </row>
    <row r="427" spans="3:5">
      <c r="C427" s="169" t="s">
        <v>146</v>
      </c>
      <c r="D427" s="169" t="s">
        <v>146</v>
      </c>
      <c r="E427" s="169" t="str">
        <f t="shared" si="17"/>
        <v/>
      </c>
    </row>
    <row r="428" spans="3:5">
      <c r="C428" s="169" t="s">
        <v>146</v>
      </c>
      <c r="D428" s="169" t="s">
        <v>146</v>
      </c>
      <c r="E428" s="169" t="str">
        <f t="shared" si="17"/>
        <v/>
      </c>
    </row>
    <row r="429" spans="3:5">
      <c r="C429" s="169" t="s">
        <v>146</v>
      </c>
      <c r="D429" s="169" t="s">
        <v>146</v>
      </c>
      <c r="E429" s="169" t="str">
        <f t="shared" si="17"/>
        <v/>
      </c>
    </row>
    <row r="430" spans="3:5">
      <c r="C430" s="169" t="s">
        <v>146</v>
      </c>
      <c r="D430" s="169" t="s">
        <v>146</v>
      </c>
      <c r="E430" s="169" t="str">
        <f t="shared" si="17"/>
        <v/>
      </c>
    </row>
    <row r="431" spans="3:5">
      <c r="C431" s="169" t="s">
        <v>146</v>
      </c>
      <c r="D431" s="169" t="s">
        <v>146</v>
      </c>
      <c r="E431" s="169" t="str">
        <f t="shared" si="17"/>
        <v/>
      </c>
    </row>
    <row r="432" spans="3:5">
      <c r="C432" s="169" t="s">
        <v>146</v>
      </c>
      <c r="D432" s="169" t="s">
        <v>146</v>
      </c>
      <c r="E432" s="169" t="str">
        <f t="shared" si="17"/>
        <v/>
      </c>
    </row>
    <row r="433" spans="3:5">
      <c r="C433" s="169" t="s">
        <v>146</v>
      </c>
      <c r="D433" s="169" t="s">
        <v>146</v>
      </c>
      <c r="E433" s="169" t="str">
        <f t="shared" si="17"/>
        <v/>
      </c>
    </row>
    <row r="434" spans="3:5">
      <c r="C434" s="169" t="s">
        <v>146</v>
      </c>
      <c r="D434" s="169" t="s">
        <v>146</v>
      </c>
      <c r="E434" s="169" t="str">
        <f t="shared" si="17"/>
        <v/>
      </c>
    </row>
    <row r="435" spans="3:5">
      <c r="C435" s="169" t="s">
        <v>146</v>
      </c>
      <c r="D435" s="169" t="s">
        <v>146</v>
      </c>
      <c r="E435" s="169" t="str">
        <f t="shared" si="17"/>
        <v/>
      </c>
    </row>
    <row r="436" spans="3:5">
      <c r="C436" s="169" t="s">
        <v>146</v>
      </c>
      <c r="D436" s="169" t="s">
        <v>146</v>
      </c>
      <c r="E436" s="169" t="str">
        <f t="shared" si="17"/>
        <v/>
      </c>
    </row>
    <row r="437" spans="3:5">
      <c r="C437" s="169" t="s">
        <v>146</v>
      </c>
      <c r="D437" s="169" t="s">
        <v>146</v>
      </c>
      <c r="E437" s="169" t="str">
        <f t="shared" si="17"/>
        <v/>
      </c>
    </row>
    <row r="438" spans="3:5">
      <c r="C438" s="169" t="s">
        <v>146</v>
      </c>
      <c r="D438" s="169" t="s">
        <v>146</v>
      </c>
      <c r="E438" s="169" t="str">
        <f t="shared" si="17"/>
        <v/>
      </c>
    </row>
    <row r="439" spans="3:5">
      <c r="C439" s="169" t="s">
        <v>146</v>
      </c>
      <c r="D439" s="169" t="s">
        <v>146</v>
      </c>
      <c r="E439" s="169" t="str">
        <f t="shared" si="17"/>
        <v/>
      </c>
    </row>
    <row r="440" spans="3:5">
      <c r="C440" s="169" t="s">
        <v>146</v>
      </c>
      <c r="D440" s="169" t="s">
        <v>146</v>
      </c>
      <c r="E440" s="169" t="str">
        <f t="shared" si="17"/>
        <v/>
      </c>
    </row>
    <row r="441" spans="3:5">
      <c r="C441" s="169" t="s">
        <v>146</v>
      </c>
      <c r="D441" s="169" t="s">
        <v>146</v>
      </c>
      <c r="E441" s="169" t="str">
        <f t="shared" si="17"/>
        <v/>
      </c>
    </row>
    <row r="442" spans="3:5">
      <c r="C442" s="169" t="s">
        <v>146</v>
      </c>
      <c r="D442" s="169" t="s">
        <v>146</v>
      </c>
      <c r="E442" s="169" t="str">
        <f t="shared" si="17"/>
        <v/>
      </c>
    </row>
    <row r="443" spans="3:5">
      <c r="C443" s="169" t="s">
        <v>146</v>
      </c>
      <c r="D443" s="169" t="s">
        <v>146</v>
      </c>
      <c r="E443" s="169" t="str">
        <f t="shared" si="17"/>
        <v/>
      </c>
    </row>
    <row r="444" spans="3:5">
      <c r="C444" s="169" t="s">
        <v>146</v>
      </c>
      <c r="D444" s="169" t="s">
        <v>146</v>
      </c>
      <c r="E444" s="169" t="str">
        <f t="shared" si="17"/>
        <v/>
      </c>
    </row>
    <row r="445" spans="3:5">
      <c r="C445" s="169" t="s">
        <v>146</v>
      </c>
      <c r="D445" s="169" t="s">
        <v>146</v>
      </c>
      <c r="E445" s="169" t="str">
        <f t="shared" si="17"/>
        <v/>
      </c>
    </row>
    <row r="446" spans="3:5">
      <c r="C446" s="169" t="s">
        <v>146</v>
      </c>
      <c r="D446" s="169" t="s">
        <v>146</v>
      </c>
      <c r="E446" s="169" t="str">
        <f t="shared" si="17"/>
        <v/>
      </c>
    </row>
    <row r="447" spans="3:5">
      <c r="C447" s="169" t="s">
        <v>146</v>
      </c>
      <c r="D447" s="169" t="s">
        <v>146</v>
      </c>
      <c r="E447" s="169" t="str">
        <f t="shared" si="17"/>
        <v/>
      </c>
    </row>
    <row r="448" spans="3:5">
      <c r="C448" s="169" t="s">
        <v>146</v>
      </c>
      <c r="D448" s="169" t="s">
        <v>146</v>
      </c>
      <c r="E448" s="169" t="str">
        <f t="shared" si="17"/>
        <v/>
      </c>
    </row>
    <row r="449" spans="3:5">
      <c r="C449" s="169" t="s">
        <v>146</v>
      </c>
      <c r="D449" s="169" t="s">
        <v>146</v>
      </c>
      <c r="E449" s="169" t="str">
        <f t="shared" si="17"/>
        <v/>
      </c>
    </row>
    <row r="450" spans="3:5">
      <c r="C450" s="169" t="s">
        <v>146</v>
      </c>
      <c r="D450" s="169" t="s">
        <v>146</v>
      </c>
      <c r="E450" s="169" t="str">
        <f t="shared" si="17"/>
        <v/>
      </c>
    </row>
    <row r="451" spans="3:5">
      <c r="C451" s="169" t="s">
        <v>146</v>
      </c>
      <c r="D451" s="169" t="s">
        <v>146</v>
      </c>
      <c r="E451" s="169" t="str">
        <f t="shared" si="17"/>
        <v/>
      </c>
    </row>
    <row r="452" spans="3:5">
      <c r="C452" s="169" t="s">
        <v>146</v>
      </c>
      <c r="D452" s="169" t="s">
        <v>146</v>
      </c>
      <c r="E452" s="169" t="str">
        <f t="shared" ref="E452:E515" si="20">IF(C452&lt;D452,C452,D452)</f>
        <v/>
      </c>
    </row>
    <row r="453" spans="3:5">
      <c r="C453" s="169" t="s">
        <v>146</v>
      </c>
      <c r="D453" s="169" t="s">
        <v>146</v>
      </c>
      <c r="E453" s="169" t="str">
        <f t="shared" si="20"/>
        <v/>
      </c>
    </row>
    <row r="454" spans="3:5">
      <c r="C454" s="169" t="s">
        <v>146</v>
      </c>
      <c r="D454" s="169" t="s">
        <v>146</v>
      </c>
      <c r="E454" s="169" t="str">
        <f t="shared" si="20"/>
        <v/>
      </c>
    </row>
    <row r="455" spans="3:5">
      <c r="C455" s="169" t="s">
        <v>146</v>
      </c>
      <c r="D455" s="169" t="s">
        <v>146</v>
      </c>
      <c r="E455" s="169" t="str">
        <f t="shared" si="20"/>
        <v/>
      </c>
    </row>
    <row r="456" spans="3:5">
      <c r="C456" s="169" t="s">
        <v>146</v>
      </c>
      <c r="D456" s="169" t="s">
        <v>146</v>
      </c>
      <c r="E456" s="169" t="str">
        <f t="shared" si="20"/>
        <v/>
      </c>
    </row>
    <row r="457" spans="3:5">
      <c r="C457" s="169" t="s">
        <v>146</v>
      </c>
      <c r="D457" s="169" t="s">
        <v>146</v>
      </c>
      <c r="E457" s="169" t="str">
        <f t="shared" si="20"/>
        <v/>
      </c>
    </row>
    <row r="458" spans="3:5">
      <c r="C458" s="169" t="s">
        <v>146</v>
      </c>
      <c r="D458" s="169" t="s">
        <v>146</v>
      </c>
      <c r="E458" s="169" t="str">
        <f t="shared" si="20"/>
        <v/>
      </c>
    </row>
    <row r="459" spans="3:5">
      <c r="C459" s="169" t="s">
        <v>146</v>
      </c>
      <c r="D459" s="169" t="s">
        <v>146</v>
      </c>
      <c r="E459" s="169" t="str">
        <f t="shared" si="20"/>
        <v/>
      </c>
    </row>
    <row r="460" spans="3:5">
      <c r="C460" s="169" t="s">
        <v>146</v>
      </c>
      <c r="D460" s="169" t="s">
        <v>146</v>
      </c>
      <c r="E460" s="169" t="str">
        <f t="shared" si="20"/>
        <v/>
      </c>
    </row>
    <row r="461" spans="3:5">
      <c r="C461" s="169" t="s">
        <v>146</v>
      </c>
      <c r="D461" s="169" t="s">
        <v>146</v>
      </c>
      <c r="E461" s="169" t="str">
        <f t="shared" si="20"/>
        <v/>
      </c>
    </row>
    <row r="462" spans="3:5">
      <c r="C462" s="169" t="s">
        <v>146</v>
      </c>
      <c r="D462" s="169" t="s">
        <v>146</v>
      </c>
      <c r="E462" s="169" t="str">
        <f t="shared" si="20"/>
        <v/>
      </c>
    </row>
    <row r="463" spans="3:5">
      <c r="C463" s="169" t="s">
        <v>146</v>
      </c>
      <c r="D463" s="169" t="s">
        <v>146</v>
      </c>
      <c r="E463" s="169" t="str">
        <f t="shared" si="20"/>
        <v/>
      </c>
    </row>
    <row r="464" spans="3:5">
      <c r="C464" s="169" t="s">
        <v>146</v>
      </c>
      <c r="D464" s="169" t="s">
        <v>146</v>
      </c>
      <c r="E464" s="169" t="str">
        <f t="shared" si="20"/>
        <v/>
      </c>
    </row>
    <row r="465" spans="3:5">
      <c r="C465" s="169" t="s">
        <v>146</v>
      </c>
      <c r="D465" s="169" t="s">
        <v>146</v>
      </c>
      <c r="E465" s="169" t="str">
        <f t="shared" si="20"/>
        <v/>
      </c>
    </row>
    <row r="466" spans="3:5">
      <c r="C466" s="169" t="s">
        <v>146</v>
      </c>
      <c r="D466" s="169" t="s">
        <v>146</v>
      </c>
      <c r="E466" s="169" t="str">
        <f t="shared" si="20"/>
        <v/>
      </c>
    </row>
    <row r="467" spans="3:5">
      <c r="C467" s="169" t="s">
        <v>146</v>
      </c>
      <c r="D467" s="169" t="s">
        <v>146</v>
      </c>
      <c r="E467" s="169" t="str">
        <f t="shared" si="20"/>
        <v/>
      </c>
    </row>
    <row r="468" spans="3:5">
      <c r="C468" s="169" t="s">
        <v>146</v>
      </c>
      <c r="D468" s="169" t="s">
        <v>146</v>
      </c>
      <c r="E468" s="169" t="str">
        <f t="shared" si="20"/>
        <v/>
      </c>
    </row>
    <row r="469" spans="3:5">
      <c r="C469" s="169" t="s">
        <v>146</v>
      </c>
      <c r="D469" s="169" t="s">
        <v>146</v>
      </c>
      <c r="E469" s="169" t="str">
        <f t="shared" si="20"/>
        <v/>
      </c>
    </row>
    <row r="470" spans="3:5">
      <c r="C470" s="169" t="s">
        <v>146</v>
      </c>
      <c r="D470" s="169" t="s">
        <v>146</v>
      </c>
      <c r="E470" s="169" t="str">
        <f t="shared" si="20"/>
        <v/>
      </c>
    </row>
    <row r="471" spans="3:5">
      <c r="C471" s="169" t="s">
        <v>146</v>
      </c>
      <c r="D471" s="169" t="s">
        <v>146</v>
      </c>
      <c r="E471" s="169" t="str">
        <f t="shared" si="20"/>
        <v/>
      </c>
    </row>
    <row r="472" spans="3:5">
      <c r="C472" s="169" t="s">
        <v>146</v>
      </c>
      <c r="D472" s="169" t="s">
        <v>146</v>
      </c>
      <c r="E472" s="169" t="str">
        <f t="shared" si="20"/>
        <v/>
      </c>
    </row>
    <row r="473" spans="3:5">
      <c r="C473" s="169" t="s">
        <v>146</v>
      </c>
      <c r="D473" s="169" t="s">
        <v>146</v>
      </c>
      <c r="E473" s="169" t="str">
        <f t="shared" si="20"/>
        <v/>
      </c>
    </row>
    <row r="474" spans="3:5">
      <c r="C474" s="169" t="s">
        <v>146</v>
      </c>
      <c r="D474" s="169" t="s">
        <v>146</v>
      </c>
      <c r="E474" s="169" t="str">
        <f t="shared" si="20"/>
        <v/>
      </c>
    </row>
    <row r="475" spans="3:5">
      <c r="C475" s="169" t="s">
        <v>146</v>
      </c>
      <c r="D475" s="169" t="s">
        <v>146</v>
      </c>
      <c r="E475" s="169" t="str">
        <f t="shared" si="20"/>
        <v/>
      </c>
    </row>
    <row r="476" spans="3:5">
      <c r="C476" s="169" t="s">
        <v>146</v>
      </c>
      <c r="D476" s="169" t="s">
        <v>146</v>
      </c>
      <c r="E476" s="169" t="str">
        <f t="shared" si="20"/>
        <v/>
      </c>
    </row>
    <row r="477" spans="3:5">
      <c r="C477" s="169" t="s">
        <v>146</v>
      </c>
      <c r="D477" s="169" t="s">
        <v>146</v>
      </c>
      <c r="E477" s="169" t="str">
        <f t="shared" si="20"/>
        <v/>
      </c>
    </row>
    <row r="478" spans="3:5">
      <c r="C478" s="169" t="s">
        <v>146</v>
      </c>
      <c r="D478" s="169" t="s">
        <v>146</v>
      </c>
      <c r="E478" s="169" t="str">
        <f t="shared" si="20"/>
        <v/>
      </c>
    </row>
    <row r="479" spans="3:5">
      <c r="C479" s="169" t="s">
        <v>146</v>
      </c>
      <c r="D479" s="169" t="s">
        <v>146</v>
      </c>
      <c r="E479" s="169" t="str">
        <f t="shared" si="20"/>
        <v/>
      </c>
    </row>
    <row r="480" spans="3:5">
      <c r="C480" s="169" t="s">
        <v>146</v>
      </c>
      <c r="D480" s="169" t="s">
        <v>146</v>
      </c>
      <c r="E480" s="169" t="str">
        <f t="shared" si="20"/>
        <v/>
      </c>
    </row>
    <row r="481" spans="3:5">
      <c r="C481" s="169" t="s">
        <v>146</v>
      </c>
      <c r="D481" s="169" t="s">
        <v>146</v>
      </c>
      <c r="E481" s="169" t="str">
        <f t="shared" si="20"/>
        <v/>
      </c>
    </row>
    <row r="482" spans="3:5">
      <c r="C482" s="169" t="s">
        <v>146</v>
      </c>
      <c r="D482" s="169" t="s">
        <v>146</v>
      </c>
      <c r="E482" s="169" t="str">
        <f t="shared" si="20"/>
        <v/>
      </c>
    </row>
    <row r="483" spans="3:5">
      <c r="C483" s="169" t="s">
        <v>146</v>
      </c>
      <c r="D483" s="169" t="s">
        <v>146</v>
      </c>
      <c r="E483" s="169" t="str">
        <f t="shared" si="20"/>
        <v/>
      </c>
    </row>
    <row r="484" spans="3:5">
      <c r="C484" s="169" t="s">
        <v>146</v>
      </c>
      <c r="D484" s="169" t="s">
        <v>146</v>
      </c>
      <c r="E484" s="169" t="str">
        <f t="shared" si="20"/>
        <v/>
      </c>
    </row>
    <row r="485" spans="3:5">
      <c r="C485" s="169" t="s">
        <v>146</v>
      </c>
      <c r="D485" s="169" t="s">
        <v>146</v>
      </c>
      <c r="E485" s="169" t="str">
        <f t="shared" si="20"/>
        <v/>
      </c>
    </row>
    <row r="486" spans="3:5">
      <c r="C486" s="169" t="s">
        <v>146</v>
      </c>
      <c r="D486" s="169" t="s">
        <v>146</v>
      </c>
      <c r="E486" s="169" t="str">
        <f t="shared" si="20"/>
        <v/>
      </c>
    </row>
    <row r="487" spans="3:5">
      <c r="C487" s="169" t="s">
        <v>146</v>
      </c>
      <c r="D487" s="169" t="s">
        <v>146</v>
      </c>
      <c r="E487" s="169" t="str">
        <f t="shared" si="20"/>
        <v/>
      </c>
    </row>
    <row r="488" spans="3:5">
      <c r="C488" s="169" t="s">
        <v>146</v>
      </c>
      <c r="D488" s="169" t="s">
        <v>146</v>
      </c>
      <c r="E488" s="169" t="str">
        <f t="shared" si="20"/>
        <v/>
      </c>
    </row>
    <row r="489" spans="3:5">
      <c r="C489" s="169" t="s">
        <v>146</v>
      </c>
      <c r="D489" s="169" t="s">
        <v>146</v>
      </c>
      <c r="E489" s="169" t="str">
        <f t="shared" si="20"/>
        <v/>
      </c>
    </row>
    <row r="490" spans="3:5">
      <c r="C490" s="169" t="s">
        <v>146</v>
      </c>
      <c r="D490" s="169" t="s">
        <v>146</v>
      </c>
      <c r="E490" s="169" t="str">
        <f t="shared" si="20"/>
        <v/>
      </c>
    </row>
    <row r="491" spans="3:5">
      <c r="C491" s="169" t="s">
        <v>146</v>
      </c>
      <c r="D491" s="169" t="s">
        <v>146</v>
      </c>
      <c r="E491" s="169" t="str">
        <f t="shared" si="20"/>
        <v/>
      </c>
    </row>
    <row r="492" spans="3:5">
      <c r="C492" s="169" t="s">
        <v>146</v>
      </c>
      <c r="D492" s="169" t="s">
        <v>146</v>
      </c>
      <c r="E492" s="169" t="str">
        <f t="shared" si="20"/>
        <v/>
      </c>
    </row>
    <row r="493" spans="3:5">
      <c r="C493" s="169" t="s">
        <v>146</v>
      </c>
      <c r="D493" s="169" t="s">
        <v>146</v>
      </c>
      <c r="E493" s="169" t="str">
        <f t="shared" si="20"/>
        <v/>
      </c>
    </row>
    <row r="494" spans="3:5">
      <c r="C494" s="169" t="s">
        <v>146</v>
      </c>
      <c r="D494" s="169" t="s">
        <v>146</v>
      </c>
      <c r="E494" s="169" t="str">
        <f t="shared" si="20"/>
        <v/>
      </c>
    </row>
    <row r="495" spans="3:5">
      <c r="C495" s="169" t="s">
        <v>146</v>
      </c>
      <c r="D495" s="169" t="s">
        <v>146</v>
      </c>
      <c r="E495" s="169" t="str">
        <f t="shared" si="20"/>
        <v/>
      </c>
    </row>
    <row r="496" spans="3:5">
      <c r="C496" s="169" t="s">
        <v>146</v>
      </c>
      <c r="D496" s="169" t="s">
        <v>146</v>
      </c>
      <c r="E496" s="169" t="str">
        <f t="shared" si="20"/>
        <v/>
      </c>
    </row>
    <row r="497" spans="3:5">
      <c r="C497" s="169" t="s">
        <v>146</v>
      </c>
      <c r="D497" s="169" t="s">
        <v>146</v>
      </c>
      <c r="E497" s="169" t="str">
        <f t="shared" si="20"/>
        <v/>
      </c>
    </row>
    <row r="498" spans="3:5">
      <c r="C498" s="169" t="s">
        <v>146</v>
      </c>
      <c r="D498" s="169" t="s">
        <v>146</v>
      </c>
      <c r="E498" s="169" t="str">
        <f t="shared" si="20"/>
        <v/>
      </c>
    </row>
    <row r="499" spans="3:5">
      <c r="C499" s="169" t="s">
        <v>146</v>
      </c>
      <c r="D499" s="169" t="s">
        <v>146</v>
      </c>
      <c r="E499" s="169" t="str">
        <f t="shared" si="20"/>
        <v/>
      </c>
    </row>
    <row r="500" spans="3:5">
      <c r="C500" s="169" t="s">
        <v>146</v>
      </c>
      <c r="D500" s="169" t="s">
        <v>146</v>
      </c>
      <c r="E500" s="169" t="str">
        <f t="shared" si="20"/>
        <v/>
      </c>
    </row>
    <row r="501" spans="3:5">
      <c r="C501" s="169" t="s">
        <v>146</v>
      </c>
      <c r="D501" s="169" t="s">
        <v>146</v>
      </c>
      <c r="E501" s="169" t="str">
        <f t="shared" si="20"/>
        <v/>
      </c>
    </row>
    <row r="502" spans="3:5">
      <c r="C502" s="169" t="s">
        <v>146</v>
      </c>
      <c r="D502" s="169" t="s">
        <v>146</v>
      </c>
      <c r="E502" s="169" t="str">
        <f t="shared" si="20"/>
        <v/>
      </c>
    </row>
    <row r="503" spans="3:5">
      <c r="C503" s="169" t="s">
        <v>146</v>
      </c>
      <c r="D503" s="169" t="s">
        <v>146</v>
      </c>
      <c r="E503" s="169" t="str">
        <f t="shared" si="20"/>
        <v/>
      </c>
    </row>
    <row r="504" spans="3:5">
      <c r="C504" s="169" t="s">
        <v>146</v>
      </c>
      <c r="D504" s="169" t="s">
        <v>146</v>
      </c>
      <c r="E504" s="169" t="str">
        <f t="shared" si="20"/>
        <v/>
      </c>
    </row>
    <row r="505" spans="3:5">
      <c r="C505" s="169" t="s">
        <v>146</v>
      </c>
      <c r="D505" s="169" t="s">
        <v>146</v>
      </c>
      <c r="E505" s="169" t="str">
        <f t="shared" si="20"/>
        <v/>
      </c>
    </row>
    <row r="506" spans="3:5">
      <c r="C506" s="169" t="s">
        <v>146</v>
      </c>
      <c r="D506" s="169" t="s">
        <v>146</v>
      </c>
      <c r="E506" s="169" t="str">
        <f t="shared" si="20"/>
        <v/>
      </c>
    </row>
    <row r="507" spans="3:5">
      <c r="C507" s="169" t="s">
        <v>146</v>
      </c>
      <c r="D507" s="169" t="s">
        <v>146</v>
      </c>
      <c r="E507" s="169" t="str">
        <f t="shared" si="20"/>
        <v/>
      </c>
    </row>
    <row r="508" spans="3:5">
      <c r="C508" s="169" t="s">
        <v>146</v>
      </c>
      <c r="D508" s="169" t="s">
        <v>146</v>
      </c>
      <c r="E508" s="169" t="str">
        <f t="shared" si="20"/>
        <v/>
      </c>
    </row>
    <row r="509" spans="3:5">
      <c r="C509" s="169" t="s">
        <v>146</v>
      </c>
      <c r="D509" s="169" t="s">
        <v>146</v>
      </c>
      <c r="E509" s="169" t="str">
        <f t="shared" si="20"/>
        <v/>
      </c>
    </row>
    <row r="510" spans="3:5">
      <c r="C510" s="169" t="s">
        <v>146</v>
      </c>
      <c r="D510" s="169" t="s">
        <v>146</v>
      </c>
      <c r="E510" s="169" t="str">
        <f t="shared" si="20"/>
        <v/>
      </c>
    </row>
    <row r="511" spans="3:5">
      <c r="C511" s="169" t="s">
        <v>146</v>
      </c>
      <c r="D511" s="169" t="s">
        <v>146</v>
      </c>
      <c r="E511" s="169" t="str">
        <f t="shared" si="20"/>
        <v/>
      </c>
    </row>
    <row r="512" spans="3:5">
      <c r="C512" s="169" t="s">
        <v>146</v>
      </c>
      <c r="D512" s="169" t="s">
        <v>146</v>
      </c>
      <c r="E512" s="169" t="str">
        <f t="shared" si="20"/>
        <v/>
      </c>
    </row>
    <row r="513" spans="3:5">
      <c r="C513" s="169" t="s">
        <v>146</v>
      </c>
      <c r="D513" s="169" t="s">
        <v>146</v>
      </c>
      <c r="E513" s="169" t="str">
        <f t="shared" si="20"/>
        <v/>
      </c>
    </row>
    <row r="514" spans="3:5">
      <c r="C514" s="169" t="s">
        <v>146</v>
      </c>
      <c r="D514" s="169" t="s">
        <v>146</v>
      </c>
      <c r="E514" s="169" t="str">
        <f t="shared" si="20"/>
        <v/>
      </c>
    </row>
    <row r="515" spans="3:5">
      <c r="C515" s="169" t="s">
        <v>146</v>
      </c>
      <c r="D515" s="169" t="s">
        <v>146</v>
      </c>
      <c r="E515" s="169" t="str">
        <f t="shared" si="20"/>
        <v/>
      </c>
    </row>
    <row r="516" spans="3:5">
      <c r="C516" s="169" t="s">
        <v>146</v>
      </c>
      <c r="D516" s="169" t="s">
        <v>146</v>
      </c>
      <c r="E516" s="169" t="str">
        <f t="shared" ref="E516:E579" si="21">IF(C516&lt;D516,C516,D516)</f>
        <v/>
      </c>
    </row>
    <row r="517" spans="3:5">
      <c r="C517" s="169" t="s">
        <v>146</v>
      </c>
      <c r="D517" s="169" t="s">
        <v>146</v>
      </c>
      <c r="E517" s="169" t="str">
        <f t="shared" si="21"/>
        <v/>
      </c>
    </row>
    <row r="518" spans="3:5">
      <c r="C518" s="169" t="s">
        <v>146</v>
      </c>
      <c r="D518" s="169" t="s">
        <v>146</v>
      </c>
      <c r="E518" s="169" t="str">
        <f t="shared" si="21"/>
        <v/>
      </c>
    </row>
    <row r="519" spans="3:5">
      <c r="C519" s="169" t="s">
        <v>146</v>
      </c>
      <c r="D519" s="169" t="s">
        <v>146</v>
      </c>
      <c r="E519" s="169" t="str">
        <f t="shared" si="21"/>
        <v/>
      </c>
    </row>
    <row r="520" spans="3:5">
      <c r="C520" s="169" t="s">
        <v>146</v>
      </c>
      <c r="D520" s="169" t="s">
        <v>146</v>
      </c>
      <c r="E520" s="169" t="str">
        <f t="shared" si="21"/>
        <v/>
      </c>
    </row>
    <row r="521" spans="3:5">
      <c r="C521" s="169" t="s">
        <v>146</v>
      </c>
      <c r="D521" s="169" t="s">
        <v>146</v>
      </c>
      <c r="E521" s="169" t="str">
        <f t="shared" si="21"/>
        <v/>
      </c>
    </row>
    <row r="522" spans="3:5">
      <c r="C522" s="169" t="s">
        <v>146</v>
      </c>
      <c r="D522" s="169" t="s">
        <v>146</v>
      </c>
      <c r="E522" s="169" t="str">
        <f t="shared" si="21"/>
        <v/>
      </c>
    </row>
    <row r="523" spans="3:5">
      <c r="C523" s="169" t="s">
        <v>146</v>
      </c>
      <c r="D523" s="169" t="s">
        <v>146</v>
      </c>
      <c r="E523" s="169" t="str">
        <f t="shared" si="21"/>
        <v/>
      </c>
    </row>
    <row r="524" spans="3:5">
      <c r="C524" s="169" t="s">
        <v>146</v>
      </c>
      <c r="D524" s="169" t="s">
        <v>146</v>
      </c>
      <c r="E524" s="169" t="str">
        <f t="shared" si="21"/>
        <v/>
      </c>
    </row>
    <row r="525" spans="3:5">
      <c r="C525" s="169" t="s">
        <v>146</v>
      </c>
      <c r="D525" s="169" t="s">
        <v>146</v>
      </c>
      <c r="E525" s="169" t="str">
        <f t="shared" si="21"/>
        <v/>
      </c>
    </row>
    <row r="526" spans="3:5">
      <c r="C526" s="169" t="s">
        <v>146</v>
      </c>
      <c r="D526" s="169" t="s">
        <v>146</v>
      </c>
      <c r="E526" s="169" t="str">
        <f t="shared" si="21"/>
        <v/>
      </c>
    </row>
    <row r="527" spans="3:5">
      <c r="C527" s="169" t="s">
        <v>146</v>
      </c>
      <c r="D527" s="169" t="s">
        <v>146</v>
      </c>
      <c r="E527" s="169" t="str">
        <f t="shared" si="21"/>
        <v/>
      </c>
    </row>
    <row r="528" spans="3:5">
      <c r="C528" s="169" t="s">
        <v>146</v>
      </c>
      <c r="D528" s="169" t="s">
        <v>146</v>
      </c>
      <c r="E528" s="169" t="str">
        <f t="shared" si="21"/>
        <v/>
      </c>
    </row>
    <row r="529" spans="3:5">
      <c r="C529" s="169" t="s">
        <v>146</v>
      </c>
      <c r="D529" s="169" t="s">
        <v>146</v>
      </c>
      <c r="E529" s="169" t="str">
        <f t="shared" si="21"/>
        <v/>
      </c>
    </row>
    <row r="530" spans="3:5">
      <c r="C530" s="169" t="s">
        <v>146</v>
      </c>
      <c r="D530" s="169" t="s">
        <v>146</v>
      </c>
      <c r="E530" s="169" t="str">
        <f t="shared" si="21"/>
        <v/>
      </c>
    </row>
    <row r="531" spans="3:5">
      <c r="C531" s="169" t="s">
        <v>146</v>
      </c>
      <c r="D531" s="169" t="s">
        <v>146</v>
      </c>
      <c r="E531" s="169" t="str">
        <f t="shared" si="21"/>
        <v/>
      </c>
    </row>
    <row r="532" spans="3:5">
      <c r="C532" s="169" t="s">
        <v>146</v>
      </c>
      <c r="D532" s="169" t="s">
        <v>146</v>
      </c>
      <c r="E532" s="169" t="str">
        <f t="shared" si="21"/>
        <v/>
      </c>
    </row>
    <row r="533" spans="3:5">
      <c r="C533" s="169" t="s">
        <v>146</v>
      </c>
      <c r="D533" s="169" t="s">
        <v>146</v>
      </c>
      <c r="E533" s="169" t="str">
        <f t="shared" si="21"/>
        <v/>
      </c>
    </row>
    <row r="534" spans="3:5">
      <c r="C534" s="169" t="s">
        <v>146</v>
      </c>
      <c r="D534" s="169" t="s">
        <v>146</v>
      </c>
      <c r="E534" s="169" t="str">
        <f t="shared" si="21"/>
        <v/>
      </c>
    </row>
    <row r="535" spans="3:5">
      <c r="C535" s="169" t="s">
        <v>146</v>
      </c>
      <c r="D535" s="169" t="s">
        <v>146</v>
      </c>
      <c r="E535" s="169" t="str">
        <f t="shared" si="21"/>
        <v/>
      </c>
    </row>
    <row r="536" spans="3:5">
      <c r="C536" s="169" t="s">
        <v>146</v>
      </c>
      <c r="D536" s="169" t="s">
        <v>146</v>
      </c>
      <c r="E536" s="169" t="str">
        <f t="shared" si="21"/>
        <v/>
      </c>
    </row>
    <row r="537" spans="3:5">
      <c r="C537" s="169" t="s">
        <v>146</v>
      </c>
      <c r="D537" s="169" t="s">
        <v>146</v>
      </c>
      <c r="E537" s="169" t="str">
        <f t="shared" si="21"/>
        <v/>
      </c>
    </row>
    <row r="538" spans="3:5">
      <c r="C538" s="169" t="s">
        <v>146</v>
      </c>
      <c r="D538" s="169" t="s">
        <v>146</v>
      </c>
      <c r="E538" s="169" t="str">
        <f t="shared" si="21"/>
        <v/>
      </c>
    </row>
    <row r="539" spans="3:5">
      <c r="C539" s="169" t="s">
        <v>146</v>
      </c>
      <c r="D539" s="169" t="s">
        <v>146</v>
      </c>
      <c r="E539" s="169" t="str">
        <f t="shared" si="21"/>
        <v/>
      </c>
    </row>
    <row r="540" spans="3:5">
      <c r="C540" s="169" t="s">
        <v>146</v>
      </c>
      <c r="D540" s="169" t="s">
        <v>146</v>
      </c>
      <c r="E540" s="169" t="str">
        <f t="shared" si="21"/>
        <v/>
      </c>
    </row>
    <row r="541" spans="3:5">
      <c r="C541" s="169" t="s">
        <v>146</v>
      </c>
      <c r="D541" s="169" t="s">
        <v>146</v>
      </c>
      <c r="E541" s="169" t="str">
        <f t="shared" si="21"/>
        <v/>
      </c>
    </row>
    <row r="542" spans="3:5">
      <c r="C542" s="169" t="s">
        <v>146</v>
      </c>
      <c r="D542" s="169" t="s">
        <v>146</v>
      </c>
      <c r="E542" s="169" t="str">
        <f t="shared" si="21"/>
        <v/>
      </c>
    </row>
    <row r="543" spans="3:5">
      <c r="C543" s="169" t="s">
        <v>146</v>
      </c>
      <c r="D543" s="169" t="s">
        <v>146</v>
      </c>
      <c r="E543" s="169" t="str">
        <f t="shared" si="21"/>
        <v/>
      </c>
    </row>
    <row r="544" spans="3:5">
      <c r="C544" s="169" t="s">
        <v>146</v>
      </c>
      <c r="D544" s="169" t="s">
        <v>146</v>
      </c>
      <c r="E544" s="169" t="str">
        <f t="shared" si="21"/>
        <v/>
      </c>
    </row>
    <row r="545" spans="3:5">
      <c r="C545" s="169" t="s">
        <v>146</v>
      </c>
      <c r="D545" s="169" t="s">
        <v>146</v>
      </c>
      <c r="E545" s="169" t="str">
        <f t="shared" si="21"/>
        <v/>
      </c>
    </row>
    <row r="546" spans="3:5">
      <c r="C546" s="169" t="s">
        <v>146</v>
      </c>
      <c r="D546" s="169" t="s">
        <v>146</v>
      </c>
      <c r="E546" s="169" t="str">
        <f t="shared" si="21"/>
        <v/>
      </c>
    </row>
    <row r="547" spans="3:5">
      <c r="C547" s="169" t="s">
        <v>146</v>
      </c>
      <c r="D547" s="169" t="s">
        <v>146</v>
      </c>
      <c r="E547" s="169" t="str">
        <f t="shared" si="21"/>
        <v/>
      </c>
    </row>
    <row r="548" spans="3:5">
      <c r="C548" s="169" t="s">
        <v>146</v>
      </c>
      <c r="D548" s="169" t="s">
        <v>146</v>
      </c>
      <c r="E548" s="169" t="str">
        <f t="shared" si="21"/>
        <v/>
      </c>
    </row>
    <row r="549" spans="3:5">
      <c r="C549" s="169" t="s">
        <v>146</v>
      </c>
      <c r="D549" s="169" t="s">
        <v>146</v>
      </c>
      <c r="E549" s="169" t="str">
        <f t="shared" si="21"/>
        <v/>
      </c>
    </row>
    <row r="550" spans="3:5">
      <c r="C550" s="169" t="s">
        <v>146</v>
      </c>
      <c r="D550" s="169" t="s">
        <v>146</v>
      </c>
      <c r="E550" s="169" t="str">
        <f t="shared" si="21"/>
        <v/>
      </c>
    </row>
    <row r="551" spans="3:5">
      <c r="C551" s="169" t="s">
        <v>146</v>
      </c>
      <c r="D551" s="169" t="s">
        <v>146</v>
      </c>
      <c r="E551" s="169" t="str">
        <f t="shared" si="21"/>
        <v/>
      </c>
    </row>
    <row r="552" spans="3:5">
      <c r="C552" s="169" t="s">
        <v>146</v>
      </c>
      <c r="D552" s="169" t="s">
        <v>146</v>
      </c>
      <c r="E552" s="169" t="str">
        <f t="shared" si="21"/>
        <v/>
      </c>
    </row>
    <row r="553" spans="3:5">
      <c r="C553" s="169" t="s">
        <v>146</v>
      </c>
      <c r="D553" s="169" t="s">
        <v>146</v>
      </c>
      <c r="E553" s="169" t="str">
        <f t="shared" si="21"/>
        <v/>
      </c>
    </row>
    <row r="554" spans="3:5">
      <c r="C554" s="169" t="s">
        <v>146</v>
      </c>
      <c r="D554" s="169" t="s">
        <v>146</v>
      </c>
      <c r="E554" s="169" t="str">
        <f t="shared" si="21"/>
        <v/>
      </c>
    </row>
    <row r="555" spans="3:5">
      <c r="C555" s="169" t="s">
        <v>146</v>
      </c>
      <c r="D555" s="169" t="s">
        <v>146</v>
      </c>
      <c r="E555" s="169" t="str">
        <f t="shared" si="21"/>
        <v/>
      </c>
    </row>
    <row r="556" spans="3:5">
      <c r="C556" s="169" t="s">
        <v>146</v>
      </c>
      <c r="D556" s="169" t="s">
        <v>146</v>
      </c>
      <c r="E556" s="169" t="str">
        <f t="shared" si="21"/>
        <v/>
      </c>
    </row>
    <row r="557" spans="3:5">
      <c r="C557" s="169" t="s">
        <v>146</v>
      </c>
      <c r="D557" s="169" t="s">
        <v>146</v>
      </c>
      <c r="E557" s="169" t="str">
        <f t="shared" si="21"/>
        <v/>
      </c>
    </row>
    <row r="558" spans="3:5">
      <c r="C558" s="169" t="s">
        <v>146</v>
      </c>
      <c r="D558" s="169" t="s">
        <v>146</v>
      </c>
      <c r="E558" s="169" t="str">
        <f t="shared" si="21"/>
        <v/>
      </c>
    </row>
    <row r="559" spans="3:5">
      <c r="C559" s="169" t="s">
        <v>146</v>
      </c>
      <c r="D559" s="169" t="s">
        <v>146</v>
      </c>
      <c r="E559" s="169" t="str">
        <f t="shared" si="21"/>
        <v/>
      </c>
    </row>
    <row r="560" spans="3:5">
      <c r="C560" s="169" t="s">
        <v>146</v>
      </c>
      <c r="D560" s="169" t="s">
        <v>146</v>
      </c>
      <c r="E560" s="169" t="str">
        <f t="shared" si="21"/>
        <v/>
      </c>
    </row>
    <row r="561" spans="3:5">
      <c r="C561" s="169" t="s">
        <v>146</v>
      </c>
      <c r="D561" s="169" t="s">
        <v>146</v>
      </c>
      <c r="E561" s="169" t="str">
        <f t="shared" si="21"/>
        <v/>
      </c>
    </row>
    <row r="562" spans="3:5">
      <c r="C562" s="169" t="s">
        <v>146</v>
      </c>
      <c r="D562" s="169" t="s">
        <v>146</v>
      </c>
      <c r="E562" s="169" t="str">
        <f t="shared" si="21"/>
        <v/>
      </c>
    </row>
    <row r="563" spans="3:5">
      <c r="C563" s="169" t="s">
        <v>146</v>
      </c>
      <c r="D563" s="169" t="s">
        <v>146</v>
      </c>
      <c r="E563" s="169" t="str">
        <f t="shared" si="21"/>
        <v/>
      </c>
    </row>
    <row r="564" spans="3:5">
      <c r="C564" s="169" t="s">
        <v>146</v>
      </c>
      <c r="D564" s="169" t="s">
        <v>146</v>
      </c>
      <c r="E564" s="169" t="str">
        <f t="shared" si="21"/>
        <v/>
      </c>
    </row>
    <row r="565" spans="3:5">
      <c r="C565" s="169" t="s">
        <v>146</v>
      </c>
      <c r="D565" s="169" t="s">
        <v>146</v>
      </c>
      <c r="E565" s="169" t="str">
        <f t="shared" si="21"/>
        <v/>
      </c>
    </row>
    <row r="566" spans="3:5">
      <c r="C566" s="169" t="s">
        <v>146</v>
      </c>
      <c r="D566" s="169" t="s">
        <v>146</v>
      </c>
      <c r="E566" s="169" t="str">
        <f t="shared" si="21"/>
        <v/>
      </c>
    </row>
    <row r="567" spans="3:5">
      <c r="C567" s="169" t="s">
        <v>146</v>
      </c>
      <c r="D567" s="169" t="s">
        <v>146</v>
      </c>
      <c r="E567" s="169" t="str">
        <f t="shared" si="21"/>
        <v/>
      </c>
    </row>
    <row r="568" spans="3:5">
      <c r="C568" s="169" t="s">
        <v>146</v>
      </c>
      <c r="D568" s="169" t="s">
        <v>146</v>
      </c>
      <c r="E568" s="169" t="str">
        <f t="shared" si="21"/>
        <v/>
      </c>
    </row>
    <row r="569" spans="3:5">
      <c r="C569" s="169" t="s">
        <v>146</v>
      </c>
      <c r="D569" s="169" t="s">
        <v>146</v>
      </c>
      <c r="E569" s="169" t="str">
        <f t="shared" si="21"/>
        <v/>
      </c>
    </row>
    <row r="570" spans="3:5">
      <c r="C570" s="169" t="s">
        <v>146</v>
      </c>
      <c r="D570" s="169" t="s">
        <v>146</v>
      </c>
      <c r="E570" s="169" t="str">
        <f t="shared" si="21"/>
        <v/>
      </c>
    </row>
    <row r="571" spans="3:5">
      <c r="C571" s="169" t="s">
        <v>146</v>
      </c>
      <c r="D571" s="169" t="s">
        <v>146</v>
      </c>
      <c r="E571" s="169" t="str">
        <f t="shared" si="21"/>
        <v/>
      </c>
    </row>
    <row r="572" spans="3:5">
      <c r="C572" s="169" t="s">
        <v>146</v>
      </c>
      <c r="D572" s="169" t="s">
        <v>146</v>
      </c>
      <c r="E572" s="169" t="str">
        <f t="shared" si="21"/>
        <v/>
      </c>
    </row>
    <row r="573" spans="3:5">
      <c r="C573" s="169" t="s">
        <v>146</v>
      </c>
      <c r="D573" s="169" t="s">
        <v>146</v>
      </c>
      <c r="E573" s="169" t="str">
        <f t="shared" si="21"/>
        <v/>
      </c>
    </row>
    <row r="574" spans="3:5">
      <c r="C574" s="169" t="s">
        <v>146</v>
      </c>
      <c r="D574" s="169" t="s">
        <v>146</v>
      </c>
      <c r="E574" s="169" t="str">
        <f t="shared" si="21"/>
        <v/>
      </c>
    </row>
    <row r="575" spans="3:5">
      <c r="C575" s="169" t="s">
        <v>146</v>
      </c>
      <c r="D575" s="169" t="s">
        <v>146</v>
      </c>
      <c r="E575" s="169" t="str">
        <f t="shared" si="21"/>
        <v/>
      </c>
    </row>
    <row r="576" spans="3:5">
      <c r="C576" s="169" t="s">
        <v>146</v>
      </c>
      <c r="D576" s="169" t="s">
        <v>146</v>
      </c>
      <c r="E576" s="169" t="str">
        <f t="shared" si="21"/>
        <v/>
      </c>
    </row>
    <row r="577" spans="3:5">
      <c r="C577" s="169" t="s">
        <v>146</v>
      </c>
      <c r="D577" s="169" t="s">
        <v>146</v>
      </c>
      <c r="E577" s="169" t="str">
        <f t="shared" si="21"/>
        <v/>
      </c>
    </row>
    <row r="578" spans="3:5">
      <c r="C578" s="169" t="s">
        <v>146</v>
      </c>
      <c r="D578" s="169" t="s">
        <v>146</v>
      </c>
      <c r="E578" s="169" t="str">
        <f t="shared" si="21"/>
        <v/>
      </c>
    </row>
    <row r="579" spans="3:5">
      <c r="C579" s="169" t="s">
        <v>146</v>
      </c>
      <c r="D579" s="169" t="s">
        <v>146</v>
      </c>
      <c r="E579" s="169" t="str">
        <f t="shared" si="21"/>
        <v/>
      </c>
    </row>
    <row r="580" spans="3:5">
      <c r="C580" s="169" t="s">
        <v>146</v>
      </c>
      <c r="D580" s="169" t="s">
        <v>146</v>
      </c>
      <c r="E580" s="169" t="str">
        <f t="shared" ref="E580:E643" si="22">IF(C580&lt;D580,C580,D580)</f>
        <v/>
      </c>
    </row>
    <row r="581" spans="3:5">
      <c r="C581" s="169" t="s">
        <v>146</v>
      </c>
      <c r="D581" s="169" t="s">
        <v>146</v>
      </c>
      <c r="E581" s="169" t="str">
        <f t="shared" si="22"/>
        <v/>
      </c>
    </row>
    <row r="582" spans="3:5">
      <c r="C582" s="169" t="s">
        <v>146</v>
      </c>
      <c r="D582" s="169" t="s">
        <v>146</v>
      </c>
      <c r="E582" s="169" t="str">
        <f t="shared" si="22"/>
        <v/>
      </c>
    </row>
    <row r="583" spans="3:5">
      <c r="C583" s="169" t="s">
        <v>146</v>
      </c>
      <c r="D583" s="169" t="s">
        <v>146</v>
      </c>
      <c r="E583" s="169" t="str">
        <f t="shared" si="22"/>
        <v/>
      </c>
    </row>
    <row r="584" spans="3:5">
      <c r="C584" s="169" t="s">
        <v>146</v>
      </c>
      <c r="D584" s="169" t="s">
        <v>146</v>
      </c>
      <c r="E584" s="169" t="str">
        <f t="shared" si="22"/>
        <v/>
      </c>
    </row>
    <row r="585" spans="3:5">
      <c r="C585" s="169" t="s">
        <v>146</v>
      </c>
      <c r="D585" s="169" t="s">
        <v>146</v>
      </c>
      <c r="E585" s="169" t="str">
        <f t="shared" si="22"/>
        <v/>
      </c>
    </row>
    <row r="586" spans="3:5">
      <c r="C586" s="169" t="s">
        <v>146</v>
      </c>
      <c r="D586" s="169" t="s">
        <v>146</v>
      </c>
      <c r="E586" s="169" t="str">
        <f t="shared" si="22"/>
        <v/>
      </c>
    </row>
    <row r="587" spans="3:5">
      <c r="C587" s="169" t="s">
        <v>146</v>
      </c>
      <c r="D587" s="169" t="s">
        <v>146</v>
      </c>
      <c r="E587" s="169" t="str">
        <f t="shared" si="22"/>
        <v/>
      </c>
    </row>
    <row r="588" spans="3:5">
      <c r="C588" s="169" t="s">
        <v>146</v>
      </c>
      <c r="D588" s="169" t="s">
        <v>146</v>
      </c>
      <c r="E588" s="169" t="str">
        <f t="shared" si="22"/>
        <v/>
      </c>
    </row>
    <row r="589" spans="3:5">
      <c r="C589" s="169" t="s">
        <v>146</v>
      </c>
      <c r="D589" s="169" t="s">
        <v>146</v>
      </c>
      <c r="E589" s="169" t="str">
        <f t="shared" si="22"/>
        <v/>
      </c>
    </row>
    <row r="590" spans="3:5">
      <c r="C590" s="169" t="s">
        <v>146</v>
      </c>
      <c r="D590" s="169" t="s">
        <v>146</v>
      </c>
      <c r="E590" s="169" t="str">
        <f t="shared" si="22"/>
        <v/>
      </c>
    </row>
    <row r="591" spans="3:5">
      <c r="C591" s="169" t="s">
        <v>146</v>
      </c>
      <c r="D591" s="169" t="s">
        <v>146</v>
      </c>
      <c r="E591" s="169" t="str">
        <f t="shared" si="22"/>
        <v/>
      </c>
    </row>
    <row r="592" spans="3:5">
      <c r="C592" s="169" t="s">
        <v>146</v>
      </c>
      <c r="D592" s="169" t="s">
        <v>146</v>
      </c>
      <c r="E592" s="169" t="str">
        <f t="shared" si="22"/>
        <v/>
      </c>
    </row>
    <row r="593" spans="3:5">
      <c r="C593" s="169" t="s">
        <v>146</v>
      </c>
      <c r="D593" s="169" t="s">
        <v>146</v>
      </c>
      <c r="E593" s="169" t="str">
        <f t="shared" si="22"/>
        <v/>
      </c>
    </row>
    <row r="594" spans="3:5">
      <c r="C594" s="169" t="s">
        <v>146</v>
      </c>
      <c r="D594" s="169" t="s">
        <v>146</v>
      </c>
      <c r="E594" s="169" t="str">
        <f t="shared" si="22"/>
        <v/>
      </c>
    </row>
    <row r="595" spans="3:5">
      <c r="C595" s="169" t="s">
        <v>146</v>
      </c>
      <c r="D595" s="169" t="s">
        <v>146</v>
      </c>
      <c r="E595" s="169" t="str">
        <f t="shared" si="22"/>
        <v/>
      </c>
    </row>
    <row r="596" spans="3:5">
      <c r="C596" s="169" t="s">
        <v>146</v>
      </c>
      <c r="D596" s="169" t="s">
        <v>146</v>
      </c>
      <c r="E596" s="169" t="str">
        <f t="shared" si="22"/>
        <v/>
      </c>
    </row>
    <row r="597" spans="3:5">
      <c r="C597" s="169" t="s">
        <v>146</v>
      </c>
      <c r="D597" s="169" t="s">
        <v>146</v>
      </c>
      <c r="E597" s="169" t="str">
        <f t="shared" si="22"/>
        <v/>
      </c>
    </row>
    <row r="598" spans="3:5">
      <c r="C598" s="169" t="s">
        <v>146</v>
      </c>
      <c r="D598" s="169" t="s">
        <v>146</v>
      </c>
      <c r="E598" s="169" t="str">
        <f t="shared" si="22"/>
        <v/>
      </c>
    </row>
    <row r="599" spans="3:5">
      <c r="C599" s="169" t="s">
        <v>146</v>
      </c>
      <c r="D599" s="169" t="s">
        <v>146</v>
      </c>
      <c r="E599" s="169" t="str">
        <f t="shared" si="22"/>
        <v/>
      </c>
    </row>
    <row r="600" spans="3:5">
      <c r="C600" s="169" t="s">
        <v>146</v>
      </c>
      <c r="D600" s="169" t="s">
        <v>146</v>
      </c>
      <c r="E600" s="169" t="str">
        <f t="shared" si="22"/>
        <v/>
      </c>
    </row>
    <row r="601" spans="3:5">
      <c r="C601" s="169" t="s">
        <v>146</v>
      </c>
      <c r="D601" s="169" t="s">
        <v>146</v>
      </c>
      <c r="E601" s="169" t="str">
        <f t="shared" si="22"/>
        <v/>
      </c>
    </row>
    <row r="602" spans="3:5">
      <c r="C602" s="169" t="s">
        <v>146</v>
      </c>
      <c r="D602" s="169" t="s">
        <v>146</v>
      </c>
      <c r="E602" s="169" t="str">
        <f t="shared" si="22"/>
        <v/>
      </c>
    </row>
    <row r="603" spans="3:5">
      <c r="C603" s="169" t="s">
        <v>146</v>
      </c>
      <c r="D603" s="169" t="s">
        <v>146</v>
      </c>
      <c r="E603" s="169" t="str">
        <f t="shared" si="22"/>
        <v/>
      </c>
    </row>
    <row r="604" spans="3:5">
      <c r="C604" s="169" t="s">
        <v>146</v>
      </c>
      <c r="D604" s="169" t="s">
        <v>146</v>
      </c>
      <c r="E604" s="169" t="str">
        <f t="shared" si="22"/>
        <v/>
      </c>
    </row>
    <row r="605" spans="3:5">
      <c r="C605" s="169" t="s">
        <v>146</v>
      </c>
      <c r="D605" s="169" t="s">
        <v>146</v>
      </c>
      <c r="E605" s="169" t="str">
        <f t="shared" si="22"/>
        <v/>
      </c>
    </row>
    <row r="606" spans="3:5">
      <c r="C606" s="169" t="s">
        <v>146</v>
      </c>
      <c r="D606" s="169" t="s">
        <v>146</v>
      </c>
      <c r="E606" s="169" t="str">
        <f t="shared" si="22"/>
        <v/>
      </c>
    </row>
    <row r="607" spans="3:5">
      <c r="C607" s="169" t="s">
        <v>146</v>
      </c>
      <c r="D607" s="169" t="s">
        <v>146</v>
      </c>
      <c r="E607" s="169" t="str">
        <f t="shared" si="22"/>
        <v/>
      </c>
    </row>
    <row r="608" spans="3:5">
      <c r="C608" s="169" t="s">
        <v>146</v>
      </c>
      <c r="D608" s="169" t="s">
        <v>146</v>
      </c>
      <c r="E608" s="169" t="str">
        <f t="shared" si="22"/>
        <v/>
      </c>
    </row>
    <row r="609" spans="3:5">
      <c r="C609" s="169" t="s">
        <v>146</v>
      </c>
      <c r="D609" s="169" t="s">
        <v>146</v>
      </c>
      <c r="E609" s="169" t="str">
        <f t="shared" si="22"/>
        <v/>
      </c>
    </row>
    <row r="610" spans="3:5">
      <c r="C610" s="169" t="s">
        <v>146</v>
      </c>
      <c r="D610" s="169" t="s">
        <v>146</v>
      </c>
      <c r="E610" s="169" t="str">
        <f t="shared" si="22"/>
        <v/>
      </c>
    </row>
    <row r="611" spans="3:5">
      <c r="C611" s="169" t="s">
        <v>146</v>
      </c>
      <c r="D611" s="169" t="s">
        <v>146</v>
      </c>
      <c r="E611" s="169" t="str">
        <f t="shared" si="22"/>
        <v/>
      </c>
    </row>
    <row r="612" spans="3:5">
      <c r="C612" s="169" t="s">
        <v>146</v>
      </c>
      <c r="D612" s="169" t="s">
        <v>146</v>
      </c>
      <c r="E612" s="169" t="str">
        <f t="shared" si="22"/>
        <v/>
      </c>
    </row>
    <row r="613" spans="3:5">
      <c r="C613" s="169" t="s">
        <v>146</v>
      </c>
      <c r="D613" s="169" t="s">
        <v>146</v>
      </c>
      <c r="E613" s="169" t="str">
        <f t="shared" si="22"/>
        <v/>
      </c>
    </row>
    <row r="614" spans="3:5">
      <c r="C614" s="169" t="s">
        <v>146</v>
      </c>
      <c r="D614" s="169" t="s">
        <v>146</v>
      </c>
      <c r="E614" s="169" t="str">
        <f t="shared" si="22"/>
        <v/>
      </c>
    </row>
    <row r="615" spans="3:5">
      <c r="C615" s="169" t="s">
        <v>146</v>
      </c>
      <c r="D615" s="169" t="s">
        <v>146</v>
      </c>
      <c r="E615" s="169" t="str">
        <f t="shared" si="22"/>
        <v/>
      </c>
    </row>
    <row r="616" spans="3:5">
      <c r="C616" s="169" t="s">
        <v>146</v>
      </c>
      <c r="D616" s="169" t="s">
        <v>146</v>
      </c>
      <c r="E616" s="169" t="str">
        <f t="shared" si="22"/>
        <v/>
      </c>
    </row>
    <row r="617" spans="3:5">
      <c r="C617" s="169" t="s">
        <v>146</v>
      </c>
      <c r="D617" s="169" t="s">
        <v>146</v>
      </c>
      <c r="E617" s="169" t="str">
        <f t="shared" si="22"/>
        <v/>
      </c>
    </row>
    <row r="618" spans="3:5">
      <c r="C618" s="169" t="s">
        <v>146</v>
      </c>
      <c r="D618" s="169" t="s">
        <v>146</v>
      </c>
      <c r="E618" s="169" t="str">
        <f t="shared" si="22"/>
        <v/>
      </c>
    </row>
    <row r="619" spans="3:5">
      <c r="C619" s="169" t="s">
        <v>146</v>
      </c>
      <c r="D619" s="169" t="s">
        <v>146</v>
      </c>
      <c r="E619" s="169" t="str">
        <f t="shared" si="22"/>
        <v/>
      </c>
    </row>
    <row r="620" spans="3:5">
      <c r="C620" s="169" t="s">
        <v>146</v>
      </c>
      <c r="D620" s="169" t="s">
        <v>146</v>
      </c>
      <c r="E620" s="169" t="str">
        <f t="shared" si="22"/>
        <v/>
      </c>
    </row>
    <row r="621" spans="3:5">
      <c r="C621" s="169" t="s">
        <v>146</v>
      </c>
      <c r="D621" s="169" t="s">
        <v>146</v>
      </c>
      <c r="E621" s="169" t="str">
        <f t="shared" si="22"/>
        <v/>
      </c>
    </row>
    <row r="622" spans="3:5">
      <c r="C622" s="169" t="s">
        <v>146</v>
      </c>
      <c r="D622" s="169" t="s">
        <v>146</v>
      </c>
      <c r="E622" s="169" t="str">
        <f t="shared" si="22"/>
        <v/>
      </c>
    </row>
    <row r="623" spans="3:5">
      <c r="C623" s="169" t="s">
        <v>146</v>
      </c>
      <c r="D623" s="169" t="s">
        <v>146</v>
      </c>
      <c r="E623" s="169" t="str">
        <f t="shared" si="22"/>
        <v/>
      </c>
    </row>
    <row r="624" spans="3:5">
      <c r="C624" s="169" t="s">
        <v>146</v>
      </c>
      <c r="D624" s="169" t="s">
        <v>146</v>
      </c>
      <c r="E624" s="169" t="str">
        <f t="shared" si="22"/>
        <v/>
      </c>
    </row>
    <row r="625" spans="3:5">
      <c r="C625" s="169" t="s">
        <v>146</v>
      </c>
      <c r="D625" s="169" t="s">
        <v>146</v>
      </c>
      <c r="E625" s="169" t="str">
        <f t="shared" si="22"/>
        <v/>
      </c>
    </row>
    <row r="626" spans="3:5">
      <c r="C626" s="169" t="s">
        <v>146</v>
      </c>
      <c r="D626" s="169" t="s">
        <v>146</v>
      </c>
      <c r="E626" s="169" t="str">
        <f t="shared" si="22"/>
        <v/>
      </c>
    </row>
    <row r="627" spans="3:5">
      <c r="C627" s="169" t="s">
        <v>146</v>
      </c>
      <c r="D627" s="169" t="s">
        <v>146</v>
      </c>
      <c r="E627" s="169" t="str">
        <f t="shared" si="22"/>
        <v/>
      </c>
    </row>
    <row r="628" spans="3:5">
      <c r="C628" s="169" t="s">
        <v>146</v>
      </c>
      <c r="D628" s="169" t="s">
        <v>146</v>
      </c>
      <c r="E628" s="169" t="str">
        <f t="shared" si="22"/>
        <v/>
      </c>
    </row>
    <row r="629" spans="3:5">
      <c r="C629" s="169" t="s">
        <v>146</v>
      </c>
      <c r="D629" s="169" t="s">
        <v>146</v>
      </c>
      <c r="E629" s="169" t="str">
        <f t="shared" si="22"/>
        <v/>
      </c>
    </row>
    <row r="630" spans="3:5">
      <c r="C630" s="169" t="s">
        <v>146</v>
      </c>
      <c r="D630" s="169" t="s">
        <v>146</v>
      </c>
      <c r="E630" s="169" t="str">
        <f t="shared" si="22"/>
        <v/>
      </c>
    </row>
    <row r="631" spans="3:5">
      <c r="C631" s="169" t="s">
        <v>146</v>
      </c>
      <c r="D631" s="169" t="s">
        <v>146</v>
      </c>
      <c r="E631" s="169" t="str">
        <f t="shared" si="22"/>
        <v/>
      </c>
    </row>
    <row r="632" spans="3:5">
      <c r="C632" s="169" t="s">
        <v>146</v>
      </c>
      <c r="D632" s="169" t="s">
        <v>146</v>
      </c>
      <c r="E632" s="169" t="str">
        <f t="shared" si="22"/>
        <v/>
      </c>
    </row>
    <row r="633" spans="3:5">
      <c r="C633" s="169" t="s">
        <v>146</v>
      </c>
      <c r="D633" s="169" t="s">
        <v>146</v>
      </c>
      <c r="E633" s="169" t="str">
        <f t="shared" si="22"/>
        <v/>
      </c>
    </row>
    <row r="634" spans="3:5">
      <c r="C634" s="169" t="s">
        <v>146</v>
      </c>
      <c r="D634" s="169" t="s">
        <v>146</v>
      </c>
      <c r="E634" s="169" t="str">
        <f t="shared" si="22"/>
        <v/>
      </c>
    </row>
    <row r="635" spans="3:5">
      <c r="C635" s="169" t="s">
        <v>146</v>
      </c>
      <c r="D635" s="169" t="s">
        <v>146</v>
      </c>
      <c r="E635" s="169" t="str">
        <f t="shared" si="22"/>
        <v/>
      </c>
    </row>
    <row r="636" spans="3:5">
      <c r="C636" s="169" t="s">
        <v>146</v>
      </c>
      <c r="D636" s="169" t="s">
        <v>146</v>
      </c>
      <c r="E636" s="169" t="str">
        <f t="shared" si="22"/>
        <v/>
      </c>
    </row>
    <row r="637" spans="3:5">
      <c r="C637" s="169" t="s">
        <v>146</v>
      </c>
      <c r="D637" s="169" t="s">
        <v>146</v>
      </c>
      <c r="E637" s="169" t="str">
        <f t="shared" si="22"/>
        <v/>
      </c>
    </row>
    <row r="638" spans="3:5">
      <c r="C638" s="169" t="s">
        <v>146</v>
      </c>
      <c r="D638" s="169" t="s">
        <v>146</v>
      </c>
      <c r="E638" s="169" t="str">
        <f t="shared" si="22"/>
        <v/>
      </c>
    </row>
    <row r="639" spans="3:5">
      <c r="C639" s="169" t="s">
        <v>146</v>
      </c>
      <c r="D639" s="169" t="s">
        <v>146</v>
      </c>
      <c r="E639" s="169" t="str">
        <f t="shared" si="22"/>
        <v/>
      </c>
    </row>
    <row r="640" spans="3:5">
      <c r="C640" s="169" t="s">
        <v>146</v>
      </c>
      <c r="D640" s="169" t="s">
        <v>146</v>
      </c>
      <c r="E640" s="169" t="str">
        <f t="shared" si="22"/>
        <v/>
      </c>
    </row>
    <row r="641" spans="3:5">
      <c r="C641" s="169" t="s">
        <v>146</v>
      </c>
      <c r="D641" s="169" t="s">
        <v>146</v>
      </c>
      <c r="E641" s="169" t="str">
        <f t="shared" si="22"/>
        <v/>
      </c>
    </row>
    <row r="642" spans="3:5">
      <c r="C642" s="169" t="s">
        <v>146</v>
      </c>
      <c r="D642" s="169" t="s">
        <v>146</v>
      </c>
      <c r="E642" s="169" t="str">
        <f t="shared" si="22"/>
        <v/>
      </c>
    </row>
    <row r="643" spans="3:5">
      <c r="C643" s="169" t="s">
        <v>146</v>
      </c>
      <c r="D643" s="169" t="s">
        <v>146</v>
      </c>
      <c r="E643" s="169" t="str">
        <f t="shared" si="22"/>
        <v/>
      </c>
    </row>
    <row r="644" spans="3:5">
      <c r="C644" s="169" t="s">
        <v>146</v>
      </c>
      <c r="D644" s="169" t="s">
        <v>146</v>
      </c>
      <c r="E644" s="169" t="str">
        <f t="shared" ref="E644:E707" si="23">IF(C644&lt;D644,C644,D644)</f>
        <v/>
      </c>
    </row>
    <row r="645" spans="3:5">
      <c r="C645" s="169" t="s">
        <v>146</v>
      </c>
      <c r="D645" s="169" t="s">
        <v>146</v>
      </c>
      <c r="E645" s="169" t="str">
        <f t="shared" si="23"/>
        <v/>
      </c>
    </row>
    <row r="646" spans="3:5">
      <c r="C646" s="169" t="s">
        <v>146</v>
      </c>
      <c r="D646" s="169" t="s">
        <v>146</v>
      </c>
      <c r="E646" s="169" t="str">
        <f t="shared" si="23"/>
        <v/>
      </c>
    </row>
    <row r="647" spans="3:5">
      <c r="C647" s="169" t="s">
        <v>146</v>
      </c>
      <c r="D647" s="169" t="s">
        <v>146</v>
      </c>
      <c r="E647" s="169" t="str">
        <f t="shared" si="23"/>
        <v/>
      </c>
    </row>
    <row r="648" spans="3:5">
      <c r="C648" s="169" t="s">
        <v>146</v>
      </c>
      <c r="D648" s="169" t="s">
        <v>146</v>
      </c>
      <c r="E648" s="169" t="str">
        <f t="shared" si="23"/>
        <v/>
      </c>
    </row>
    <row r="649" spans="3:5">
      <c r="C649" s="169" t="s">
        <v>146</v>
      </c>
      <c r="D649" s="169" t="s">
        <v>146</v>
      </c>
      <c r="E649" s="169" t="str">
        <f t="shared" si="23"/>
        <v/>
      </c>
    </row>
    <row r="650" spans="3:5">
      <c r="C650" s="169" t="s">
        <v>146</v>
      </c>
      <c r="D650" s="169" t="s">
        <v>146</v>
      </c>
      <c r="E650" s="169" t="str">
        <f t="shared" si="23"/>
        <v/>
      </c>
    </row>
    <row r="651" spans="3:5">
      <c r="C651" s="169" t="s">
        <v>146</v>
      </c>
      <c r="D651" s="169" t="s">
        <v>146</v>
      </c>
      <c r="E651" s="169" t="str">
        <f t="shared" si="23"/>
        <v/>
      </c>
    </row>
    <row r="652" spans="3:5">
      <c r="C652" s="169" t="s">
        <v>146</v>
      </c>
      <c r="D652" s="169" t="s">
        <v>146</v>
      </c>
      <c r="E652" s="169" t="str">
        <f t="shared" si="23"/>
        <v/>
      </c>
    </row>
    <row r="653" spans="3:5">
      <c r="C653" s="169" t="s">
        <v>146</v>
      </c>
      <c r="D653" s="169" t="s">
        <v>146</v>
      </c>
      <c r="E653" s="169" t="str">
        <f t="shared" si="23"/>
        <v/>
      </c>
    </row>
    <row r="654" spans="3:5">
      <c r="C654" s="169" t="s">
        <v>146</v>
      </c>
      <c r="D654" s="169" t="s">
        <v>146</v>
      </c>
      <c r="E654" s="169" t="str">
        <f t="shared" si="23"/>
        <v/>
      </c>
    </row>
    <row r="655" spans="3:5">
      <c r="C655" s="169" t="s">
        <v>146</v>
      </c>
      <c r="D655" s="169" t="s">
        <v>146</v>
      </c>
      <c r="E655" s="169" t="str">
        <f t="shared" si="23"/>
        <v/>
      </c>
    </row>
    <row r="656" spans="3:5">
      <c r="C656" s="169" t="s">
        <v>146</v>
      </c>
      <c r="D656" s="169" t="s">
        <v>146</v>
      </c>
      <c r="E656" s="169" t="str">
        <f t="shared" si="23"/>
        <v/>
      </c>
    </row>
    <row r="657" spans="3:5">
      <c r="C657" s="169" t="s">
        <v>146</v>
      </c>
      <c r="D657" s="169" t="s">
        <v>146</v>
      </c>
      <c r="E657" s="169" t="str">
        <f t="shared" si="23"/>
        <v/>
      </c>
    </row>
    <row r="658" spans="3:5">
      <c r="C658" s="169" t="s">
        <v>146</v>
      </c>
      <c r="D658" s="169" t="s">
        <v>146</v>
      </c>
      <c r="E658" s="169" t="str">
        <f t="shared" si="23"/>
        <v/>
      </c>
    </row>
    <row r="659" spans="3:5">
      <c r="C659" s="169" t="s">
        <v>146</v>
      </c>
      <c r="D659" s="169" t="s">
        <v>146</v>
      </c>
      <c r="E659" s="169" t="str">
        <f t="shared" si="23"/>
        <v/>
      </c>
    </row>
    <row r="660" spans="3:5">
      <c r="C660" s="169" t="s">
        <v>146</v>
      </c>
      <c r="D660" s="169" t="s">
        <v>146</v>
      </c>
      <c r="E660" s="169" t="str">
        <f t="shared" si="23"/>
        <v/>
      </c>
    </row>
    <row r="661" spans="3:5">
      <c r="C661" s="169" t="s">
        <v>146</v>
      </c>
      <c r="D661" s="169" t="s">
        <v>146</v>
      </c>
      <c r="E661" s="169" t="str">
        <f t="shared" si="23"/>
        <v/>
      </c>
    </row>
    <row r="662" spans="3:5">
      <c r="C662" s="169" t="s">
        <v>146</v>
      </c>
      <c r="D662" s="169" t="s">
        <v>146</v>
      </c>
      <c r="E662" s="169" t="str">
        <f t="shared" si="23"/>
        <v/>
      </c>
    </row>
    <row r="663" spans="3:5">
      <c r="C663" s="169" t="s">
        <v>146</v>
      </c>
      <c r="D663" s="169" t="s">
        <v>146</v>
      </c>
      <c r="E663" s="169" t="str">
        <f t="shared" si="23"/>
        <v/>
      </c>
    </row>
    <row r="664" spans="3:5">
      <c r="C664" s="169" t="s">
        <v>146</v>
      </c>
      <c r="D664" s="169" t="s">
        <v>146</v>
      </c>
      <c r="E664" s="169" t="str">
        <f t="shared" si="23"/>
        <v/>
      </c>
    </row>
    <row r="665" spans="3:5">
      <c r="C665" s="169" t="s">
        <v>146</v>
      </c>
      <c r="D665" s="169" t="s">
        <v>146</v>
      </c>
      <c r="E665" s="169" t="str">
        <f t="shared" si="23"/>
        <v/>
      </c>
    </row>
    <row r="666" spans="3:5">
      <c r="C666" s="169" t="s">
        <v>146</v>
      </c>
      <c r="D666" s="169" t="s">
        <v>146</v>
      </c>
      <c r="E666" s="169" t="str">
        <f t="shared" si="23"/>
        <v/>
      </c>
    </row>
    <row r="667" spans="3:5">
      <c r="C667" s="169" t="s">
        <v>146</v>
      </c>
      <c r="D667" s="169" t="s">
        <v>146</v>
      </c>
      <c r="E667" s="169" t="str">
        <f t="shared" si="23"/>
        <v/>
      </c>
    </row>
    <row r="668" spans="3:5">
      <c r="C668" s="169" t="s">
        <v>146</v>
      </c>
      <c r="D668" s="169" t="s">
        <v>146</v>
      </c>
      <c r="E668" s="169" t="str">
        <f t="shared" si="23"/>
        <v/>
      </c>
    </row>
    <row r="669" spans="3:5">
      <c r="C669" s="169" t="s">
        <v>146</v>
      </c>
      <c r="D669" s="169" t="s">
        <v>146</v>
      </c>
      <c r="E669" s="169" t="str">
        <f t="shared" si="23"/>
        <v/>
      </c>
    </row>
    <row r="670" spans="3:5">
      <c r="C670" s="169" t="s">
        <v>146</v>
      </c>
      <c r="D670" s="169" t="s">
        <v>146</v>
      </c>
      <c r="E670" s="169" t="str">
        <f t="shared" si="23"/>
        <v/>
      </c>
    </row>
    <row r="671" spans="3:5">
      <c r="C671" s="169" t="s">
        <v>146</v>
      </c>
      <c r="D671" s="169" t="s">
        <v>146</v>
      </c>
      <c r="E671" s="169" t="str">
        <f t="shared" si="23"/>
        <v/>
      </c>
    </row>
    <row r="672" spans="3:5">
      <c r="C672" s="169" t="s">
        <v>146</v>
      </c>
      <c r="D672" s="169" t="s">
        <v>146</v>
      </c>
      <c r="E672" s="169" t="str">
        <f t="shared" si="23"/>
        <v/>
      </c>
    </row>
    <row r="673" spans="3:5">
      <c r="C673" s="169" t="s">
        <v>146</v>
      </c>
      <c r="D673" s="169" t="s">
        <v>146</v>
      </c>
      <c r="E673" s="169" t="str">
        <f t="shared" si="23"/>
        <v/>
      </c>
    </row>
    <row r="674" spans="3:5">
      <c r="C674" s="169" t="s">
        <v>146</v>
      </c>
      <c r="D674" s="169" t="s">
        <v>146</v>
      </c>
      <c r="E674" s="169" t="str">
        <f t="shared" si="23"/>
        <v/>
      </c>
    </row>
    <row r="675" spans="3:5">
      <c r="C675" s="169" t="s">
        <v>146</v>
      </c>
      <c r="D675" s="169" t="s">
        <v>146</v>
      </c>
      <c r="E675" s="169" t="str">
        <f t="shared" si="23"/>
        <v/>
      </c>
    </row>
    <row r="676" spans="3:5">
      <c r="C676" s="169" t="s">
        <v>146</v>
      </c>
      <c r="D676" s="169" t="s">
        <v>146</v>
      </c>
      <c r="E676" s="169" t="str">
        <f t="shared" si="23"/>
        <v/>
      </c>
    </row>
    <row r="677" spans="3:5">
      <c r="C677" s="169" t="s">
        <v>146</v>
      </c>
      <c r="D677" s="169" t="s">
        <v>146</v>
      </c>
      <c r="E677" s="169" t="str">
        <f t="shared" si="23"/>
        <v/>
      </c>
    </row>
    <row r="678" spans="3:5">
      <c r="C678" s="169" t="s">
        <v>146</v>
      </c>
      <c r="D678" s="169" t="s">
        <v>146</v>
      </c>
      <c r="E678" s="169" t="str">
        <f t="shared" si="23"/>
        <v/>
      </c>
    </row>
    <row r="679" spans="3:5">
      <c r="C679" s="169" t="s">
        <v>146</v>
      </c>
      <c r="D679" s="169" t="s">
        <v>146</v>
      </c>
      <c r="E679" s="169" t="str">
        <f t="shared" si="23"/>
        <v/>
      </c>
    </row>
    <row r="680" spans="3:5">
      <c r="C680" s="169" t="s">
        <v>146</v>
      </c>
      <c r="D680" s="169" t="s">
        <v>146</v>
      </c>
      <c r="E680" s="169" t="str">
        <f t="shared" si="23"/>
        <v/>
      </c>
    </row>
    <row r="681" spans="3:5">
      <c r="C681" s="169" t="s">
        <v>146</v>
      </c>
      <c r="D681" s="169" t="s">
        <v>146</v>
      </c>
      <c r="E681" s="169" t="str">
        <f t="shared" si="23"/>
        <v/>
      </c>
    </row>
    <row r="682" spans="3:5">
      <c r="C682" s="169" t="s">
        <v>146</v>
      </c>
      <c r="D682" s="169" t="s">
        <v>146</v>
      </c>
      <c r="E682" s="169" t="str">
        <f t="shared" si="23"/>
        <v/>
      </c>
    </row>
    <row r="683" spans="3:5">
      <c r="C683" s="169" t="s">
        <v>146</v>
      </c>
      <c r="D683" s="169" t="s">
        <v>146</v>
      </c>
      <c r="E683" s="169" t="str">
        <f t="shared" si="23"/>
        <v/>
      </c>
    </row>
    <row r="684" spans="3:5">
      <c r="C684" s="169" t="s">
        <v>146</v>
      </c>
      <c r="D684" s="169" t="s">
        <v>146</v>
      </c>
      <c r="E684" s="169" t="str">
        <f t="shared" si="23"/>
        <v/>
      </c>
    </row>
    <row r="685" spans="3:5">
      <c r="C685" s="169" t="s">
        <v>146</v>
      </c>
      <c r="D685" s="169" t="s">
        <v>146</v>
      </c>
      <c r="E685" s="169" t="str">
        <f t="shared" si="23"/>
        <v/>
      </c>
    </row>
    <row r="686" spans="3:5">
      <c r="C686" s="169" t="s">
        <v>146</v>
      </c>
      <c r="D686" s="169" t="s">
        <v>146</v>
      </c>
      <c r="E686" s="169" t="str">
        <f t="shared" si="23"/>
        <v/>
      </c>
    </row>
    <row r="687" spans="3:5">
      <c r="C687" s="169" t="s">
        <v>146</v>
      </c>
      <c r="D687" s="169" t="s">
        <v>146</v>
      </c>
      <c r="E687" s="169" t="str">
        <f t="shared" si="23"/>
        <v/>
      </c>
    </row>
    <row r="688" spans="3:5">
      <c r="C688" s="169" t="s">
        <v>146</v>
      </c>
      <c r="D688" s="169" t="s">
        <v>146</v>
      </c>
      <c r="E688" s="169" t="str">
        <f t="shared" si="23"/>
        <v/>
      </c>
    </row>
    <row r="689" spans="3:5">
      <c r="C689" s="169" t="s">
        <v>146</v>
      </c>
      <c r="D689" s="169" t="s">
        <v>146</v>
      </c>
      <c r="E689" s="169" t="str">
        <f t="shared" si="23"/>
        <v/>
      </c>
    </row>
    <row r="690" spans="3:5">
      <c r="C690" s="169" t="s">
        <v>146</v>
      </c>
      <c r="D690" s="169" t="s">
        <v>146</v>
      </c>
      <c r="E690" s="169" t="str">
        <f t="shared" si="23"/>
        <v/>
      </c>
    </row>
    <row r="691" spans="3:5">
      <c r="C691" s="169" t="s">
        <v>146</v>
      </c>
      <c r="D691" s="169" t="s">
        <v>146</v>
      </c>
      <c r="E691" s="169" t="str">
        <f t="shared" si="23"/>
        <v/>
      </c>
    </row>
    <row r="692" spans="3:5">
      <c r="C692" s="169" t="s">
        <v>146</v>
      </c>
      <c r="D692" s="169" t="s">
        <v>146</v>
      </c>
      <c r="E692" s="169" t="str">
        <f t="shared" si="23"/>
        <v/>
      </c>
    </row>
    <row r="693" spans="3:5">
      <c r="C693" s="169" t="s">
        <v>146</v>
      </c>
      <c r="D693" s="169" t="s">
        <v>146</v>
      </c>
      <c r="E693" s="169" t="str">
        <f t="shared" si="23"/>
        <v/>
      </c>
    </row>
    <row r="694" spans="3:5">
      <c r="C694" s="169" t="s">
        <v>146</v>
      </c>
      <c r="D694" s="169" t="s">
        <v>146</v>
      </c>
      <c r="E694" s="169" t="str">
        <f t="shared" si="23"/>
        <v/>
      </c>
    </row>
    <row r="695" spans="3:5">
      <c r="C695" s="169" t="s">
        <v>146</v>
      </c>
      <c r="D695" s="169" t="s">
        <v>146</v>
      </c>
      <c r="E695" s="169" t="str">
        <f t="shared" si="23"/>
        <v/>
      </c>
    </row>
    <row r="696" spans="3:5">
      <c r="C696" s="169" t="s">
        <v>146</v>
      </c>
      <c r="D696" s="169" t="s">
        <v>146</v>
      </c>
      <c r="E696" s="169" t="str">
        <f t="shared" si="23"/>
        <v/>
      </c>
    </row>
    <row r="697" spans="3:5">
      <c r="C697" s="169" t="s">
        <v>146</v>
      </c>
      <c r="D697" s="169" t="s">
        <v>146</v>
      </c>
      <c r="E697" s="169" t="str">
        <f t="shared" si="23"/>
        <v/>
      </c>
    </row>
    <row r="698" spans="3:5">
      <c r="C698" s="169" t="s">
        <v>146</v>
      </c>
      <c r="D698" s="169" t="s">
        <v>146</v>
      </c>
      <c r="E698" s="169" t="str">
        <f t="shared" si="23"/>
        <v/>
      </c>
    </row>
    <row r="699" spans="3:5">
      <c r="C699" s="169" t="s">
        <v>146</v>
      </c>
      <c r="D699" s="169" t="s">
        <v>146</v>
      </c>
      <c r="E699" s="169" t="str">
        <f t="shared" si="23"/>
        <v/>
      </c>
    </row>
    <row r="700" spans="3:5">
      <c r="C700" s="169" t="s">
        <v>146</v>
      </c>
      <c r="D700" s="169" t="s">
        <v>146</v>
      </c>
      <c r="E700" s="169" t="str">
        <f t="shared" si="23"/>
        <v/>
      </c>
    </row>
    <row r="701" spans="3:5">
      <c r="C701" s="169" t="s">
        <v>146</v>
      </c>
      <c r="D701" s="169" t="s">
        <v>146</v>
      </c>
      <c r="E701" s="169" t="str">
        <f t="shared" si="23"/>
        <v/>
      </c>
    </row>
    <row r="702" spans="3:5">
      <c r="C702" s="169" t="s">
        <v>146</v>
      </c>
      <c r="D702" s="169" t="s">
        <v>146</v>
      </c>
      <c r="E702" s="169" t="str">
        <f t="shared" si="23"/>
        <v/>
      </c>
    </row>
    <row r="703" spans="3:5">
      <c r="C703" s="169" t="s">
        <v>146</v>
      </c>
      <c r="D703" s="169" t="s">
        <v>146</v>
      </c>
      <c r="E703" s="169" t="str">
        <f t="shared" si="23"/>
        <v/>
      </c>
    </row>
    <row r="704" spans="3:5">
      <c r="C704" s="169" t="s">
        <v>146</v>
      </c>
      <c r="D704" s="169" t="s">
        <v>146</v>
      </c>
      <c r="E704" s="169" t="str">
        <f t="shared" si="23"/>
        <v/>
      </c>
    </row>
    <row r="705" spans="3:5">
      <c r="C705" s="169" t="s">
        <v>146</v>
      </c>
      <c r="D705" s="169" t="s">
        <v>146</v>
      </c>
      <c r="E705" s="169" t="str">
        <f t="shared" si="23"/>
        <v/>
      </c>
    </row>
    <row r="706" spans="3:5">
      <c r="C706" s="169" t="s">
        <v>146</v>
      </c>
      <c r="D706" s="169" t="s">
        <v>146</v>
      </c>
      <c r="E706" s="169" t="str">
        <f t="shared" si="23"/>
        <v/>
      </c>
    </row>
    <row r="707" spans="3:5">
      <c r="C707" s="169" t="s">
        <v>146</v>
      </c>
      <c r="D707" s="169" t="s">
        <v>146</v>
      </c>
      <c r="E707" s="169" t="str">
        <f t="shared" si="23"/>
        <v/>
      </c>
    </row>
    <row r="708" spans="3:5">
      <c r="C708" s="169" t="s">
        <v>146</v>
      </c>
      <c r="D708" s="169" t="s">
        <v>146</v>
      </c>
      <c r="E708" s="169" t="str">
        <f t="shared" ref="E708:E771" si="24">IF(C708&lt;D708,C708,D708)</f>
        <v/>
      </c>
    </row>
    <row r="709" spans="3:5">
      <c r="C709" s="169" t="s">
        <v>146</v>
      </c>
      <c r="D709" s="169" t="s">
        <v>146</v>
      </c>
      <c r="E709" s="169" t="str">
        <f t="shared" si="24"/>
        <v/>
      </c>
    </row>
    <row r="710" spans="3:5">
      <c r="C710" s="169" t="s">
        <v>146</v>
      </c>
      <c r="D710" s="169" t="s">
        <v>146</v>
      </c>
      <c r="E710" s="169" t="str">
        <f t="shared" si="24"/>
        <v/>
      </c>
    </row>
    <row r="711" spans="3:5">
      <c r="C711" s="169" t="s">
        <v>146</v>
      </c>
      <c r="D711" s="169" t="s">
        <v>146</v>
      </c>
      <c r="E711" s="169" t="str">
        <f t="shared" si="24"/>
        <v/>
      </c>
    </row>
    <row r="712" spans="3:5">
      <c r="C712" s="169" t="s">
        <v>146</v>
      </c>
      <c r="D712" s="169" t="s">
        <v>146</v>
      </c>
      <c r="E712" s="169" t="str">
        <f t="shared" si="24"/>
        <v/>
      </c>
    </row>
    <row r="713" spans="3:5">
      <c r="C713" s="169" t="s">
        <v>146</v>
      </c>
      <c r="D713" s="169" t="s">
        <v>146</v>
      </c>
      <c r="E713" s="169" t="str">
        <f t="shared" si="24"/>
        <v/>
      </c>
    </row>
    <row r="714" spans="3:5">
      <c r="C714" s="169" t="s">
        <v>146</v>
      </c>
      <c r="D714" s="169" t="s">
        <v>146</v>
      </c>
      <c r="E714" s="169" t="str">
        <f t="shared" si="24"/>
        <v/>
      </c>
    </row>
    <row r="715" spans="3:5">
      <c r="C715" s="169" t="s">
        <v>146</v>
      </c>
      <c r="D715" s="169" t="s">
        <v>146</v>
      </c>
      <c r="E715" s="169" t="str">
        <f t="shared" si="24"/>
        <v/>
      </c>
    </row>
    <row r="716" spans="3:5">
      <c r="C716" s="169" t="s">
        <v>146</v>
      </c>
      <c r="D716" s="169" t="s">
        <v>146</v>
      </c>
      <c r="E716" s="169" t="str">
        <f t="shared" si="24"/>
        <v/>
      </c>
    </row>
    <row r="717" spans="3:5">
      <c r="C717" s="169" t="s">
        <v>146</v>
      </c>
      <c r="D717" s="169" t="s">
        <v>146</v>
      </c>
      <c r="E717" s="169" t="str">
        <f t="shared" si="24"/>
        <v/>
      </c>
    </row>
    <row r="718" spans="3:5">
      <c r="C718" s="169" t="s">
        <v>146</v>
      </c>
      <c r="D718" s="169" t="s">
        <v>146</v>
      </c>
      <c r="E718" s="169" t="str">
        <f t="shared" si="24"/>
        <v/>
      </c>
    </row>
    <row r="719" spans="3:5">
      <c r="C719" s="169" t="s">
        <v>146</v>
      </c>
      <c r="D719" s="169" t="s">
        <v>146</v>
      </c>
      <c r="E719" s="169" t="str">
        <f t="shared" si="24"/>
        <v/>
      </c>
    </row>
    <row r="720" spans="3:5">
      <c r="C720" s="169" t="s">
        <v>146</v>
      </c>
      <c r="D720" s="169" t="s">
        <v>146</v>
      </c>
      <c r="E720" s="169" t="str">
        <f t="shared" si="24"/>
        <v/>
      </c>
    </row>
    <row r="721" spans="3:5">
      <c r="C721" s="169" t="s">
        <v>146</v>
      </c>
      <c r="D721" s="169" t="s">
        <v>146</v>
      </c>
      <c r="E721" s="169" t="str">
        <f t="shared" si="24"/>
        <v/>
      </c>
    </row>
    <row r="722" spans="3:5">
      <c r="C722" s="169" t="s">
        <v>146</v>
      </c>
      <c r="D722" s="169" t="s">
        <v>146</v>
      </c>
      <c r="E722" s="169" t="str">
        <f t="shared" si="24"/>
        <v/>
      </c>
    </row>
    <row r="723" spans="3:5">
      <c r="C723" s="169" t="s">
        <v>146</v>
      </c>
      <c r="D723" s="169" t="s">
        <v>146</v>
      </c>
      <c r="E723" s="169" t="str">
        <f t="shared" si="24"/>
        <v/>
      </c>
    </row>
    <row r="724" spans="3:5">
      <c r="C724" s="169" t="s">
        <v>146</v>
      </c>
      <c r="D724" s="169" t="s">
        <v>146</v>
      </c>
      <c r="E724" s="169" t="str">
        <f t="shared" si="24"/>
        <v/>
      </c>
    </row>
    <row r="725" spans="3:5">
      <c r="C725" s="169" t="s">
        <v>146</v>
      </c>
      <c r="D725" s="169" t="s">
        <v>146</v>
      </c>
      <c r="E725" s="169" t="str">
        <f t="shared" si="24"/>
        <v/>
      </c>
    </row>
    <row r="726" spans="3:5">
      <c r="C726" s="169" t="s">
        <v>146</v>
      </c>
      <c r="D726" s="169" t="s">
        <v>146</v>
      </c>
      <c r="E726" s="169" t="str">
        <f t="shared" si="24"/>
        <v/>
      </c>
    </row>
    <row r="727" spans="3:5">
      <c r="C727" s="169" t="s">
        <v>146</v>
      </c>
      <c r="D727" s="169" t="s">
        <v>146</v>
      </c>
      <c r="E727" s="169" t="str">
        <f t="shared" si="24"/>
        <v/>
      </c>
    </row>
    <row r="728" spans="3:5">
      <c r="C728" s="169" t="s">
        <v>146</v>
      </c>
      <c r="D728" s="169" t="s">
        <v>146</v>
      </c>
      <c r="E728" s="169" t="str">
        <f t="shared" si="24"/>
        <v/>
      </c>
    </row>
    <row r="729" spans="3:5">
      <c r="C729" s="169" t="s">
        <v>146</v>
      </c>
      <c r="D729" s="169" t="s">
        <v>146</v>
      </c>
      <c r="E729" s="169" t="str">
        <f t="shared" si="24"/>
        <v/>
      </c>
    </row>
    <row r="730" spans="3:5">
      <c r="C730" s="169" t="s">
        <v>146</v>
      </c>
      <c r="D730" s="169" t="s">
        <v>146</v>
      </c>
      <c r="E730" s="169" t="str">
        <f t="shared" si="24"/>
        <v/>
      </c>
    </row>
    <row r="731" spans="3:5">
      <c r="C731" s="169" t="s">
        <v>146</v>
      </c>
      <c r="D731" s="169" t="s">
        <v>146</v>
      </c>
      <c r="E731" s="169" t="str">
        <f t="shared" si="24"/>
        <v/>
      </c>
    </row>
    <row r="732" spans="3:5">
      <c r="C732" s="169" t="s">
        <v>146</v>
      </c>
      <c r="D732" s="169" t="s">
        <v>146</v>
      </c>
      <c r="E732" s="169" t="str">
        <f t="shared" si="24"/>
        <v/>
      </c>
    </row>
    <row r="733" spans="3:5">
      <c r="C733" s="169" t="s">
        <v>146</v>
      </c>
      <c r="D733" s="169" t="s">
        <v>146</v>
      </c>
      <c r="E733" s="169" t="str">
        <f t="shared" si="24"/>
        <v/>
      </c>
    </row>
    <row r="734" spans="3:5">
      <c r="C734" s="169" t="s">
        <v>146</v>
      </c>
      <c r="D734" s="169" t="s">
        <v>146</v>
      </c>
      <c r="E734" s="169" t="str">
        <f t="shared" si="24"/>
        <v/>
      </c>
    </row>
    <row r="735" spans="3:5">
      <c r="C735" s="169" t="s">
        <v>146</v>
      </c>
      <c r="D735" s="169" t="s">
        <v>146</v>
      </c>
      <c r="E735" s="169" t="str">
        <f t="shared" si="24"/>
        <v/>
      </c>
    </row>
    <row r="736" spans="3:5">
      <c r="C736" s="169" t="s">
        <v>146</v>
      </c>
      <c r="D736" s="169" t="s">
        <v>146</v>
      </c>
      <c r="E736" s="169" t="str">
        <f t="shared" si="24"/>
        <v/>
      </c>
    </row>
    <row r="737" spans="3:5">
      <c r="C737" s="169" t="s">
        <v>146</v>
      </c>
      <c r="D737" s="169" t="s">
        <v>146</v>
      </c>
      <c r="E737" s="169" t="str">
        <f t="shared" si="24"/>
        <v/>
      </c>
    </row>
    <row r="738" spans="3:5">
      <c r="C738" s="169" t="s">
        <v>146</v>
      </c>
      <c r="D738" s="169" t="s">
        <v>146</v>
      </c>
      <c r="E738" s="169" t="str">
        <f t="shared" si="24"/>
        <v/>
      </c>
    </row>
    <row r="739" spans="3:5">
      <c r="C739" s="169" t="s">
        <v>146</v>
      </c>
      <c r="D739" s="169" t="s">
        <v>146</v>
      </c>
      <c r="E739" s="169" t="str">
        <f t="shared" si="24"/>
        <v/>
      </c>
    </row>
    <row r="740" spans="3:5">
      <c r="C740" s="169" t="s">
        <v>146</v>
      </c>
      <c r="D740" s="169" t="s">
        <v>146</v>
      </c>
      <c r="E740" s="169" t="str">
        <f t="shared" si="24"/>
        <v/>
      </c>
    </row>
    <row r="741" spans="3:5">
      <c r="C741" s="169" t="s">
        <v>146</v>
      </c>
      <c r="D741" s="169" t="s">
        <v>146</v>
      </c>
      <c r="E741" s="169" t="str">
        <f t="shared" si="24"/>
        <v/>
      </c>
    </row>
    <row r="742" spans="3:5">
      <c r="C742" s="169" t="s">
        <v>146</v>
      </c>
      <c r="D742" s="169" t="s">
        <v>146</v>
      </c>
      <c r="E742" s="169" t="str">
        <f t="shared" si="24"/>
        <v/>
      </c>
    </row>
    <row r="743" spans="3:5">
      <c r="C743" s="169" t="s">
        <v>146</v>
      </c>
      <c r="D743" s="169" t="s">
        <v>146</v>
      </c>
      <c r="E743" s="169" t="str">
        <f t="shared" si="24"/>
        <v/>
      </c>
    </row>
    <row r="744" spans="3:5">
      <c r="C744" s="169" t="s">
        <v>146</v>
      </c>
      <c r="D744" s="169" t="s">
        <v>146</v>
      </c>
      <c r="E744" s="169" t="str">
        <f t="shared" si="24"/>
        <v/>
      </c>
    </row>
    <row r="745" spans="3:5">
      <c r="C745" s="169" t="s">
        <v>146</v>
      </c>
      <c r="D745" s="169" t="s">
        <v>146</v>
      </c>
      <c r="E745" s="169" t="str">
        <f t="shared" si="24"/>
        <v/>
      </c>
    </row>
    <row r="746" spans="3:5">
      <c r="C746" s="169" t="s">
        <v>146</v>
      </c>
      <c r="D746" s="169" t="s">
        <v>146</v>
      </c>
      <c r="E746" s="169" t="str">
        <f t="shared" si="24"/>
        <v/>
      </c>
    </row>
    <row r="747" spans="3:5">
      <c r="C747" s="169" t="s">
        <v>146</v>
      </c>
      <c r="D747" s="169" t="s">
        <v>146</v>
      </c>
      <c r="E747" s="169" t="str">
        <f t="shared" si="24"/>
        <v/>
      </c>
    </row>
    <row r="748" spans="3:5">
      <c r="C748" s="169" t="s">
        <v>146</v>
      </c>
      <c r="D748" s="169" t="s">
        <v>146</v>
      </c>
      <c r="E748" s="169" t="str">
        <f t="shared" si="24"/>
        <v/>
      </c>
    </row>
    <row r="749" spans="3:5">
      <c r="C749" s="169" t="s">
        <v>146</v>
      </c>
      <c r="D749" s="169" t="s">
        <v>146</v>
      </c>
      <c r="E749" s="169" t="str">
        <f t="shared" si="24"/>
        <v/>
      </c>
    </row>
    <row r="750" spans="3:5">
      <c r="C750" s="169" t="s">
        <v>146</v>
      </c>
      <c r="D750" s="169" t="s">
        <v>146</v>
      </c>
      <c r="E750" s="169" t="str">
        <f t="shared" si="24"/>
        <v/>
      </c>
    </row>
    <row r="751" spans="3:5">
      <c r="C751" s="169" t="s">
        <v>146</v>
      </c>
      <c r="D751" s="169" t="s">
        <v>146</v>
      </c>
      <c r="E751" s="169" t="str">
        <f t="shared" si="24"/>
        <v/>
      </c>
    </row>
    <row r="752" spans="3:5">
      <c r="C752" s="169" t="s">
        <v>146</v>
      </c>
      <c r="D752" s="169" t="s">
        <v>146</v>
      </c>
      <c r="E752" s="169" t="str">
        <f t="shared" si="24"/>
        <v/>
      </c>
    </row>
    <row r="753" spans="3:5">
      <c r="C753" s="169" t="s">
        <v>146</v>
      </c>
      <c r="D753" s="169" t="s">
        <v>146</v>
      </c>
      <c r="E753" s="169" t="str">
        <f t="shared" si="24"/>
        <v/>
      </c>
    </row>
    <row r="754" spans="3:5">
      <c r="C754" s="169" t="s">
        <v>146</v>
      </c>
      <c r="D754" s="169" t="s">
        <v>146</v>
      </c>
      <c r="E754" s="169" t="str">
        <f t="shared" si="24"/>
        <v/>
      </c>
    </row>
    <row r="755" spans="3:5">
      <c r="C755" s="169" t="s">
        <v>146</v>
      </c>
      <c r="D755" s="169" t="s">
        <v>146</v>
      </c>
      <c r="E755" s="169" t="str">
        <f t="shared" si="24"/>
        <v/>
      </c>
    </row>
    <row r="756" spans="3:5">
      <c r="C756" s="169" t="s">
        <v>146</v>
      </c>
      <c r="D756" s="169" t="s">
        <v>146</v>
      </c>
      <c r="E756" s="169" t="str">
        <f t="shared" si="24"/>
        <v/>
      </c>
    </row>
    <row r="757" spans="3:5">
      <c r="C757" s="169" t="s">
        <v>146</v>
      </c>
      <c r="D757" s="169" t="s">
        <v>146</v>
      </c>
      <c r="E757" s="169" t="str">
        <f t="shared" si="24"/>
        <v/>
      </c>
    </row>
    <row r="758" spans="3:5">
      <c r="C758" s="169" t="s">
        <v>146</v>
      </c>
      <c r="D758" s="169" t="s">
        <v>146</v>
      </c>
      <c r="E758" s="169" t="str">
        <f t="shared" si="24"/>
        <v/>
      </c>
    </row>
    <row r="759" spans="3:5">
      <c r="C759" s="169" t="s">
        <v>146</v>
      </c>
      <c r="D759" s="169" t="s">
        <v>146</v>
      </c>
      <c r="E759" s="169" t="str">
        <f t="shared" si="24"/>
        <v/>
      </c>
    </row>
    <row r="760" spans="3:5">
      <c r="C760" s="169" t="s">
        <v>146</v>
      </c>
      <c r="D760" s="169" t="s">
        <v>146</v>
      </c>
      <c r="E760" s="169" t="str">
        <f t="shared" si="24"/>
        <v/>
      </c>
    </row>
    <row r="761" spans="3:5">
      <c r="C761" s="169" t="s">
        <v>146</v>
      </c>
      <c r="D761" s="169" t="s">
        <v>146</v>
      </c>
      <c r="E761" s="169" t="str">
        <f t="shared" si="24"/>
        <v/>
      </c>
    </row>
    <row r="762" spans="3:5">
      <c r="C762" s="169" t="s">
        <v>146</v>
      </c>
      <c r="D762" s="169" t="s">
        <v>146</v>
      </c>
      <c r="E762" s="169" t="str">
        <f t="shared" si="24"/>
        <v/>
      </c>
    </row>
    <row r="763" spans="3:5">
      <c r="C763" s="169" t="s">
        <v>146</v>
      </c>
      <c r="D763" s="169" t="s">
        <v>146</v>
      </c>
      <c r="E763" s="169" t="str">
        <f t="shared" si="24"/>
        <v/>
      </c>
    </row>
    <row r="764" spans="3:5">
      <c r="C764" s="169" t="s">
        <v>146</v>
      </c>
      <c r="D764" s="169" t="s">
        <v>146</v>
      </c>
      <c r="E764" s="169" t="str">
        <f t="shared" si="24"/>
        <v/>
      </c>
    </row>
    <row r="765" spans="3:5">
      <c r="C765" s="169" t="s">
        <v>146</v>
      </c>
      <c r="D765" s="169" t="s">
        <v>146</v>
      </c>
      <c r="E765" s="169" t="str">
        <f t="shared" si="24"/>
        <v/>
      </c>
    </row>
    <row r="766" spans="3:5">
      <c r="C766" s="169" t="s">
        <v>146</v>
      </c>
      <c r="D766" s="169" t="s">
        <v>146</v>
      </c>
      <c r="E766" s="169" t="str">
        <f t="shared" si="24"/>
        <v/>
      </c>
    </row>
    <row r="767" spans="3:5">
      <c r="C767" s="169" t="s">
        <v>146</v>
      </c>
      <c r="D767" s="169" t="s">
        <v>146</v>
      </c>
      <c r="E767" s="169" t="str">
        <f t="shared" si="24"/>
        <v/>
      </c>
    </row>
    <row r="768" spans="3:5">
      <c r="C768" s="169" t="s">
        <v>146</v>
      </c>
      <c r="D768" s="169" t="s">
        <v>146</v>
      </c>
      <c r="E768" s="169" t="str">
        <f t="shared" si="24"/>
        <v/>
      </c>
    </row>
    <row r="769" spans="3:5">
      <c r="C769" s="169" t="s">
        <v>146</v>
      </c>
      <c r="D769" s="169" t="s">
        <v>146</v>
      </c>
      <c r="E769" s="169" t="str">
        <f t="shared" si="24"/>
        <v/>
      </c>
    </row>
    <row r="770" spans="3:5">
      <c r="C770" s="169" t="s">
        <v>146</v>
      </c>
      <c r="D770" s="169" t="s">
        <v>146</v>
      </c>
      <c r="E770" s="169" t="str">
        <f t="shared" si="24"/>
        <v/>
      </c>
    </row>
    <row r="771" spans="3:5">
      <c r="C771" s="169" t="s">
        <v>146</v>
      </c>
      <c r="D771" s="169" t="s">
        <v>146</v>
      </c>
      <c r="E771" s="169" t="str">
        <f t="shared" si="24"/>
        <v/>
      </c>
    </row>
    <row r="772" spans="3:5">
      <c r="C772" s="169" t="s">
        <v>146</v>
      </c>
      <c r="D772" s="169" t="s">
        <v>146</v>
      </c>
      <c r="E772" s="169" t="str">
        <f t="shared" ref="E772:E835" si="25">IF(C772&lt;D772,C772,D772)</f>
        <v/>
      </c>
    </row>
    <row r="773" spans="3:5">
      <c r="C773" s="169" t="s">
        <v>146</v>
      </c>
      <c r="D773" s="169" t="s">
        <v>146</v>
      </c>
      <c r="E773" s="169" t="str">
        <f t="shared" si="25"/>
        <v/>
      </c>
    </row>
    <row r="774" spans="3:5">
      <c r="C774" s="169" t="s">
        <v>146</v>
      </c>
      <c r="D774" s="169" t="s">
        <v>146</v>
      </c>
      <c r="E774" s="169" t="str">
        <f t="shared" si="25"/>
        <v/>
      </c>
    </row>
    <row r="775" spans="3:5">
      <c r="C775" s="169" t="s">
        <v>146</v>
      </c>
      <c r="D775" s="169" t="s">
        <v>146</v>
      </c>
      <c r="E775" s="169" t="str">
        <f t="shared" si="25"/>
        <v/>
      </c>
    </row>
    <row r="776" spans="3:5">
      <c r="C776" s="169" t="s">
        <v>146</v>
      </c>
      <c r="D776" s="169" t="s">
        <v>146</v>
      </c>
      <c r="E776" s="169" t="str">
        <f t="shared" si="25"/>
        <v/>
      </c>
    </row>
    <row r="777" spans="3:5">
      <c r="C777" s="169" t="s">
        <v>146</v>
      </c>
      <c r="D777" s="169" t="s">
        <v>146</v>
      </c>
      <c r="E777" s="169" t="str">
        <f t="shared" si="25"/>
        <v/>
      </c>
    </row>
    <row r="778" spans="3:5">
      <c r="C778" s="169" t="s">
        <v>146</v>
      </c>
      <c r="D778" s="169" t="s">
        <v>146</v>
      </c>
      <c r="E778" s="169" t="str">
        <f t="shared" si="25"/>
        <v/>
      </c>
    </row>
    <row r="779" spans="3:5">
      <c r="C779" s="169" t="s">
        <v>146</v>
      </c>
      <c r="D779" s="169" t="s">
        <v>146</v>
      </c>
      <c r="E779" s="169" t="str">
        <f t="shared" si="25"/>
        <v/>
      </c>
    </row>
    <row r="780" spans="3:5">
      <c r="C780" s="169" t="s">
        <v>146</v>
      </c>
      <c r="D780" s="169" t="s">
        <v>146</v>
      </c>
      <c r="E780" s="169" t="str">
        <f t="shared" si="25"/>
        <v/>
      </c>
    </row>
    <row r="781" spans="3:5">
      <c r="C781" s="169" t="s">
        <v>146</v>
      </c>
      <c r="D781" s="169" t="s">
        <v>146</v>
      </c>
      <c r="E781" s="169" t="str">
        <f t="shared" si="25"/>
        <v/>
      </c>
    </row>
    <row r="782" spans="3:5">
      <c r="C782" s="169" t="s">
        <v>146</v>
      </c>
      <c r="D782" s="169" t="s">
        <v>146</v>
      </c>
      <c r="E782" s="169" t="str">
        <f t="shared" si="25"/>
        <v/>
      </c>
    </row>
    <row r="783" spans="3:5">
      <c r="C783" s="169" t="s">
        <v>146</v>
      </c>
      <c r="D783" s="169" t="s">
        <v>146</v>
      </c>
      <c r="E783" s="169" t="str">
        <f t="shared" si="25"/>
        <v/>
      </c>
    </row>
    <row r="784" spans="3:5">
      <c r="C784" s="169" t="s">
        <v>146</v>
      </c>
      <c r="D784" s="169" t="s">
        <v>146</v>
      </c>
      <c r="E784" s="169" t="str">
        <f t="shared" si="25"/>
        <v/>
      </c>
    </row>
    <row r="785" spans="3:5">
      <c r="C785" s="169" t="s">
        <v>146</v>
      </c>
      <c r="D785" s="169" t="s">
        <v>146</v>
      </c>
      <c r="E785" s="169" t="str">
        <f t="shared" si="25"/>
        <v/>
      </c>
    </row>
    <row r="786" spans="3:5">
      <c r="C786" s="169" t="s">
        <v>146</v>
      </c>
      <c r="D786" s="169" t="s">
        <v>146</v>
      </c>
      <c r="E786" s="169" t="str">
        <f t="shared" si="25"/>
        <v/>
      </c>
    </row>
    <row r="787" spans="3:5">
      <c r="C787" s="169" t="s">
        <v>146</v>
      </c>
      <c r="D787" s="169" t="s">
        <v>146</v>
      </c>
      <c r="E787" s="169" t="str">
        <f t="shared" si="25"/>
        <v/>
      </c>
    </row>
    <row r="788" spans="3:5">
      <c r="C788" s="169" t="s">
        <v>146</v>
      </c>
      <c r="D788" s="169" t="s">
        <v>146</v>
      </c>
      <c r="E788" s="169" t="str">
        <f t="shared" si="25"/>
        <v/>
      </c>
    </row>
    <row r="789" spans="3:5">
      <c r="C789" s="169" t="s">
        <v>146</v>
      </c>
      <c r="D789" s="169" t="s">
        <v>146</v>
      </c>
      <c r="E789" s="169" t="str">
        <f t="shared" si="25"/>
        <v/>
      </c>
    </row>
    <row r="790" spans="3:5">
      <c r="C790" s="169" t="s">
        <v>146</v>
      </c>
      <c r="D790" s="169" t="s">
        <v>146</v>
      </c>
      <c r="E790" s="169" t="str">
        <f t="shared" si="25"/>
        <v/>
      </c>
    </row>
    <row r="791" spans="3:5">
      <c r="C791" s="169" t="s">
        <v>146</v>
      </c>
      <c r="D791" s="169" t="s">
        <v>146</v>
      </c>
      <c r="E791" s="169" t="str">
        <f t="shared" si="25"/>
        <v/>
      </c>
    </row>
    <row r="792" spans="3:5">
      <c r="C792" s="169" t="s">
        <v>146</v>
      </c>
      <c r="D792" s="169" t="s">
        <v>146</v>
      </c>
      <c r="E792" s="169" t="str">
        <f t="shared" si="25"/>
        <v/>
      </c>
    </row>
    <row r="793" spans="3:5">
      <c r="C793" s="169" t="s">
        <v>146</v>
      </c>
      <c r="D793" s="169" t="s">
        <v>146</v>
      </c>
      <c r="E793" s="169" t="str">
        <f t="shared" si="25"/>
        <v/>
      </c>
    </row>
    <row r="794" spans="3:5">
      <c r="C794" s="169" t="s">
        <v>146</v>
      </c>
      <c r="D794" s="169" t="s">
        <v>146</v>
      </c>
      <c r="E794" s="169" t="str">
        <f t="shared" si="25"/>
        <v/>
      </c>
    </row>
    <row r="795" spans="3:5">
      <c r="C795" s="169" t="s">
        <v>146</v>
      </c>
      <c r="D795" s="169" t="s">
        <v>146</v>
      </c>
      <c r="E795" s="169" t="str">
        <f t="shared" si="25"/>
        <v/>
      </c>
    </row>
    <row r="796" spans="3:5">
      <c r="C796" s="169" t="s">
        <v>146</v>
      </c>
      <c r="D796" s="169" t="s">
        <v>146</v>
      </c>
      <c r="E796" s="169" t="str">
        <f t="shared" si="25"/>
        <v/>
      </c>
    </row>
    <row r="797" spans="3:5">
      <c r="C797" s="169" t="s">
        <v>146</v>
      </c>
      <c r="D797" s="169" t="s">
        <v>146</v>
      </c>
      <c r="E797" s="169" t="str">
        <f t="shared" si="25"/>
        <v/>
      </c>
    </row>
    <row r="798" spans="3:5">
      <c r="C798" s="169" t="s">
        <v>146</v>
      </c>
      <c r="D798" s="169" t="s">
        <v>146</v>
      </c>
      <c r="E798" s="169" t="str">
        <f t="shared" si="25"/>
        <v/>
      </c>
    </row>
    <row r="799" spans="3:5">
      <c r="C799" s="169" t="s">
        <v>146</v>
      </c>
      <c r="D799" s="169" t="s">
        <v>146</v>
      </c>
      <c r="E799" s="169" t="str">
        <f t="shared" si="25"/>
        <v/>
      </c>
    </row>
    <row r="800" spans="3:5">
      <c r="C800" s="169" t="s">
        <v>146</v>
      </c>
      <c r="D800" s="169" t="s">
        <v>146</v>
      </c>
      <c r="E800" s="169" t="str">
        <f t="shared" si="25"/>
        <v/>
      </c>
    </row>
    <row r="801" spans="3:5">
      <c r="C801" s="169" t="s">
        <v>146</v>
      </c>
      <c r="D801" s="169" t="s">
        <v>146</v>
      </c>
      <c r="E801" s="169" t="str">
        <f t="shared" si="25"/>
        <v/>
      </c>
    </row>
    <row r="802" spans="3:5">
      <c r="C802" s="169" t="s">
        <v>146</v>
      </c>
      <c r="D802" s="169" t="s">
        <v>146</v>
      </c>
      <c r="E802" s="169" t="str">
        <f t="shared" si="25"/>
        <v/>
      </c>
    </row>
    <row r="803" spans="3:5">
      <c r="C803" s="169" t="s">
        <v>146</v>
      </c>
      <c r="D803" s="169" t="s">
        <v>146</v>
      </c>
      <c r="E803" s="169" t="str">
        <f t="shared" si="25"/>
        <v/>
      </c>
    </row>
    <row r="804" spans="3:5">
      <c r="C804" s="169" t="s">
        <v>146</v>
      </c>
      <c r="D804" s="169" t="s">
        <v>146</v>
      </c>
      <c r="E804" s="169" t="str">
        <f t="shared" si="25"/>
        <v/>
      </c>
    </row>
    <row r="805" spans="3:5">
      <c r="C805" s="169" t="s">
        <v>146</v>
      </c>
      <c r="D805" s="169" t="s">
        <v>146</v>
      </c>
      <c r="E805" s="169" t="str">
        <f t="shared" si="25"/>
        <v/>
      </c>
    </row>
    <row r="806" spans="3:5">
      <c r="C806" s="169" t="s">
        <v>146</v>
      </c>
      <c r="D806" s="169" t="s">
        <v>146</v>
      </c>
      <c r="E806" s="169" t="str">
        <f t="shared" si="25"/>
        <v/>
      </c>
    </row>
    <row r="807" spans="3:5">
      <c r="C807" s="169" t="s">
        <v>146</v>
      </c>
      <c r="D807" s="169" t="s">
        <v>146</v>
      </c>
      <c r="E807" s="169" t="str">
        <f t="shared" si="25"/>
        <v/>
      </c>
    </row>
    <row r="808" spans="3:5">
      <c r="C808" s="169" t="s">
        <v>146</v>
      </c>
      <c r="D808" s="169" t="s">
        <v>146</v>
      </c>
      <c r="E808" s="169" t="str">
        <f t="shared" si="25"/>
        <v/>
      </c>
    </row>
    <row r="809" spans="3:5">
      <c r="C809" s="169" t="s">
        <v>146</v>
      </c>
      <c r="D809" s="169" t="s">
        <v>146</v>
      </c>
      <c r="E809" s="169" t="str">
        <f t="shared" si="25"/>
        <v/>
      </c>
    </row>
    <row r="810" spans="3:5">
      <c r="C810" s="169" t="s">
        <v>146</v>
      </c>
      <c r="D810" s="169" t="s">
        <v>146</v>
      </c>
      <c r="E810" s="169" t="str">
        <f t="shared" si="25"/>
        <v/>
      </c>
    </row>
    <row r="811" spans="3:5">
      <c r="C811" s="169" t="s">
        <v>146</v>
      </c>
      <c r="D811" s="169" t="s">
        <v>146</v>
      </c>
      <c r="E811" s="169" t="str">
        <f t="shared" si="25"/>
        <v/>
      </c>
    </row>
    <row r="812" spans="3:5">
      <c r="C812" s="169" t="s">
        <v>146</v>
      </c>
      <c r="D812" s="169" t="s">
        <v>146</v>
      </c>
      <c r="E812" s="169" t="str">
        <f t="shared" si="25"/>
        <v/>
      </c>
    </row>
    <row r="813" spans="3:5">
      <c r="C813" s="169" t="s">
        <v>146</v>
      </c>
      <c r="D813" s="169" t="s">
        <v>146</v>
      </c>
      <c r="E813" s="169" t="str">
        <f t="shared" si="25"/>
        <v/>
      </c>
    </row>
    <row r="814" spans="3:5">
      <c r="C814" s="169" t="s">
        <v>146</v>
      </c>
      <c r="D814" s="169" t="s">
        <v>146</v>
      </c>
      <c r="E814" s="169" t="str">
        <f t="shared" si="25"/>
        <v/>
      </c>
    </row>
    <row r="815" spans="3:5">
      <c r="C815" s="169" t="s">
        <v>146</v>
      </c>
      <c r="D815" s="169" t="s">
        <v>146</v>
      </c>
      <c r="E815" s="169" t="str">
        <f t="shared" si="25"/>
        <v/>
      </c>
    </row>
    <row r="816" spans="3:5">
      <c r="C816" s="169" t="s">
        <v>146</v>
      </c>
      <c r="D816" s="169" t="s">
        <v>146</v>
      </c>
      <c r="E816" s="169" t="str">
        <f t="shared" si="25"/>
        <v/>
      </c>
    </row>
    <row r="817" spans="3:5">
      <c r="C817" s="169" t="s">
        <v>146</v>
      </c>
      <c r="D817" s="169" t="s">
        <v>146</v>
      </c>
      <c r="E817" s="169" t="str">
        <f t="shared" si="25"/>
        <v/>
      </c>
    </row>
    <row r="818" spans="3:5">
      <c r="C818" s="169" t="s">
        <v>146</v>
      </c>
      <c r="D818" s="169" t="s">
        <v>146</v>
      </c>
      <c r="E818" s="169" t="str">
        <f t="shared" si="25"/>
        <v/>
      </c>
    </row>
    <row r="819" spans="3:5">
      <c r="C819" s="169" t="s">
        <v>146</v>
      </c>
      <c r="D819" s="169" t="s">
        <v>146</v>
      </c>
      <c r="E819" s="169" t="str">
        <f t="shared" si="25"/>
        <v/>
      </c>
    </row>
    <row r="820" spans="3:5">
      <c r="C820" s="169" t="s">
        <v>146</v>
      </c>
      <c r="D820" s="169" t="s">
        <v>146</v>
      </c>
      <c r="E820" s="169" t="str">
        <f t="shared" si="25"/>
        <v/>
      </c>
    </row>
    <row r="821" spans="3:5">
      <c r="C821" s="169" t="s">
        <v>146</v>
      </c>
      <c r="D821" s="169" t="s">
        <v>146</v>
      </c>
      <c r="E821" s="169" t="str">
        <f t="shared" si="25"/>
        <v/>
      </c>
    </row>
    <row r="822" spans="3:5">
      <c r="C822" s="169" t="s">
        <v>146</v>
      </c>
      <c r="D822" s="169" t="s">
        <v>146</v>
      </c>
      <c r="E822" s="169" t="str">
        <f t="shared" si="25"/>
        <v/>
      </c>
    </row>
    <row r="823" spans="3:5">
      <c r="C823" s="169" t="s">
        <v>146</v>
      </c>
      <c r="D823" s="169" t="s">
        <v>146</v>
      </c>
      <c r="E823" s="169" t="str">
        <f t="shared" si="25"/>
        <v/>
      </c>
    </row>
    <row r="824" spans="3:5">
      <c r="C824" s="169" t="s">
        <v>146</v>
      </c>
      <c r="D824" s="169" t="s">
        <v>146</v>
      </c>
      <c r="E824" s="169" t="str">
        <f t="shared" si="25"/>
        <v/>
      </c>
    </row>
    <row r="825" spans="3:5">
      <c r="C825" s="169" t="s">
        <v>146</v>
      </c>
      <c r="D825" s="169" t="s">
        <v>146</v>
      </c>
      <c r="E825" s="169" t="str">
        <f t="shared" si="25"/>
        <v/>
      </c>
    </row>
    <row r="826" spans="3:5">
      <c r="C826" s="169" t="s">
        <v>146</v>
      </c>
      <c r="D826" s="169" t="s">
        <v>146</v>
      </c>
      <c r="E826" s="169" t="str">
        <f t="shared" si="25"/>
        <v/>
      </c>
    </row>
    <row r="827" spans="3:5">
      <c r="C827" s="169" t="s">
        <v>146</v>
      </c>
      <c r="D827" s="169" t="s">
        <v>146</v>
      </c>
      <c r="E827" s="169" t="str">
        <f t="shared" si="25"/>
        <v/>
      </c>
    </row>
    <row r="828" spans="3:5">
      <c r="C828" s="169" t="s">
        <v>146</v>
      </c>
      <c r="D828" s="169" t="s">
        <v>146</v>
      </c>
      <c r="E828" s="169" t="str">
        <f t="shared" si="25"/>
        <v/>
      </c>
    </row>
    <row r="829" spans="3:5">
      <c r="C829" s="169" t="s">
        <v>146</v>
      </c>
      <c r="D829" s="169" t="s">
        <v>146</v>
      </c>
      <c r="E829" s="169" t="str">
        <f t="shared" si="25"/>
        <v/>
      </c>
    </row>
    <row r="830" spans="3:5">
      <c r="C830" s="169" t="s">
        <v>146</v>
      </c>
      <c r="D830" s="169" t="s">
        <v>146</v>
      </c>
      <c r="E830" s="169" t="str">
        <f t="shared" si="25"/>
        <v/>
      </c>
    </row>
    <row r="831" spans="3:5">
      <c r="C831" s="169" t="s">
        <v>146</v>
      </c>
      <c r="D831" s="169" t="s">
        <v>146</v>
      </c>
      <c r="E831" s="169" t="str">
        <f t="shared" si="25"/>
        <v/>
      </c>
    </row>
    <row r="832" spans="3:5">
      <c r="C832" s="169" t="s">
        <v>146</v>
      </c>
      <c r="D832" s="169" t="s">
        <v>146</v>
      </c>
      <c r="E832" s="169" t="str">
        <f t="shared" si="25"/>
        <v/>
      </c>
    </row>
    <row r="833" spans="3:5">
      <c r="C833" s="169" t="s">
        <v>146</v>
      </c>
      <c r="D833" s="169" t="s">
        <v>146</v>
      </c>
      <c r="E833" s="169" t="str">
        <f t="shared" si="25"/>
        <v/>
      </c>
    </row>
    <row r="834" spans="3:5">
      <c r="C834" s="169" t="s">
        <v>146</v>
      </c>
      <c r="D834" s="169" t="s">
        <v>146</v>
      </c>
      <c r="E834" s="169" t="str">
        <f t="shared" si="25"/>
        <v/>
      </c>
    </row>
    <row r="835" spans="3:5">
      <c r="C835" s="169" t="s">
        <v>146</v>
      </c>
      <c r="D835" s="169" t="s">
        <v>146</v>
      </c>
      <c r="E835" s="169" t="str">
        <f t="shared" si="25"/>
        <v/>
      </c>
    </row>
    <row r="836" spans="3:5">
      <c r="C836" s="169" t="s">
        <v>146</v>
      </c>
      <c r="D836" s="169" t="s">
        <v>146</v>
      </c>
      <c r="E836" s="169" t="str">
        <f t="shared" ref="E836:E899" si="26">IF(C836&lt;D836,C836,D836)</f>
        <v/>
      </c>
    </row>
    <row r="837" spans="3:5">
      <c r="C837" s="169" t="s">
        <v>146</v>
      </c>
      <c r="D837" s="169" t="s">
        <v>146</v>
      </c>
      <c r="E837" s="169" t="str">
        <f t="shared" si="26"/>
        <v/>
      </c>
    </row>
    <row r="838" spans="3:5">
      <c r="C838" s="169" t="s">
        <v>146</v>
      </c>
      <c r="D838" s="169" t="s">
        <v>146</v>
      </c>
      <c r="E838" s="169" t="str">
        <f t="shared" si="26"/>
        <v/>
      </c>
    </row>
    <row r="839" spans="3:5">
      <c r="C839" s="169" t="s">
        <v>146</v>
      </c>
      <c r="D839" s="169" t="s">
        <v>146</v>
      </c>
      <c r="E839" s="169" t="str">
        <f t="shared" si="26"/>
        <v/>
      </c>
    </row>
    <row r="840" spans="3:5">
      <c r="C840" s="169" t="s">
        <v>146</v>
      </c>
      <c r="D840" s="169" t="s">
        <v>146</v>
      </c>
      <c r="E840" s="169" t="str">
        <f t="shared" si="26"/>
        <v/>
      </c>
    </row>
    <row r="841" spans="3:5">
      <c r="C841" s="169" t="s">
        <v>146</v>
      </c>
      <c r="D841" s="169" t="s">
        <v>146</v>
      </c>
      <c r="E841" s="169" t="str">
        <f t="shared" si="26"/>
        <v/>
      </c>
    </row>
    <row r="842" spans="3:5">
      <c r="C842" s="169" t="s">
        <v>146</v>
      </c>
      <c r="D842" s="169" t="s">
        <v>146</v>
      </c>
      <c r="E842" s="169" t="str">
        <f t="shared" si="26"/>
        <v/>
      </c>
    </row>
    <row r="843" spans="3:5">
      <c r="C843" s="169" t="s">
        <v>146</v>
      </c>
      <c r="D843" s="169" t="s">
        <v>146</v>
      </c>
      <c r="E843" s="169" t="str">
        <f t="shared" si="26"/>
        <v/>
      </c>
    </row>
    <row r="844" spans="3:5">
      <c r="C844" s="169" t="s">
        <v>146</v>
      </c>
      <c r="D844" s="169" t="s">
        <v>146</v>
      </c>
      <c r="E844" s="169" t="str">
        <f t="shared" si="26"/>
        <v/>
      </c>
    </row>
    <row r="845" spans="3:5">
      <c r="C845" s="169" t="s">
        <v>146</v>
      </c>
      <c r="D845" s="169" t="s">
        <v>146</v>
      </c>
      <c r="E845" s="169" t="str">
        <f t="shared" si="26"/>
        <v/>
      </c>
    </row>
    <row r="846" spans="3:5">
      <c r="C846" s="169" t="s">
        <v>146</v>
      </c>
      <c r="D846" s="169" t="s">
        <v>146</v>
      </c>
      <c r="E846" s="169" t="str">
        <f t="shared" si="26"/>
        <v/>
      </c>
    </row>
    <row r="847" spans="3:5">
      <c r="C847" s="169" t="s">
        <v>146</v>
      </c>
      <c r="D847" s="169" t="s">
        <v>146</v>
      </c>
      <c r="E847" s="169" t="str">
        <f t="shared" si="26"/>
        <v/>
      </c>
    </row>
    <row r="848" spans="3:5">
      <c r="C848" s="169" t="s">
        <v>146</v>
      </c>
      <c r="D848" s="169" t="s">
        <v>146</v>
      </c>
      <c r="E848" s="169" t="str">
        <f t="shared" si="26"/>
        <v/>
      </c>
    </row>
    <row r="849" spans="3:5">
      <c r="C849" s="169" t="s">
        <v>146</v>
      </c>
      <c r="D849" s="169" t="s">
        <v>146</v>
      </c>
      <c r="E849" s="169" t="str">
        <f t="shared" si="26"/>
        <v/>
      </c>
    </row>
    <row r="850" spans="3:5">
      <c r="C850" s="169" t="s">
        <v>146</v>
      </c>
      <c r="D850" s="169" t="s">
        <v>146</v>
      </c>
      <c r="E850" s="169" t="str">
        <f t="shared" si="26"/>
        <v/>
      </c>
    </row>
    <row r="851" spans="3:5">
      <c r="C851" s="169" t="s">
        <v>146</v>
      </c>
      <c r="D851" s="169" t="s">
        <v>146</v>
      </c>
      <c r="E851" s="169" t="str">
        <f t="shared" si="26"/>
        <v/>
      </c>
    </row>
    <row r="852" spans="3:5">
      <c r="C852" s="169" t="s">
        <v>146</v>
      </c>
      <c r="D852" s="169" t="s">
        <v>146</v>
      </c>
      <c r="E852" s="169" t="str">
        <f t="shared" si="26"/>
        <v/>
      </c>
    </row>
    <row r="853" spans="3:5">
      <c r="C853" s="169" t="s">
        <v>146</v>
      </c>
      <c r="D853" s="169" t="s">
        <v>146</v>
      </c>
      <c r="E853" s="169" t="str">
        <f t="shared" si="26"/>
        <v/>
      </c>
    </row>
    <row r="854" spans="3:5">
      <c r="C854" s="169" t="s">
        <v>146</v>
      </c>
      <c r="D854" s="169" t="s">
        <v>146</v>
      </c>
      <c r="E854" s="169" t="str">
        <f t="shared" si="26"/>
        <v/>
      </c>
    </row>
    <row r="855" spans="3:5">
      <c r="C855" s="169" t="s">
        <v>146</v>
      </c>
      <c r="D855" s="169" t="s">
        <v>146</v>
      </c>
      <c r="E855" s="169" t="str">
        <f t="shared" si="26"/>
        <v/>
      </c>
    </row>
    <row r="856" spans="3:5">
      <c r="C856" s="169" t="s">
        <v>146</v>
      </c>
      <c r="D856" s="169" t="s">
        <v>146</v>
      </c>
      <c r="E856" s="169" t="str">
        <f t="shared" si="26"/>
        <v/>
      </c>
    </row>
    <row r="857" spans="3:5">
      <c r="C857" s="169" t="s">
        <v>146</v>
      </c>
      <c r="D857" s="169" t="s">
        <v>146</v>
      </c>
      <c r="E857" s="169" t="str">
        <f t="shared" si="26"/>
        <v/>
      </c>
    </row>
    <row r="858" spans="3:5">
      <c r="C858" s="169" t="s">
        <v>146</v>
      </c>
      <c r="D858" s="169" t="s">
        <v>146</v>
      </c>
      <c r="E858" s="169" t="str">
        <f t="shared" si="26"/>
        <v/>
      </c>
    </row>
    <row r="859" spans="3:5">
      <c r="C859" s="169" t="s">
        <v>146</v>
      </c>
      <c r="D859" s="169" t="s">
        <v>146</v>
      </c>
      <c r="E859" s="169" t="str">
        <f t="shared" si="26"/>
        <v/>
      </c>
    </row>
    <row r="860" spans="3:5">
      <c r="C860" s="169" t="s">
        <v>146</v>
      </c>
      <c r="D860" s="169" t="s">
        <v>146</v>
      </c>
      <c r="E860" s="169" t="str">
        <f t="shared" si="26"/>
        <v/>
      </c>
    </row>
    <row r="861" spans="3:5">
      <c r="C861" s="169" t="s">
        <v>146</v>
      </c>
      <c r="D861" s="169" t="s">
        <v>146</v>
      </c>
      <c r="E861" s="169" t="str">
        <f t="shared" si="26"/>
        <v/>
      </c>
    </row>
    <row r="862" spans="3:5">
      <c r="C862" s="169" t="s">
        <v>146</v>
      </c>
      <c r="D862" s="169" t="s">
        <v>146</v>
      </c>
      <c r="E862" s="169" t="str">
        <f t="shared" si="26"/>
        <v/>
      </c>
    </row>
    <row r="863" spans="3:5">
      <c r="C863" s="169" t="s">
        <v>146</v>
      </c>
      <c r="D863" s="169" t="s">
        <v>146</v>
      </c>
      <c r="E863" s="169" t="str">
        <f t="shared" si="26"/>
        <v/>
      </c>
    </row>
    <row r="864" spans="3:5">
      <c r="C864" s="169" t="s">
        <v>146</v>
      </c>
      <c r="D864" s="169" t="s">
        <v>146</v>
      </c>
      <c r="E864" s="169" t="str">
        <f t="shared" si="26"/>
        <v/>
      </c>
    </row>
    <row r="865" spans="3:5">
      <c r="C865" s="169" t="s">
        <v>146</v>
      </c>
      <c r="D865" s="169" t="s">
        <v>146</v>
      </c>
      <c r="E865" s="169" t="str">
        <f t="shared" si="26"/>
        <v/>
      </c>
    </row>
    <row r="866" spans="3:5">
      <c r="C866" s="169" t="s">
        <v>146</v>
      </c>
      <c r="D866" s="169" t="s">
        <v>146</v>
      </c>
      <c r="E866" s="169" t="str">
        <f t="shared" si="26"/>
        <v/>
      </c>
    </row>
    <row r="867" spans="3:5">
      <c r="C867" s="169" t="s">
        <v>146</v>
      </c>
      <c r="D867" s="169" t="s">
        <v>146</v>
      </c>
      <c r="E867" s="169" t="str">
        <f t="shared" si="26"/>
        <v/>
      </c>
    </row>
    <row r="868" spans="3:5">
      <c r="C868" s="169" t="s">
        <v>146</v>
      </c>
      <c r="D868" s="169" t="s">
        <v>146</v>
      </c>
      <c r="E868" s="169" t="str">
        <f t="shared" si="26"/>
        <v/>
      </c>
    </row>
    <row r="869" spans="3:5">
      <c r="C869" s="169" t="s">
        <v>146</v>
      </c>
      <c r="D869" s="169" t="s">
        <v>146</v>
      </c>
      <c r="E869" s="169" t="str">
        <f t="shared" si="26"/>
        <v/>
      </c>
    </row>
    <row r="870" spans="3:5">
      <c r="C870" s="169" t="s">
        <v>146</v>
      </c>
      <c r="D870" s="169" t="s">
        <v>146</v>
      </c>
      <c r="E870" s="169" t="str">
        <f t="shared" si="26"/>
        <v/>
      </c>
    </row>
    <row r="871" spans="3:5">
      <c r="C871" s="169" t="s">
        <v>146</v>
      </c>
      <c r="D871" s="169" t="s">
        <v>146</v>
      </c>
      <c r="E871" s="169" t="str">
        <f t="shared" si="26"/>
        <v/>
      </c>
    </row>
    <row r="872" spans="3:5">
      <c r="C872" s="169" t="s">
        <v>146</v>
      </c>
      <c r="D872" s="169" t="s">
        <v>146</v>
      </c>
      <c r="E872" s="169" t="str">
        <f t="shared" si="26"/>
        <v/>
      </c>
    </row>
    <row r="873" spans="3:5">
      <c r="C873" s="169" t="s">
        <v>146</v>
      </c>
      <c r="D873" s="169" t="s">
        <v>146</v>
      </c>
      <c r="E873" s="169" t="str">
        <f t="shared" si="26"/>
        <v/>
      </c>
    </row>
    <row r="874" spans="3:5">
      <c r="C874" s="169" t="s">
        <v>146</v>
      </c>
      <c r="D874" s="169" t="s">
        <v>146</v>
      </c>
      <c r="E874" s="169" t="str">
        <f t="shared" si="26"/>
        <v/>
      </c>
    </row>
    <row r="875" spans="3:5">
      <c r="C875" s="169" t="s">
        <v>146</v>
      </c>
      <c r="D875" s="169" t="s">
        <v>146</v>
      </c>
      <c r="E875" s="169" t="str">
        <f t="shared" si="26"/>
        <v/>
      </c>
    </row>
    <row r="876" spans="3:5">
      <c r="C876" s="169" t="s">
        <v>146</v>
      </c>
      <c r="D876" s="169" t="s">
        <v>146</v>
      </c>
      <c r="E876" s="169" t="str">
        <f t="shared" si="26"/>
        <v/>
      </c>
    </row>
    <row r="877" spans="3:5">
      <c r="C877" s="169" t="s">
        <v>146</v>
      </c>
      <c r="D877" s="169" t="s">
        <v>146</v>
      </c>
      <c r="E877" s="169" t="str">
        <f t="shared" si="26"/>
        <v/>
      </c>
    </row>
    <row r="878" spans="3:5">
      <c r="C878" s="169" t="s">
        <v>146</v>
      </c>
      <c r="D878" s="169" t="s">
        <v>146</v>
      </c>
      <c r="E878" s="169" t="str">
        <f t="shared" si="26"/>
        <v/>
      </c>
    </row>
    <row r="879" spans="3:5">
      <c r="C879" s="169" t="s">
        <v>146</v>
      </c>
      <c r="D879" s="169" t="s">
        <v>146</v>
      </c>
      <c r="E879" s="169" t="str">
        <f t="shared" si="26"/>
        <v/>
      </c>
    </row>
    <row r="880" spans="3:5">
      <c r="C880" s="169" t="s">
        <v>146</v>
      </c>
      <c r="D880" s="169" t="s">
        <v>146</v>
      </c>
      <c r="E880" s="169" t="str">
        <f t="shared" si="26"/>
        <v/>
      </c>
    </row>
    <row r="881" spans="3:5">
      <c r="C881" s="169" t="s">
        <v>146</v>
      </c>
      <c r="D881" s="169" t="s">
        <v>146</v>
      </c>
      <c r="E881" s="169" t="str">
        <f t="shared" si="26"/>
        <v/>
      </c>
    </row>
    <row r="882" spans="3:5">
      <c r="C882" s="169" t="s">
        <v>146</v>
      </c>
      <c r="D882" s="169" t="s">
        <v>146</v>
      </c>
      <c r="E882" s="169" t="str">
        <f t="shared" si="26"/>
        <v/>
      </c>
    </row>
    <row r="883" spans="3:5">
      <c r="C883" s="169" t="s">
        <v>146</v>
      </c>
      <c r="D883" s="169" t="s">
        <v>146</v>
      </c>
      <c r="E883" s="169" t="str">
        <f t="shared" si="26"/>
        <v/>
      </c>
    </row>
    <row r="884" spans="3:5">
      <c r="C884" s="169" t="s">
        <v>146</v>
      </c>
      <c r="D884" s="169" t="s">
        <v>146</v>
      </c>
      <c r="E884" s="169" t="str">
        <f t="shared" si="26"/>
        <v/>
      </c>
    </row>
    <row r="885" spans="3:5">
      <c r="C885" s="169" t="s">
        <v>146</v>
      </c>
      <c r="D885" s="169" t="s">
        <v>146</v>
      </c>
      <c r="E885" s="169" t="str">
        <f t="shared" si="26"/>
        <v/>
      </c>
    </row>
    <row r="886" spans="3:5">
      <c r="C886" s="169" t="s">
        <v>146</v>
      </c>
      <c r="D886" s="169" t="s">
        <v>146</v>
      </c>
      <c r="E886" s="169" t="str">
        <f t="shared" si="26"/>
        <v/>
      </c>
    </row>
    <row r="887" spans="3:5">
      <c r="C887" s="169" t="s">
        <v>146</v>
      </c>
      <c r="D887" s="169" t="s">
        <v>146</v>
      </c>
      <c r="E887" s="169" t="str">
        <f t="shared" si="26"/>
        <v/>
      </c>
    </row>
    <row r="888" spans="3:5">
      <c r="C888" s="169" t="s">
        <v>146</v>
      </c>
      <c r="D888" s="169" t="s">
        <v>146</v>
      </c>
      <c r="E888" s="169" t="str">
        <f t="shared" si="26"/>
        <v/>
      </c>
    </row>
    <row r="889" spans="3:5">
      <c r="C889" s="169" t="s">
        <v>146</v>
      </c>
      <c r="D889" s="169" t="s">
        <v>146</v>
      </c>
      <c r="E889" s="169" t="str">
        <f t="shared" si="26"/>
        <v/>
      </c>
    </row>
    <row r="890" spans="3:5">
      <c r="C890" s="169" t="s">
        <v>146</v>
      </c>
      <c r="D890" s="169" t="s">
        <v>146</v>
      </c>
      <c r="E890" s="169" t="str">
        <f t="shared" si="26"/>
        <v/>
      </c>
    </row>
    <row r="891" spans="3:5">
      <c r="C891" s="169" t="s">
        <v>146</v>
      </c>
      <c r="D891" s="169" t="s">
        <v>146</v>
      </c>
      <c r="E891" s="169" t="str">
        <f t="shared" si="26"/>
        <v/>
      </c>
    </row>
    <row r="892" spans="3:5">
      <c r="C892" s="169" t="s">
        <v>146</v>
      </c>
      <c r="D892" s="169" t="s">
        <v>146</v>
      </c>
      <c r="E892" s="169" t="str">
        <f t="shared" si="26"/>
        <v/>
      </c>
    </row>
    <row r="893" spans="3:5">
      <c r="C893" s="169" t="s">
        <v>146</v>
      </c>
      <c r="D893" s="169" t="s">
        <v>146</v>
      </c>
      <c r="E893" s="169" t="str">
        <f t="shared" si="26"/>
        <v/>
      </c>
    </row>
    <row r="894" spans="3:5">
      <c r="C894" s="169" t="s">
        <v>146</v>
      </c>
      <c r="D894" s="169" t="s">
        <v>146</v>
      </c>
      <c r="E894" s="169" t="str">
        <f t="shared" si="26"/>
        <v/>
      </c>
    </row>
    <row r="895" spans="3:5">
      <c r="C895" s="169" t="s">
        <v>146</v>
      </c>
      <c r="D895" s="169" t="s">
        <v>146</v>
      </c>
      <c r="E895" s="169" t="str">
        <f t="shared" si="26"/>
        <v/>
      </c>
    </row>
    <row r="896" spans="3:5">
      <c r="C896" s="169" t="s">
        <v>146</v>
      </c>
      <c r="D896" s="169" t="s">
        <v>146</v>
      </c>
      <c r="E896" s="169" t="str">
        <f t="shared" si="26"/>
        <v/>
      </c>
    </row>
    <row r="897" spans="3:5">
      <c r="C897" s="169" t="s">
        <v>146</v>
      </c>
      <c r="D897" s="169" t="s">
        <v>146</v>
      </c>
      <c r="E897" s="169" t="str">
        <f t="shared" si="26"/>
        <v/>
      </c>
    </row>
    <row r="898" spans="3:5">
      <c r="C898" s="169" t="s">
        <v>146</v>
      </c>
      <c r="D898" s="169" t="s">
        <v>146</v>
      </c>
      <c r="E898" s="169" t="str">
        <f t="shared" si="26"/>
        <v/>
      </c>
    </row>
    <row r="899" spans="3:5">
      <c r="C899" s="169" t="s">
        <v>146</v>
      </c>
      <c r="D899" s="169" t="s">
        <v>146</v>
      </c>
      <c r="E899" s="169" t="str">
        <f t="shared" si="26"/>
        <v/>
      </c>
    </row>
    <row r="900" spans="3:5">
      <c r="C900" s="169" t="s">
        <v>146</v>
      </c>
      <c r="D900" s="169" t="s">
        <v>146</v>
      </c>
      <c r="E900" s="169" t="str">
        <f t="shared" ref="E900:E963" si="27">IF(C900&lt;D900,C900,D900)</f>
        <v/>
      </c>
    </row>
    <row r="901" spans="3:5">
      <c r="C901" s="169" t="s">
        <v>146</v>
      </c>
      <c r="D901" s="169" t="s">
        <v>146</v>
      </c>
      <c r="E901" s="169" t="str">
        <f t="shared" si="27"/>
        <v/>
      </c>
    </row>
    <row r="902" spans="3:5">
      <c r="C902" s="169" t="s">
        <v>146</v>
      </c>
      <c r="D902" s="169" t="s">
        <v>146</v>
      </c>
      <c r="E902" s="169" t="str">
        <f t="shared" si="27"/>
        <v/>
      </c>
    </row>
    <row r="903" spans="3:5">
      <c r="C903" s="169" t="s">
        <v>146</v>
      </c>
      <c r="D903" s="169" t="s">
        <v>146</v>
      </c>
      <c r="E903" s="169" t="str">
        <f t="shared" si="27"/>
        <v/>
      </c>
    </row>
    <row r="904" spans="3:5">
      <c r="C904" s="169" t="s">
        <v>146</v>
      </c>
      <c r="D904" s="169" t="s">
        <v>146</v>
      </c>
      <c r="E904" s="169" t="str">
        <f t="shared" si="27"/>
        <v/>
      </c>
    </row>
    <row r="905" spans="3:5">
      <c r="C905" s="169" t="s">
        <v>146</v>
      </c>
      <c r="D905" s="169" t="s">
        <v>146</v>
      </c>
      <c r="E905" s="169" t="str">
        <f t="shared" si="27"/>
        <v/>
      </c>
    </row>
    <row r="906" spans="3:5">
      <c r="C906" s="169" t="s">
        <v>146</v>
      </c>
      <c r="D906" s="169" t="s">
        <v>146</v>
      </c>
      <c r="E906" s="169" t="str">
        <f t="shared" si="27"/>
        <v/>
      </c>
    </row>
    <row r="907" spans="3:5">
      <c r="C907" s="169" t="s">
        <v>146</v>
      </c>
      <c r="D907" s="169" t="s">
        <v>146</v>
      </c>
      <c r="E907" s="169" t="str">
        <f t="shared" si="27"/>
        <v/>
      </c>
    </row>
    <row r="908" spans="3:5">
      <c r="C908" s="169" t="s">
        <v>146</v>
      </c>
      <c r="D908" s="169" t="s">
        <v>146</v>
      </c>
      <c r="E908" s="169" t="str">
        <f t="shared" si="27"/>
        <v/>
      </c>
    </row>
    <row r="909" spans="3:5">
      <c r="C909" s="169" t="s">
        <v>146</v>
      </c>
      <c r="D909" s="169" t="s">
        <v>146</v>
      </c>
      <c r="E909" s="169" t="str">
        <f t="shared" si="27"/>
        <v/>
      </c>
    </row>
    <row r="910" spans="3:5">
      <c r="C910" s="169" t="s">
        <v>146</v>
      </c>
      <c r="D910" s="169" t="s">
        <v>146</v>
      </c>
      <c r="E910" s="169" t="str">
        <f t="shared" si="27"/>
        <v/>
      </c>
    </row>
    <row r="911" spans="3:5">
      <c r="C911" s="169" t="s">
        <v>146</v>
      </c>
      <c r="D911" s="169" t="s">
        <v>146</v>
      </c>
      <c r="E911" s="169" t="str">
        <f t="shared" si="27"/>
        <v/>
      </c>
    </row>
    <row r="912" spans="3:5">
      <c r="C912" s="169" t="s">
        <v>146</v>
      </c>
      <c r="D912" s="169" t="s">
        <v>146</v>
      </c>
      <c r="E912" s="169" t="str">
        <f t="shared" si="27"/>
        <v/>
      </c>
    </row>
    <row r="913" spans="3:5">
      <c r="C913" s="169" t="s">
        <v>146</v>
      </c>
      <c r="D913" s="169" t="s">
        <v>146</v>
      </c>
      <c r="E913" s="169" t="str">
        <f t="shared" si="27"/>
        <v/>
      </c>
    </row>
    <row r="914" spans="3:5">
      <c r="C914" s="169" t="s">
        <v>146</v>
      </c>
      <c r="D914" s="169" t="s">
        <v>146</v>
      </c>
      <c r="E914" s="169" t="str">
        <f t="shared" si="27"/>
        <v/>
      </c>
    </row>
    <row r="915" spans="3:5">
      <c r="C915" s="169" t="s">
        <v>146</v>
      </c>
      <c r="D915" s="169" t="s">
        <v>146</v>
      </c>
      <c r="E915" s="169" t="str">
        <f t="shared" si="27"/>
        <v/>
      </c>
    </row>
    <row r="916" spans="3:5">
      <c r="C916" s="169" t="s">
        <v>146</v>
      </c>
      <c r="D916" s="169" t="s">
        <v>146</v>
      </c>
      <c r="E916" s="169" t="str">
        <f t="shared" si="27"/>
        <v/>
      </c>
    </row>
    <row r="917" spans="3:5">
      <c r="C917" s="169" t="s">
        <v>146</v>
      </c>
      <c r="D917" s="169" t="s">
        <v>146</v>
      </c>
      <c r="E917" s="169" t="str">
        <f t="shared" si="27"/>
        <v/>
      </c>
    </row>
    <row r="918" spans="3:5">
      <c r="C918" s="169" t="s">
        <v>146</v>
      </c>
      <c r="D918" s="169" t="s">
        <v>146</v>
      </c>
      <c r="E918" s="169" t="str">
        <f t="shared" si="27"/>
        <v/>
      </c>
    </row>
    <row r="919" spans="3:5">
      <c r="C919" s="169" t="s">
        <v>146</v>
      </c>
      <c r="D919" s="169" t="s">
        <v>146</v>
      </c>
      <c r="E919" s="169" t="str">
        <f t="shared" si="27"/>
        <v/>
      </c>
    </row>
    <row r="920" spans="3:5">
      <c r="C920" s="169" t="s">
        <v>146</v>
      </c>
      <c r="D920" s="169" t="s">
        <v>146</v>
      </c>
      <c r="E920" s="169" t="str">
        <f t="shared" si="27"/>
        <v/>
      </c>
    </row>
    <row r="921" spans="3:5">
      <c r="C921" s="169" t="s">
        <v>146</v>
      </c>
      <c r="D921" s="169" t="s">
        <v>146</v>
      </c>
      <c r="E921" s="169" t="str">
        <f t="shared" si="27"/>
        <v/>
      </c>
    </row>
    <row r="922" spans="3:5">
      <c r="C922" s="169" t="s">
        <v>146</v>
      </c>
      <c r="D922" s="169" t="s">
        <v>146</v>
      </c>
      <c r="E922" s="169" t="str">
        <f t="shared" si="27"/>
        <v/>
      </c>
    </row>
    <row r="923" spans="3:5">
      <c r="C923" s="169" t="s">
        <v>146</v>
      </c>
      <c r="D923" s="169" t="s">
        <v>146</v>
      </c>
      <c r="E923" s="169" t="str">
        <f t="shared" si="27"/>
        <v/>
      </c>
    </row>
    <row r="924" spans="3:5">
      <c r="C924" s="169" t="s">
        <v>146</v>
      </c>
      <c r="D924" s="169" t="s">
        <v>146</v>
      </c>
      <c r="E924" s="169" t="str">
        <f t="shared" si="27"/>
        <v/>
      </c>
    </row>
    <row r="925" spans="3:5">
      <c r="C925" s="169" t="s">
        <v>146</v>
      </c>
      <c r="D925" s="169" t="s">
        <v>146</v>
      </c>
      <c r="E925" s="169" t="str">
        <f t="shared" si="27"/>
        <v/>
      </c>
    </row>
    <row r="926" spans="3:5">
      <c r="C926" s="169" t="s">
        <v>146</v>
      </c>
      <c r="D926" s="169" t="s">
        <v>146</v>
      </c>
      <c r="E926" s="169" t="str">
        <f t="shared" si="27"/>
        <v/>
      </c>
    </row>
    <row r="927" spans="3:5">
      <c r="C927" s="169" t="s">
        <v>146</v>
      </c>
      <c r="D927" s="169" t="s">
        <v>146</v>
      </c>
      <c r="E927" s="169" t="str">
        <f t="shared" si="27"/>
        <v/>
      </c>
    </row>
    <row r="928" spans="3:5">
      <c r="C928" s="169" t="s">
        <v>146</v>
      </c>
      <c r="D928" s="169" t="s">
        <v>146</v>
      </c>
      <c r="E928" s="169" t="str">
        <f t="shared" si="27"/>
        <v/>
      </c>
    </row>
    <row r="929" spans="3:5">
      <c r="C929" s="169" t="s">
        <v>146</v>
      </c>
      <c r="D929" s="169" t="s">
        <v>146</v>
      </c>
      <c r="E929" s="169" t="str">
        <f t="shared" si="27"/>
        <v/>
      </c>
    </row>
    <row r="930" spans="3:5">
      <c r="C930" s="169" t="s">
        <v>146</v>
      </c>
      <c r="D930" s="169" t="s">
        <v>146</v>
      </c>
      <c r="E930" s="169" t="str">
        <f t="shared" si="27"/>
        <v/>
      </c>
    </row>
    <row r="931" spans="3:5">
      <c r="C931" s="169" t="s">
        <v>146</v>
      </c>
      <c r="D931" s="169" t="s">
        <v>146</v>
      </c>
      <c r="E931" s="169" t="str">
        <f t="shared" si="27"/>
        <v/>
      </c>
    </row>
    <row r="932" spans="3:5">
      <c r="C932" s="169" t="s">
        <v>146</v>
      </c>
      <c r="D932" s="169" t="s">
        <v>146</v>
      </c>
      <c r="E932" s="169" t="str">
        <f t="shared" si="27"/>
        <v/>
      </c>
    </row>
    <row r="933" spans="3:5">
      <c r="C933" s="169" t="s">
        <v>146</v>
      </c>
      <c r="D933" s="169" t="s">
        <v>146</v>
      </c>
      <c r="E933" s="169" t="str">
        <f t="shared" si="27"/>
        <v/>
      </c>
    </row>
    <row r="934" spans="3:5">
      <c r="C934" s="169" t="s">
        <v>146</v>
      </c>
      <c r="D934" s="169" t="s">
        <v>146</v>
      </c>
      <c r="E934" s="169" t="str">
        <f t="shared" si="27"/>
        <v/>
      </c>
    </row>
    <row r="935" spans="3:5">
      <c r="C935" s="169" t="s">
        <v>146</v>
      </c>
      <c r="D935" s="169" t="s">
        <v>146</v>
      </c>
      <c r="E935" s="169" t="str">
        <f t="shared" si="27"/>
        <v/>
      </c>
    </row>
    <row r="936" spans="3:5">
      <c r="C936" s="169" t="s">
        <v>146</v>
      </c>
      <c r="D936" s="169" t="s">
        <v>146</v>
      </c>
      <c r="E936" s="169" t="str">
        <f t="shared" si="27"/>
        <v/>
      </c>
    </row>
    <row r="937" spans="3:5">
      <c r="C937" s="169" t="s">
        <v>146</v>
      </c>
      <c r="D937" s="169" t="s">
        <v>146</v>
      </c>
      <c r="E937" s="169" t="str">
        <f t="shared" si="27"/>
        <v/>
      </c>
    </row>
    <row r="938" spans="3:5">
      <c r="C938" s="169" t="s">
        <v>146</v>
      </c>
      <c r="D938" s="169" t="s">
        <v>146</v>
      </c>
      <c r="E938" s="169" t="str">
        <f t="shared" si="27"/>
        <v/>
      </c>
    </row>
    <row r="939" spans="3:5">
      <c r="C939" s="169" t="s">
        <v>146</v>
      </c>
      <c r="D939" s="169" t="s">
        <v>146</v>
      </c>
      <c r="E939" s="169" t="str">
        <f t="shared" si="27"/>
        <v/>
      </c>
    </row>
    <row r="940" spans="3:5">
      <c r="C940" s="169" t="s">
        <v>146</v>
      </c>
      <c r="D940" s="169" t="s">
        <v>146</v>
      </c>
      <c r="E940" s="169" t="str">
        <f t="shared" si="27"/>
        <v/>
      </c>
    </row>
    <row r="941" spans="3:5">
      <c r="C941" s="169" t="s">
        <v>146</v>
      </c>
      <c r="D941" s="169" t="s">
        <v>146</v>
      </c>
      <c r="E941" s="169" t="str">
        <f t="shared" si="27"/>
        <v/>
      </c>
    </row>
    <row r="942" spans="3:5">
      <c r="C942" s="169" t="s">
        <v>146</v>
      </c>
      <c r="D942" s="169" t="s">
        <v>146</v>
      </c>
      <c r="E942" s="169" t="str">
        <f t="shared" si="27"/>
        <v/>
      </c>
    </row>
    <row r="943" spans="3:5">
      <c r="C943" s="169" t="s">
        <v>146</v>
      </c>
      <c r="D943" s="169" t="s">
        <v>146</v>
      </c>
      <c r="E943" s="169" t="str">
        <f t="shared" si="27"/>
        <v/>
      </c>
    </row>
    <row r="944" spans="3:5">
      <c r="C944" s="169" t="s">
        <v>146</v>
      </c>
      <c r="D944" s="169" t="s">
        <v>146</v>
      </c>
      <c r="E944" s="169" t="str">
        <f t="shared" si="27"/>
        <v/>
      </c>
    </row>
    <row r="945" spans="3:5">
      <c r="C945" s="169" t="s">
        <v>146</v>
      </c>
      <c r="D945" s="169" t="s">
        <v>146</v>
      </c>
      <c r="E945" s="169" t="str">
        <f t="shared" si="27"/>
        <v/>
      </c>
    </row>
    <row r="946" spans="3:5">
      <c r="C946" s="169" t="s">
        <v>146</v>
      </c>
      <c r="D946" s="169" t="s">
        <v>146</v>
      </c>
      <c r="E946" s="169" t="str">
        <f t="shared" si="27"/>
        <v/>
      </c>
    </row>
    <row r="947" spans="3:5">
      <c r="C947" s="169" t="s">
        <v>146</v>
      </c>
      <c r="D947" s="169" t="s">
        <v>146</v>
      </c>
      <c r="E947" s="169" t="str">
        <f t="shared" si="27"/>
        <v/>
      </c>
    </row>
    <row r="948" spans="3:5">
      <c r="C948" s="169" t="s">
        <v>146</v>
      </c>
      <c r="D948" s="169" t="s">
        <v>146</v>
      </c>
      <c r="E948" s="169" t="str">
        <f t="shared" si="27"/>
        <v/>
      </c>
    </row>
    <row r="949" spans="3:5">
      <c r="C949" s="169" t="s">
        <v>146</v>
      </c>
      <c r="D949" s="169" t="s">
        <v>146</v>
      </c>
      <c r="E949" s="169" t="str">
        <f t="shared" si="27"/>
        <v/>
      </c>
    </row>
    <row r="950" spans="3:5">
      <c r="C950" s="169" t="s">
        <v>146</v>
      </c>
      <c r="D950" s="169" t="s">
        <v>146</v>
      </c>
      <c r="E950" s="169" t="str">
        <f t="shared" si="27"/>
        <v/>
      </c>
    </row>
    <row r="951" spans="3:5">
      <c r="C951" s="169" t="s">
        <v>146</v>
      </c>
      <c r="D951" s="169" t="s">
        <v>146</v>
      </c>
      <c r="E951" s="169" t="str">
        <f t="shared" si="27"/>
        <v/>
      </c>
    </row>
    <row r="952" spans="3:5">
      <c r="C952" s="169" t="s">
        <v>146</v>
      </c>
      <c r="D952" s="169" t="s">
        <v>146</v>
      </c>
      <c r="E952" s="169" t="str">
        <f t="shared" si="27"/>
        <v/>
      </c>
    </row>
    <row r="953" spans="3:5">
      <c r="C953" s="169" t="s">
        <v>146</v>
      </c>
      <c r="D953" s="169" t="s">
        <v>146</v>
      </c>
      <c r="E953" s="169" t="str">
        <f t="shared" si="27"/>
        <v/>
      </c>
    </row>
    <row r="954" spans="3:5">
      <c r="C954" s="169" t="s">
        <v>146</v>
      </c>
      <c r="D954" s="169" t="s">
        <v>146</v>
      </c>
      <c r="E954" s="169" t="str">
        <f t="shared" si="27"/>
        <v/>
      </c>
    </row>
    <row r="955" spans="3:5">
      <c r="C955" s="169" t="s">
        <v>146</v>
      </c>
      <c r="D955" s="169" t="s">
        <v>146</v>
      </c>
      <c r="E955" s="169" t="str">
        <f t="shared" si="27"/>
        <v/>
      </c>
    </row>
    <row r="956" spans="3:5">
      <c r="C956" s="169" t="s">
        <v>146</v>
      </c>
      <c r="D956" s="169" t="s">
        <v>146</v>
      </c>
      <c r="E956" s="169" t="str">
        <f t="shared" si="27"/>
        <v/>
      </c>
    </row>
    <row r="957" spans="3:5">
      <c r="C957" s="169" t="s">
        <v>146</v>
      </c>
      <c r="D957" s="169" t="s">
        <v>146</v>
      </c>
      <c r="E957" s="169" t="str">
        <f t="shared" si="27"/>
        <v/>
      </c>
    </row>
    <row r="958" spans="3:5">
      <c r="C958" s="169" t="s">
        <v>146</v>
      </c>
      <c r="D958" s="169" t="s">
        <v>146</v>
      </c>
      <c r="E958" s="169" t="str">
        <f t="shared" si="27"/>
        <v/>
      </c>
    </row>
    <row r="959" spans="3:5">
      <c r="C959" s="169" t="s">
        <v>146</v>
      </c>
      <c r="D959" s="169" t="s">
        <v>146</v>
      </c>
      <c r="E959" s="169" t="str">
        <f t="shared" si="27"/>
        <v/>
      </c>
    </row>
    <row r="960" spans="3:5">
      <c r="C960" s="169" t="s">
        <v>146</v>
      </c>
      <c r="D960" s="169" t="s">
        <v>146</v>
      </c>
      <c r="E960" s="169" t="str">
        <f t="shared" si="27"/>
        <v/>
      </c>
    </row>
    <row r="961" spans="3:5">
      <c r="C961" s="169" t="s">
        <v>146</v>
      </c>
      <c r="D961" s="169" t="s">
        <v>146</v>
      </c>
      <c r="E961" s="169" t="str">
        <f t="shared" si="27"/>
        <v/>
      </c>
    </row>
    <row r="962" spans="3:5">
      <c r="C962" s="169" t="s">
        <v>146</v>
      </c>
      <c r="D962" s="169" t="s">
        <v>146</v>
      </c>
      <c r="E962" s="169" t="str">
        <f t="shared" si="27"/>
        <v/>
      </c>
    </row>
    <row r="963" spans="3:5">
      <c r="C963" s="169" t="s">
        <v>146</v>
      </c>
      <c r="D963" s="169" t="s">
        <v>146</v>
      </c>
      <c r="E963" s="169" t="str">
        <f t="shared" si="27"/>
        <v/>
      </c>
    </row>
    <row r="964" spans="3:5">
      <c r="C964" s="169" t="s">
        <v>146</v>
      </c>
      <c r="D964" s="169" t="s">
        <v>146</v>
      </c>
      <c r="E964" s="169" t="str">
        <f t="shared" ref="E964:E1027" si="28">IF(C964&lt;D964,C964,D964)</f>
        <v/>
      </c>
    </row>
    <row r="965" spans="3:5">
      <c r="C965" s="169" t="s">
        <v>146</v>
      </c>
      <c r="D965" s="169" t="s">
        <v>146</v>
      </c>
      <c r="E965" s="169" t="str">
        <f t="shared" si="28"/>
        <v/>
      </c>
    </row>
    <row r="966" spans="3:5">
      <c r="C966" s="169" t="s">
        <v>146</v>
      </c>
      <c r="D966" s="169" t="s">
        <v>146</v>
      </c>
      <c r="E966" s="169" t="str">
        <f t="shared" si="28"/>
        <v/>
      </c>
    </row>
    <row r="967" spans="3:5">
      <c r="C967" s="169" t="s">
        <v>146</v>
      </c>
      <c r="D967" s="169" t="s">
        <v>146</v>
      </c>
      <c r="E967" s="169" t="str">
        <f t="shared" si="28"/>
        <v/>
      </c>
    </row>
    <row r="968" spans="3:5">
      <c r="C968" s="169" t="s">
        <v>146</v>
      </c>
      <c r="D968" s="169" t="s">
        <v>146</v>
      </c>
      <c r="E968" s="169" t="str">
        <f t="shared" si="28"/>
        <v/>
      </c>
    </row>
    <row r="969" spans="3:5">
      <c r="C969" s="169" t="s">
        <v>146</v>
      </c>
      <c r="D969" s="169" t="s">
        <v>146</v>
      </c>
      <c r="E969" s="169" t="str">
        <f t="shared" si="28"/>
        <v/>
      </c>
    </row>
    <row r="970" spans="3:5">
      <c r="C970" s="169" t="s">
        <v>146</v>
      </c>
      <c r="D970" s="169" t="s">
        <v>146</v>
      </c>
      <c r="E970" s="169" t="str">
        <f t="shared" si="28"/>
        <v/>
      </c>
    </row>
    <row r="971" spans="3:5">
      <c r="C971" s="169" t="s">
        <v>146</v>
      </c>
      <c r="D971" s="169" t="s">
        <v>146</v>
      </c>
      <c r="E971" s="169" t="str">
        <f t="shared" si="28"/>
        <v/>
      </c>
    </row>
    <row r="972" spans="3:5">
      <c r="C972" s="169" t="s">
        <v>146</v>
      </c>
      <c r="D972" s="169" t="s">
        <v>146</v>
      </c>
      <c r="E972" s="169" t="str">
        <f t="shared" si="28"/>
        <v/>
      </c>
    </row>
    <row r="973" spans="3:5">
      <c r="C973" s="169" t="s">
        <v>146</v>
      </c>
      <c r="D973" s="169" t="s">
        <v>146</v>
      </c>
      <c r="E973" s="169" t="str">
        <f t="shared" si="28"/>
        <v/>
      </c>
    </row>
    <row r="974" spans="3:5">
      <c r="C974" s="169" t="s">
        <v>146</v>
      </c>
      <c r="D974" s="169" t="s">
        <v>146</v>
      </c>
      <c r="E974" s="169" t="str">
        <f t="shared" si="28"/>
        <v/>
      </c>
    </row>
    <row r="975" spans="3:5">
      <c r="C975" s="169" t="s">
        <v>146</v>
      </c>
      <c r="D975" s="169" t="s">
        <v>146</v>
      </c>
      <c r="E975" s="169" t="str">
        <f t="shared" si="28"/>
        <v/>
      </c>
    </row>
    <row r="976" spans="3:5">
      <c r="C976" s="169" t="s">
        <v>146</v>
      </c>
      <c r="D976" s="169" t="s">
        <v>146</v>
      </c>
      <c r="E976" s="169" t="str">
        <f t="shared" si="28"/>
        <v/>
      </c>
    </row>
    <row r="977" spans="3:5">
      <c r="C977" s="169" t="s">
        <v>146</v>
      </c>
      <c r="D977" s="169" t="s">
        <v>146</v>
      </c>
      <c r="E977" s="169" t="str">
        <f t="shared" si="28"/>
        <v/>
      </c>
    </row>
    <row r="978" spans="3:5">
      <c r="C978" s="169" t="s">
        <v>146</v>
      </c>
      <c r="D978" s="169" t="s">
        <v>146</v>
      </c>
      <c r="E978" s="169" t="str">
        <f t="shared" si="28"/>
        <v/>
      </c>
    </row>
    <row r="979" spans="3:5">
      <c r="C979" s="169" t="s">
        <v>146</v>
      </c>
      <c r="D979" s="169" t="s">
        <v>146</v>
      </c>
      <c r="E979" s="169" t="str">
        <f t="shared" si="28"/>
        <v/>
      </c>
    </row>
    <row r="980" spans="3:5">
      <c r="C980" s="169" t="s">
        <v>146</v>
      </c>
      <c r="D980" s="169" t="s">
        <v>146</v>
      </c>
      <c r="E980" s="169" t="str">
        <f t="shared" si="28"/>
        <v/>
      </c>
    </row>
    <row r="981" spans="3:5">
      <c r="C981" s="169" t="s">
        <v>146</v>
      </c>
      <c r="D981" s="169" t="s">
        <v>146</v>
      </c>
      <c r="E981" s="169" t="str">
        <f t="shared" si="28"/>
        <v/>
      </c>
    </row>
    <row r="982" spans="3:5">
      <c r="C982" s="169" t="s">
        <v>146</v>
      </c>
      <c r="D982" s="169" t="s">
        <v>146</v>
      </c>
      <c r="E982" s="169" t="str">
        <f t="shared" si="28"/>
        <v/>
      </c>
    </row>
    <row r="983" spans="3:5">
      <c r="C983" s="169" t="s">
        <v>146</v>
      </c>
      <c r="D983" s="169" t="s">
        <v>146</v>
      </c>
      <c r="E983" s="169" t="str">
        <f t="shared" si="28"/>
        <v/>
      </c>
    </row>
    <row r="984" spans="3:5">
      <c r="C984" s="169" t="s">
        <v>146</v>
      </c>
      <c r="D984" s="169" t="s">
        <v>146</v>
      </c>
      <c r="E984" s="169" t="str">
        <f t="shared" si="28"/>
        <v/>
      </c>
    </row>
    <row r="985" spans="3:5">
      <c r="C985" s="169" t="s">
        <v>146</v>
      </c>
      <c r="D985" s="169" t="s">
        <v>146</v>
      </c>
      <c r="E985" s="169" t="str">
        <f t="shared" si="28"/>
        <v/>
      </c>
    </row>
    <row r="986" spans="3:5">
      <c r="C986" s="169" t="s">
        <v>146</v>
      </c>
      <c r="D986" s="169" t="s">
        <v>146</v>
      </c>
      <c r="E986" s="169" t="str">
        <f t="shared" si="28"/>
        <v/>
      </c>
    </row>
    <row r="987" spans="3:5">
      <c r="C987" s="169" t="s">
        <v>146</v>
      </c>
      <c r="D987" s="169" t="s">
        <v>146</v>
      </c>
      <c r="E987" s="169" t="str">
        <f t="shared" si="28"/>
        <v/>
      </c>
    </row>
    <row r="988" spans="3:5">
      <c r="C988" s="169" t="s">
        <v>146</v>
      </c>
      <c r="D988" s="169" t="s">
        <v>146</v>
      </c>
      <c r="E988" s="169" t="str">
        <f t="shared" si="28"/>
        <v/>
      </c>
    </row>
    <row r="989" spans="3:5">
      <c r="C989" s="169" t="s">
        <v>146</v>
      </c>
      <c r="D989" s="169" t="s">
        <v>146</v>
      </c>
      <c r="E989" s="169" t="str">
        <f t="shared" si="28"/>
        <v/>
      </c>
    </row>
    <row r="990" spans="3:5">
      <c r="C990" s="169" t="s">
        <v>146</v>
      </c>
      <c r="D990" s="169" t="s">
        <v>146</v>
      </c>
      <c r="E990" s="169" t="str">
        <f t="shared" si="28"/>
        <v/>
      </c>
    </row>
    <row r="991" spans="3:5">
      <c r="C991" s="169" t="s">
        <v>146</v>
      </c>
      <c r="D991" s="169" t="s">
        <v>146</v>
      </c>
      <c r="E991" s="169" t="str">
        <f t="shared" si="28"/>
        <v/>
      </c>
    </row>
    <row r="992" spans="3:5">
      <c r="C992" s="169" t="s">
        <v>146</v>
      </c>
      <c r="D992" s="169" t="s">
        <v>146</v>
      </c>
      <c r="E992" s="169" t="str">
        <f t="shared" si="28"/>
        <v/>
      </c>
    </row>
    <row r="993" spans="3:5">
      <c r="C993" s="169" t="s">
        <v>146</v>
      </c>
      <c r="D993" s="169" t="s">
        <v>146</v>
      </c>
      <c r="E993" s="169" t="str">
        <f t="shared" si="28"/>
        <v/>
      </c>
    </row>
    <row r="994" spans="3:5">
      <c r="C994" s="169" t="s">
        <v>146</v>
      </c>
      <c r="D994" s="169" t="s">
        <v>146</v>
      </c>
      <c r="E994" s="169" t="str">
        <f t="shared" si="28"/>
        <v/>
      </c>
    </row>
    <row r="995" spans="3:5">
      <c r="C995" s="169" t="s">
        <v>146</v>
      </c>
      <c r="D995" s="169" t="s">
        <v>146</v>
      </c>
      <c r="E995" s="169" t="str">
        <f t="shared" si="28"/>
        <v/>
      </c>
    </row>
    <row r="996" spans="3:5">
      <c r="C996" s="169" t="s">
        <v>146</v>
      </c>
      <c r="D996" s="169" t="s">
        <v>146</v>
      </c>
      <c r="E996" s="169" t="str">
        <f t="shared" si="28"/>
        <v/>
      </c>
    </row>
    <row r="997" spans="3:5">
      <c r="C997" s="169" t="s">
        <v>146</v>
      </c>
      <c r="D997" s="169" t="s">
        <v>146</v>
      </c>
      <c r="E997" s="169" t="str">
        <f t="shared" si="28"/>
        <v/>
      </c>
    </row>
    <row r="998" spans="3:5">
      <c r="C998" s="169" t="s">
        <v>146</v>
      </c>
      <c r="D998" s="169" t="s">
        <v>146</v>
      </c>
      <c r="E998" s="169" t="str">
        <f t="shared" si="28"/>
        <v/>
      </c>
    </row>
    <row r="999" spans="3:5">
      <c r="C999" s="169" t="s">
        <v>146</v>
      </c>
      <c r="D999" s="169" t="s">
        <v>146</v>
      </c>
      <c r="E999" s="169" t="str">
        <f t="shared" si="28"/>
        <v/>
      </c>
    </row>
    <row r="1000" spans="3:5">
      <c r="C1000" s="169" t="s">
        <v>146</v>
      </c>
      <c r="D1000" s="169" t="s">
        <v>146</v>
      </c>
      <c r="E1000" s="169" t="str">
        <f t="shared" si="28"/>
        <v/>
      </c>
    </row>
    <row r="1001" spans="3:5">
      <c r="C1001" s="169" t="s">
        <v>146</v>
      </c>
      <c r="D1001" s="169" t="s">
        <v>146</v>
      </c>
      <c r="E1001" s="169" t="str">
        <f t="shared" si="28"/>
        <v/>
      </c>
    </row>
    <row r="1002" spans="3:5">
      <c r="C1002" s="169" t="s">
        <v>146</v>
      </c>
      <c r="D1002" s="169" t="s">
        <v>146</v>
      </c>
      <c r="E1002" s="169" t="str">
        <f t="shared" si="28"/>
        <v/>
      </c>
    </row>
    <row r="1003" spans="3:5">
      <c r="C1003" s="169" t="s">
        <v>146</v>
      </c>
      <c r="D1003" s="169" t="s">
        <v>146</v>
      </c>
      <c r="E1003" s="169" t="str">
        <f t="shared" si="28"/>
        <v/>
      </c>
    </row>
    <row r="1004" spans="3:5">
      <c r="C1004" s="169" t="s">
        <v>146</v>
      </c>
      <c r="D1004" s="169" t="s">
        <v>146</v>
      </c>
      <c r="E1004" s="169" t="str">
        <f t="shared" si="28"/>
        <v/>
      </c>
    </row>
    <row r="1005" spans="3:5">
      <c r="C1005" s="169" t="s">
        <v>146</v>
      </c>
      <c r="D1005" s="169" t="s">
        <v>146</v>
      </c>
      <c r="E1005" s="169" t="str">
        <f t="shared" si="28"/>
        <v/>
      </c>
    </row>
    <row r="1006" spans="3:5">
      <c r="C1006" s="169" t="s">
        <v>146</v>
      </c>
      <c r="D1006" s="169" t="s">
        <v>146</v>
      </c>
      <c r="E1006" s="169" t="str">
        <f t="shared" si="28"/>
        <v/>
      </c>
    </row>
    <row r="1007" spans="3:5">
      <c r="C1007" s="169" t="s">
        <v>146</v>
      </c>
      <c r="D1007" s="169" t="s">
        <v>146</v>
      </c>
      <c r="E1007" s="169" t="str">
        <f t="shared" si="28"/>
        <v/>
      </c>
    </row>
    <row r="1008" spans="3:5">
      <c r="C1008" s="169" t="s">
        <v>146</v>
      </c>
      <c r="D1008" s="169" t="s">
        <v>146</v>
      </c>
      <c r="E1008" s="169" t="str">
        <f t="shared" si="28"/>
        <v/>
      </c>
    </row>
    <row r="1009" spans="3:5">
      <c r="C1009" s="169" t="s">
        <v>146</v>
      </c>
      <c r="D1009" s="169" t="s">
        <v>146</v>
      </c>
      <c r="E1009" s="169" t="str">
        <f t="shared" si="28"/>
        <v/>
      </c>
    </row>
    <row r="1010" spans="3:5">
      <c r="C1010" s="169" t="s">
        <v>146</v>
      </c>
      <c r="D1010" s="169" t="s">
        <v>146</v>
      </c>
      <c r="E1010" s="169" t="str">
        <f t="shared" si="28"/>
        <v/>
      </c>
    </row>
    <row r="1011" spans="3:5">
      <c r="C1011" s="169" t="s">
        <v>146</v>
      </c>
      <c r="D1011" s="169" t="s">
        <v>146</v>
      </c>
      <c r="E1011" s="169" t="str">
        <f t="shared" si="28"/>
        <v/>
      </c>
    </row>
    <row r="1012" spans="3:5">
      <c r="C1012" s="169" t="s">
        <v>146</v>
      </c>
      <c r="D1012" s="169" t="s">
        <v>146</v>
      </c>
      <c r="E1012" s="169" t="str">
        <f t="shared" si="28"/>
        <v/>
      </c>
    </row>
    <row r="1013" spans="3:5">
      <c r="C1013" s="169" t="s">
        <v>146</v>
      </c>
      <c r="D1013" s="169" t="s">
        <v>146</v>
      </c>
      <c r="E1013" s="169" t="str">
        <f t="shared" si="28"/>
        <v/>
      </c>
    </row>
    <row r="1014" spans="3:5">
      <c r="C1014" s="169" t="s">
        <v>146</v>
      </c>
      <c r="D1014" s="169" t="s">
        <v>146</v>
      </c>
      <c r="E1014" s="169" t="str">
        <f t="shared" si="28"/>
        <v/>
      </c>
    </row>
    <row r="1015" spans="3:5">
      <c r="C1015" s="169" t="s">
        <v>146</v>
      </c>
      <c r="D1015" s="169" t="s">
        <v>146</v>
      </c>
      <c r="E1015" s="169" t="str">
        <f t="shared" si="28"/>
        <v/>
      </c>
    </row>
    <row r="1016" spans="3:5">
      <c r="C1016" s="169" t="s">
        <v>146</v>
      </c>
      <c r="D1016" s="169" t="s">
        <v>146</v>
      </c>
      <c r="E1016" s="169" t="str">
        <f t="shared" si="28"/>
        <v/>
      </c>
    </row>
    <row r="1017" spans="3:5">
      <c r="C1017" s="169" t="s">
        <v>146</v>
      </c>
      <c r="D1017" s="169" t="s">
        <v>146</v>
      </c>
      <c r="E1017" s="169" t="str">
        <f t="shared" si="28"/>
        <v/>
      </c>
    </row>
    <row r="1018" spans="3:5">
      <c r="C1018" s="169" t="s">
        <v>146</v>
      </c>
      <c r="D1018" s="169" t="s">
        <v>146</v>
      </c>
      <c r="E1018" s="169" t="str">
        <f t="shared" si="28"/>
        <v/>
      </c>
    </row>
    <row r="1019" spans="3:5">
      <c r="C1019" s="169" t="s">
        <v>146</v>
      </c>
      <c r="D1019" s="169" t="s">
        <v>146</v>
      </c>
      <c r="E1019" s="169" t="str">
        <f t="shared" si="28"/>
        <v/>
      </c>
    </row>
    <row r="1020" spans="3:5">
      <c r="C1020" s="169" t="s">
        <v>146</v>
      </c>
      <c r="D1020" s="169" t="s">
        <v>146</v>
      </c>
      <c r="E1020" s="169" t="str">
        <f t="shared" si="28"/>
        <v/>
      </c>
    </row>
    <row r="1021" spans="3:5">
      <c r="C1021" s="169" t="s">
        <v>146</v>
      </c>
      <c r="D1021" s="169" t="s">
        <v>146</v>
      </c>
      <c r="E1021" s="169" t="str">
        <f t="shared" si="28"/>
        <v/>
      </c>
    </row>
    <row r="1022" spans="3:5">
      <c r="C1022" s="169" t="s">
        <v>146</v>
      </c>
      <c r="D1022" s="169" t="s">
        <v>146</v>
      </c>
      <c r="E1022" s="169" t="str">
        <f t="shared" si="28"/>
        <v/>
      </c>
    </row>
    <row r="1023" spans="3:5">
      <c r="C1023" s="169" t="s">
        <v>146</v>
      </c>
      <c r="D1023" s="169" t="s">
        <v>146</v>
      </c>
      <c r="E1023" s="169" t="str">
        <f t="shared" si="28"/>
        <v/>
      </c>
    </row>
    <row r="1024" spans="3:5">
      <c r="C1024" s="169" t="s">
        <v>146</v>
      </c>
      <c r="D1024" s="169" t="s">
        <v>146</v>
      </c>
      <c r="E1024" s="169" t="str">
        <f t="shared" si="28"/>
        <v/>
      </c>
    </row>
    <row r="1025" spans="3:5">
      <c r="C1025" s="169" t="s">
        <v>146</v>
      </c>
      <c r="D1025" s="169" t="s">
        <v>146</v>
      </c>
      <c r="E1025" s="169" t="str">
        <f t="shared" si="28"/>
        <v/>
      </c>
    </row>
    <row r="1026" spans="3:5">
      <c r="C1026" s="169" t="s">
        <v>146</v>
      </c>
      <c r="D1026" s="169" t="s">
        <v>146</v>
      </c>
      <c r="E1026" s="169" t="str">
        <f t="shared" si="28"/>
        <v/>
      </c>
    </row>
    <row r="1027" spans="3:5">
      <c r="C1027" s="169" t="s">
        <v>146</v>
      </c>
      <c r="D1027" s="169" t="s">
        <v>146</v>
      </c>
      <c r="E1027" s="169" t="str">
        <f t="shared" si="28"/>
        <v/>
      </c>
    </row>
    <row r="1028" spans="3:5">
      <c r="C1028" s="169" t="s">
        <v>146</v>
      </c>
      <c r="D1028" s="169" t="s">
        <v>146</v>
      </c>
      <c r="E1028" s="169" t="str">
        <f t="shared" ref="E1028:E1091" si="29">IF(C1028&lt;D1028,C1028,D1028)</f>
        <v/>
      </c>
    </row>
    <row r="1029" spans="3:5">
      <c r="C1029" s="169" t="s">
        <v>146</v>
      </c>
      <c r="D1029" s="169" t="s">
        <v>146</v>
      </c>
      <c r="E1029" s="169" t="str">
        <f t="shared" si="29"/>
        <v/>
      </c>
    </row>
    <row r="1030" spans="3:5">
      <c r="C1030" s="169" t="s">
        <v>146</v>
      </c>
      <c r="D1030" s="169" t="s">
        <v>146</v>
      </c>
      <c r="E1030" s="169" t="str">
        <f t="shared" si="29"/>
        <v/>
      </c>
    </row>
    <row r="1031" spans="3:5">
      <c r="C1031" s="169" t="s">
        <v>146</v>
      </c>
      <c r="D1031" s="169" t="s">
        <v>146</v>
      </c>
      <c r="E1031" s="169" t="str">
        <f t="shared" si="29"/>
        <v/>
      </c>
    </row>
    <row r="1032" spans="3:5">
      <c r="C1032" s="169" t="s">
        <v>146</v>
      </c>
      <c r="D1032" s="169" t="s">
        <v>146</v>
      </c>
      <c r="E1032" s="169" t="str">
        <f t="shared" si="29"/>
        <v/>
      </c>
    </row>
    <row r="1033" spans="3:5">
      <c r="C1033" s="169" t="s">
        <v>146</v>
      </c>
      <c r="D1033" s="169" t="s">
        <v>146</v>
      </c>
      <c r="E1033" s="169" t="str">
        <f t="shared" si="29"/>
        <v/>
      </c>
    </row>
    <row r="1034" spans="3:5">
      <c r="C1034" s="169" t="s">
        <v>146</v>
      </c>
      <c r="D1034" s="169" t="s">
        <v>146</v>
      </c>
      <c r="E1034" s="169" t="str">
        <f t="shared" si="29"/>
        <v/>
      </c>
    </row>
    <row r="1035" spans="3:5">
      <c r="C1035" s="169" t="s">
        <v>146</v>
      </c>
      <c r="D1035" s="169" t="s">
        <v>146</v>
      </c>
      <c r="E1035" s="169" t="str">
        <f t="shared" si="29"/>
        <v/>
      </c>
    </row>
    <row r="1036" spans="3:5">
      <c r="C1036" s="169" t="s">
        <v>146</v>
      </c>
      <c r="D1036" s="169" t="s">
        <v>146</v>
      </c>
      <c r="E1036" s="169" t="str">
        <f t="shared" si="29"/>
        <v/>
      </c>
    </row>
    <row r="1037" spans="3:5">
      <c r="C1037" s="169" t="s">
        <v>146</v>
      </c>
      <c r="D1037" s="169" t="s">
        <v>146</v>
      </c>
      <c r="E1037" s="169" t="str">
        <f t="shared" si="29"/>
        <v/>
      </c>
    </row>
    <row r="1038" spans="3:5">
      <c r="C1038" s="169" t="s">
        <v>146</v>
      </c>
      <c r="D1038" s="169" t="s">
        <v>146</v>
      </c>
      <c r="E1038" s="169" t="str">
        <f t="shared" si="29"/>
        <v/>
      </c>
    </row>
    <row r="1039" spans="3:5">
      <c r="C1039" s="169" t="s">
        <v>146</v>
      </c>
      <c r="D1039" s="169" t="s">
        <v>146</v>
      </c>
      <c r="E1039" s="169" t="str">
        <f t="shared" si="29"/>
        <v/>
      </c>
    </row>
    <row r="1040" spans="3:5">
      <c r="C1040" s="169" t="s">
        <v>146</v>
      </c>
      <c r="D1040" s="169" t="s">
        <v>146</v>
      </c>
      <c r="E1040" s="169" t="str">
        <f t="shared" si="29"/>
        <v/>
      </c>
    </row>
    <row r="1041" spans="3:5">
      <c r="C1041" s="169" t="s">
        <v>146</v>
      </c>
      <c r="D1041" s="169" t="s">
        <v>146</v>
      </c>
      <c r="E1041" s="169" t="str">
        <f t="shared" si="29"/>
        <v/>
      </c>
    </row>
    <row r="1042" spans="3:5">
      <c r="C1042" s="169" t="s">
        <v>146</v>
      </c>
      <c r="D1042" s="169" t="s">
        <v>146</v>
      </c>
      <c r="E1042" s="169" t="str">
        <f t="shared" si="29"/>
        <v/>
      </c>
    </row>
    <row r="1043" spans="3:5">
      <c r="C1043" s="169" t="s">
        <v>146</v>
      </c>
      <c r="D1043" s="169" t="s">
        <v>146</v>
      </c>
      <c r="E1043" s="169" t="str">
        <f t="shared" si="29"/>
        <v/>
      </c>
    </row>
    <row r="1044" spans="3:5">
      <c r="C1044" s="169" t="s">
        <v>146</v>
      </c>
      <c r="D1044" s="169" t="s">
        <v>146</v>
      </c>
      <c r="E1044" s="169" t="str">
        <f t="shared" si="29"/>
        <v/>
      </c>
    </row>
    <row r="1045" spans="3:5">
      <c r="C1045" s="169" t="s">
        <v>146</v>
      </c>
      <c r="D1045" s="169" t="s">
        <v>146</v>
      </c>
      <c r="E1045" s="169" t="str">
        <f t="shared" si="29"/>
        <v/>
      </c>
    </row>
    <row r="1046" spans="3:5">
      <c r="C1046" s="169" t="s">
        <v>146</v>
      </c>
      <c r="D1046" s="169" t="s">
        <v>146</v>
      </c>
      <c r="E1046" s="169" t="str">
        <f t="shared" si="29"/>
        <v/>
      </c>
    </row>
    <row r="1047" spans="3:5">
      <c r="C1047" s="169" t="s">
        <v>146</v>
      </c>
      <c r="D1047" s="169" t="s">
        <v>146</v>
      </c>
      <c r="E1047" s="169" t="str">
        <f t="shared" si="29"/>
        <v/>
      </c>
    </row>
    <row r="1048" spans="3:5">
      <c r="C1048" s="169" t="s">
        <v>146</v>
      </c>
      <c r="D1048" s="169" t="s">
        <v>146</v>
      </c>
      <c r="E1048" s="169" t="str">
        <f t="shared" si="29"/>
        <v/>
      </c>
    </row>
    <row r="1049" spans="3:5">
      <c r="C1049" s="169" t="s">
        <v>146</v>
      </c>
      <c r="D1049" s="169" t="s">
        <v>146</v>
      </c>
      <c r="E1049" s="169" t="str">
        <f t="shared" si="29"/>
        <v/>
      </c>
    </row>
    <row r="1050" spans="3:5">
      <c r="C1050" s="169" t="s">
        <v>146</v>
      </c>
      <c r="D1050" s="169" t="s">
        <v>146</v>
      </c>
      <c r="E1050" s="169" t="str">
        <f t="shared" si="29"/>
        <v/>
      </c>
    </row>
    <row r="1051" spans="3:5">
      <c r="C1051" s="169" t="s">
        <v>146</v>
      </c>
      <c r="D1051" s="169" t="s">
        <v>146</v>
      </c>
      <c r="E1051" s="169" t="str">
        <f t="shared" si="29"/>
        <v/>
      </c>
    </row>
    <row r="1052" spans="3:5">
      <c r="C1052" s="169" t="s">
        <v>146</v>
      </c>
      <c r="D1052" s="169" t="s">
        <v>146</v>
      </c>
      <c r="E1052" s="169" t="str">
        <f t="shared" si="29"/>
        <v/>
      </c>
    </row>
    <row r="1053" spans="3:5">
      <c r="C1053" s="169" t="s">
        <v>146</v>
      </c>
      <c r="D1053" s="169" t="s">
        <v>146</v>
      </c>
      <c r="E1053" s="169" t="str">
        <f t="shared" si="29"/>
        <v/>
      </c>
    </row>
    <row r="1054" spans="3:5">
      <c r="C1054" s="169" t="s">
        <v>146</v>
      </c>
      <c r="D1054" s="169" t="s">
        <v>146</v>
      </c>
      <c r="E1054" s="169" t="str">
        <f t="shared" si="29"/>
        <v/>
      </c>
    </row>
    <row r="1055" spans="3:5">
      <c r="C1055" s="169" t="s">
        <v>146</v>
      </c>
      <c r="D1055" s="169" t="s">
        <v>146</v>
      </c>
      <c r="E1055" s="169" t="str">
        <f t="shared" si="29"/>
        <v/>
      </c>
    </row>
    <row r="1056" spans="3:5">
      <c r="C1056" s="169" t="s">
        <v>146</v>
      </c>
      <c r="D1056" s="169" t="s">
        <v>146</v>
      </c>
      <c r="E1056" s="169" t="str">
        <f t="shared" si="29"/>
        <v/>
      </c>
    </row>
    <row r="1057" spans="3:5">
      <c r="C1057" s="169" t="s">
        <v>146</v>
      </c>
      <c r="D1057" s="169" t="s">
        <v>146</v>
      </c>
      <c r="E1057" s="169" t="str">
        <f t="shared" si="29"/>
        <v/>
      </c>
    </row>
    <row r="1058" spans="3:5">
      <c r="C1058" s="169" t="s">
        <v>146</v>
      </c>
      <c r="D1058" s="169" t="s">
        <v>146</v>
      </c>
      <c r="E1058" s="169" t="str">
        <f t="shared" si="29"/>
        <v/>
      </c>
    </row>
    <row r="1059" spans="3:5">
      <c r="C1059" s="169" t="s">
        <v>146</v>
      </c>
      <c r="D1059" s="169" t="s">
        <v>146</v>
      </c>
      <c r="E1059" s="169" t="str">
        <f t="shared" si="29"/>
        <v/>
      </c>
    </row>
    <row r="1060" spans="3:5">
      <c r="C1060" s="169" t="s">
        <v>146</v>
      </c>
      <c r="D1060" s="169" t="s">
        <v>146</v>
      </c>
      <c r="E1060" s="169" t="str">
        <f t="shared" si="29"/>
        <v/>
      </c>
    </row>
    <row r="1061" spans="3:5">
      <c r="C1061" s="169" t="s">
        <v>146</v>
      </c>
      <c r="D1061" s="169" t="s">
        <v>146</v>
      </c>
      <c r="E1061" s="169" t="str">
        <f t="shared" si="29"/>
        <v/>
      </c>
    </row>
    <row r="1062" spans="3:5">
      <c r="C1062" s="169" t="s">
        <v>146</v>
      </c>
      <c r="D1062" s="169" t="s">
        <v>146</v>
      </c>
      <c r="E1062" s="169" t="str">
        <f t="shared" si="29"/>
        <v/>
      </c>
    </row>
    <row r="1063" spans="3:5">
      <c r="C1063" s="169" t="s">
        <v>146</v>
      </c>
      <c r="D1063" s="169" t="s">
        <v>146</v>
      </c>
      <c r="E1063" s="169" t="str">
        <f t="shared" si="29"/>
        <v/>
      </c>
    </row>
    <row r="1064" spans="3:5">
      <c r="C1064" s="169" t="s">
        <v>146</v>
      </c>
      <c r="D1064" s="169" t="s">
        <v>146</v>
      </c>
      <c r="E1064" s="169" t="str">
        <f t="shared" si="29"/>
        <v/>
      </c>
    </row>
    <row r="1065" spans="3:5">
      <c r="C1065" s="169" t="s">
        <v>146</v>
      </c>
      <c r="D1065" s="169" t="s">
        <v>146</v>
      </c>
      <c r="E1065" s="169" t="str">
        <f t="shared" si="29"/>
        <v/>
      </c>
    </row>
    <row r="1066" spans="3:5">
      <c r="C1066" s="169" t="s">
        <v>146</v>
      </c>
      <c r="D1066" s="169" t="s">
        <v>146</v>
      </c>
      <c r="E1066" s="169" t="str">
        <f t="shared" si="29"/>
        <v/>
      </c>
    </row>
    <row r="1067" spans="3:5">
      <c r="C1067" s="169" t="s">
        <v>146</v>
      </c>
      <c r="D1067" s="169" t="s">
        <v>146</v>
      </c>
      <c r="E1067" s="169" t="str">
        <f t="shared" si="29"/>
        <v/>
      </c>
    </row>
    <row r="1068" spans="3:5">
      <c r="C1068" s="169" t="s">
        <v>146</v>
      </c>
      <c r="D1068" s="169" t="s">
        <v>146</v>
      </c>
      <c r="E1068" s="169" t="str">
        <f t="shared" si="29"/>
        <v/>
      </c>
    </row>
    <row r="1069" spans="3:5">
      <c r="C1069" s="169" t="s">
        <v>146</v>
      </c>
      <c r="D1069" s="169" t="s">
        <v>146</v>
      </c>
      <c r="E1069" s="169" t="str">
        <f t="shared" si="29"/>
        <v/>
      </c>
    </row>
    <row r="1070" spans="3:5">
      <c r="C1070" s="169" t="s">
        <v>146</v>
      </c>
      <c r="D1070" s="169" t="s">
        <v>146</v>
      </c>
      <c r="E1070" s="169" t="str">
        <f t="shared" si="29"/>
        <v/>
      </c>
    </row>
    <row r="1071" spans="3:5">
      <c r="C1071" s="169" t="s">
        <v>146</v>
      </c>
      <c r="D1071" s="169" t="s">
        <v>146</v>
      </c>
      <c r="E1071" s="169" t="str">
        <f t="shared" si="29"/>
        <v/>
      </c>
    </row>
    <row r="1072" spans="3:5">
      <c r="C1072" s="169" t="s">
        <v>146</v>
      </c>
      <c r="D1072" s="169" t="s">
        <v>146</v>
      </c>
      <c r="E1072" s="169" t="str">
        <f t="shared" si="29"/>
        <v/>
      </c>
    </row>
    <row r="1073" spans="3:5">
      <c r="C1073" s="169" t="s">
        <v>146</v>
      </c>
      <c r="D1073" s="169" t="s">
        <v>146</v>
      </c>
      <c r="E1073" s="169" t="str">
        <f t="shared" si="29"/>
        <v/>
      </c>
    </row>
    <row r="1074" spans="3:5">
      <c r="C1074" s="169" t="s">
        <v>146</v>
      </c>
      <c r="D1074" s="169" t="s">
        <v>146</v>
      </c>
      <c r="E1074" s="169" t="str">
        <f t="shared" si="29"/>
        <v/>
      </c>
    </row>
    <row r="1075" spans="3:5">
      <c r="C1075" s="169" t="s">
        <v>146</v>
      </c>
      <c r="D1075" s="169" t="s">
        <v>146</v>
      </c>
      <c r="E1075" s="169" t="str">
        <f t="shared" si="29"/>
        <v/>
      </c>
    </row>
    <row r="1076" spans="3:5">
      <c r="C1076" s="169" t="s">
        <v>146</v>
      </c>
      <c r="D1076" s="169" t="s">
        <v>146</v>
      </c>
      <c r="E1076" s="169" t="str">
        <f t="shared" si="29"/>
        <v/>
      </c>
    </row>
    <row r="1077" spans="3:5">
      <c r="C1077" s="169" t="s">
        <v>146</v>
      </c>
      <c r="D1077" s="169" t="s">
        <v>146</v>
      </c>
      <c r="E1077" s="169" t="str">
        <f t="shared" si="29"/>
        <v/>
      </c>
    </row>
    <row r="1078" spans="3:5">
      <c r="C1078" s="169" t="s">
        <v>146</v>
      </c>
      <c r="D1078" s="169" t="s">
        <v>146</v>
      </c>
      <c r="E1078" s="169" t="str">
        <f t="shared" si="29"/>
        <v/>
      </c>
    </row>
    <row r="1079" spans="3:5">
      <c r="C1079" s="169" t="s">
        <v>146</v>
      </c>
      <c r="D1079" s="169" t="s">
        <v>146</v>
      </c>
      <c r="E1079" s="169" t="str">
        <f t="shared" si="29"/>
        <v/>
      </c>
    </row>
    <row r="1080" spans="3:5">
      <c r="C1080" s="169" t="s">
        <v>146</v>
      </c>
      <c r="D1080" s="169" t="s">
        <v>146</v>
      </c>
      <c r="E1080" s="169" t="str">
        <f t="shared" si="29"/>
        <v/>
      </c>
    </row>
    <row r="1081" spans="3:5">
      <c r="C1081" s="169" t="s">
        <v>146</v>
      </c>
      <c r="D1081" s="169" t="s">
        <v>146</v>
      </c>
      <c r="E1081" s="169" t="str">
        <f t="shared" si="29"/>
        <v/>
      </c>
    </row>
    <row r="1082" spans="3:5">
      <c r="C1082" s="169" t="s">
        <v>146</v>
      </c>
      <c r="D1082" s="169" t="s">
        <v>146</v>
      </c>
      <c r="E1082" s="169" t="str">
        <f t="shared" si="29"/>
        <v/>
      </c>
    </row>
    <row r="1083" spans="3:5">
      <c r="C1083" s="169" t="s">
        <v>146</v>
      </c>
      <c r="D1083" s="169" t="s">
        <v>146</v>
      </c>
      <c r="E1083" s="169" t="str">
        <f t="shared" si="29"/>
        <v/>
      </c>
    </row>
    <row r="1084" spans="3:5">
      <c r="C1084" s="169" t="s">
        <v>146</v>
      </c>
      <c r="D1084" s="169" t="s">
        <v>146</v>
      </c>
      <c r="E1084" s="169" t="str">
        <f t="shared" si="29"/>
        <v/>
      </c>
    </row>
    <row r="1085" spans="3:5">
      <c r="C1085" s="169" t="s">
        <v>146</v>
      </c>
      <c r="D1085" s="169" t="s">
        <v>146</v>
      </c>
      <c r="E1085" s="169" t="str">
        <f t="shared" si="29"/>
        <v/>
      </c>
    </row>
    <row r="1086" spans="3:5">
      <c r="C1086" s="169" t="s">
        <v>146</v>
      </c>
      <c r="D1086" s="169" t="s">
        <v>146</v>
      </c>
      <c r="E1086" s="169" t="str">
        <f t="shared" si="29"/>
        <v/>
      </c>
    </row>
    <row r="1087" spans="3:5">
      <c r="C1087" s="169" t="s">
        <v>146</v>
      </c>
      <c r="D1087" s="169" t="s">
        <v>146</v>
      </c>
      <c r="E1087" s="169" t="str">
        <f t="shared" si="29"/>
        <v/>
      </c>
    </row>
    <row r="1088" spans="3:5">
      <c r="C1088" s="169" t="s">
        <v>146</v>
      </c>
      <c r="D1088" s="169" t="s">
        <v>146</v>
      </c>
      <c r="E1088" s="169" t="str">
        <f t="shared" si="29"/>
        <v/>
      </c>
    </row>
    <row r="1089" spans="3:5">
      <c r="C1089" s="169" t="s">
        <v>146</v>
      </c>
      <c r="D1089" s="169" t="s">
        <v>146</v>
      </c>
      <c r="E1089" s="169" t="str">
        <f t="shared" si="29"/>
        <v/>
      </c>
    </row>
    <row r="1090" spans="3:5">
      <c r="C1090" s="169" t="s">
        <v>146</v>
      </c>
      <c r="D1090" s="169" t="s">
        <v>146</v>
      </c>
      <c r="E1090" s="169" t="str">
        <f t="shared" si="29"/>
        <v/>
      </c>
    </row>
    <row r="1091" spans="3:5">
      <c r="C1091" s="169" t="s">
        <v>146</v>
      </c>
      <c r="D1091" s="169" t="s">
        <v>146</v>
      </c>
      <c r="E1091" s="169" t="str">
        <f t="shared" si="29"/>
        <v/>
      </c>
    </row>
    <row r="1092" spans="3:5">
      <c r="C1092" s="169" t="s">
        <v>146</v>
      </c>
      <c r="D1092" s="169" t="s">
        <v>146</v>
      </c>
      <c r="E1092" s="169" t="str">
        <f t="shared" ref="E1092:E1155" si="30">IF(C1092&lt;D1092,C1092,D1092)</f>
        <v/>
      </c>
    </row>
    <row r="1093" spans="3:5">
      <c r="C1093" s="169" t="s">
        <v>146</v>
      </c>
      <c r="D1093" s="169" t="s">
        <v>146</v>
      </c>
      <c r="E1093" s="169" t="str">
        <f t="shared" si="30"/>
        <v/>
      </c>
    </row>
    <row r="1094" spans="3:5">
      <c r="C1094" s="169" t="s">
        <v>146</v>
      </c>
      <c r="D1094" s="169" t="s">
        <v>146</v>
      </c>
      <c r="E1094" s="169" t="str">
        <f t="shared" si="30"/>
        <v/>
      </c>
    </row>
    <row r="1095" spans="3:5">
      <c r="C1095" s="169" t="s">
        <v>146</v>
      </c>
      <c r="D1095" s="169" t="s">
        <v>146</v>
      </c>
      <c r="E1095" s="169" t="str">
        <f t="shared" si="30"/>
        <v/>
      </c>
    </row>
    <row r="1096" spans="3:5">
      <c r="C1096" s="169" t="s">
        <v>146</v>
      </c>
      <c r="D1096" s="169" t="s">
        <v>146</v>
      </c>
      <c r="E1096" s="169" t="str">
        <f t="shared" si="30"/>
        <v/>
      </c>
    </row>
    <row r="1097" spans="3:5">
      <c r="C1097" s="169" t="s">
        <v>146</v>
      </c>
      <c r="D1097" s="169" t="s">
        <v>146</v>
      </c>
      <c r="E1097" s="169" t="str">
        <f t="shared" si="30"/>
        <v/>
      </c>
    </row>
    <row r="1098" spans="3:5">
      <c r="C1098" s="169" t="s">
        <v>146</v>
      </c>
      <c r="D1098" s="169" t="s">
        <v>146</v>
      </c>
      <c r="E1098" s="169" t="str">
        <f t="shared" si="30"/>
        <v/>
      </c>
    </row>
    <row r="1099" spans="3:5">
      <c r="C1099" s="169" t="s">
        <v>146</v>
      </c>
      <c r="D1099" s="169" t="s">
        <v>146</v>
      </c>
      <c r="E1099" s="169" t="str">
        <f t="shared" si="30"/>
        <v/>
      </c>
    </row>
    <row r="1100" spans="3:5">
      <c r="C1100" s="169" t="s">
        <v>146</v>
      </c>
      <c r="D1100" s="169" t="s">
        <v>146</v>
      </c>
      <c r="E1100" s="169" t="str">
        <f t="shared" si="30"/>
        <v/>
      </c>
    </row>
    <row r="1101" spans="3:5">
      <c r="C1101" s="169" t="s">
        <v>146</v>
      </c>
      <c r="D1101" s="169" t="s">
        <v>146</v>
      </c>
      <c r="E1101" s="169" t="str">
        <f t="shared" si="30"/>
        <v/>
      </c>
    </row>
    <row r="1102" spans="3:5">
      <c r="C1102" s="169" t="s">
        <v>146</v>
      </c>
      <c r="D1102" s="169" t="s">
        <v>146</v>
      </c>
      <c r="E1102" s="169" t="str">
        <f t="shared" si="30"/>
        <v/>
      </c>
    </row>
    <row r="1103" spans="3:5">
      <c r="C1103" s="169" t="s">
        <v>146</v>
      </c>
      <c r="D1103" s="169" t="s">
        <v>146</v>
      </c>
      <c r="E1103" s="169" t="str">
        <f t="shared" si="30"/>
        <v/>
      </c>
    </row>
    <row r="1104" spans="3:5">
      <c r="C1104" s="169" t="s">
        <v>146</v>
      </c>
      <c r="D1104" s="169" t="s">
        <v>146</v>
      </c>
      <c r="E1104" s="169" t="str">
        <f t="shared" si="30"/>
        <v/>
      </c>
    </row>
    <row r="1105" spans="3:5">
      <c r="C1105" s="169" t="s">
        <v>146</v>
      </c>
      <c r="D1105" s="169" t="s">
        <v>146</v>
      </c>
      <c r="E1105" s="169" t="str">
        <f t="shared" si="30"/>
        <v/>
      </c>
    </row>
    <row r="1106" spans="3:5">
      <c r="C1106" s="169" t="s">
        <v>146</v>
      </c>
      <c r="D1106" s="169" t="s">
        <v>146</v>
      </c>
      <c r="E1106" s="169" t="str">
        <f t="shared" si="30"/>
        <v/>
      </c>
    </row>
    <row r="1107" spans="3:5">
      <c r="C1107" s="169" t="s">
        <v>146</v>
      </c>
      <c r="D1107" s="169" t="s">
        <v>146</v>
      </c>
      <c r="E1107" s="169" t="str">
        <f t="shared" si="30"/>
        <v/>
      </c>
    </row>
    <row r="1108" spans="3:5">
      <c r="C1108" s="169" t="s">
        <v>146</v>
      </c>
      <c r="D1108" s="169" t="s">
        <v>146</v>
      </c>
      <c r="E1108" s="169" t="str">
        <f t="shared" si="30"/>
        <v/>
      </c>
    </row>
    <row r="1109" spans="3:5">
      <c r="C1109" s="169" t="s">
        <v>146</v>
      </c>
      <c r="D1109" s="169" t="s">
        <v>146</v>
      </c>
      <c r="E1109" s="169" t="str">
        <f t="shared" si="30"/>
        <v/>
      </c>
    </row>
    <row r="1110" spans="3:5">
      <c r="C1110" s="169" t="s">
        <v>146</v>
      </c>
      <c r="D1110" s="169" t="s">
        <v>146</v>
      </c>
      <c r="E1110" s="169" t="str">
        <f t="shared" si="30"/>
        <v/>
      </c>
    </row>
    <row r="1111" spans="3:5">
      <c r="C1111" s="169" t="s">
        <v>146</v>
      </c>
      <c r="D1111" s="169" t="s">
        <v>146</v>
      </c>
      <c r="E1111" s="169" t="str">
        <f t="shared" si="30"/>
        <v/>
      </c>
    </row>
    <row r="1112" spans="3:5">
      <c r="C1112" s="169" t="s">
        <v>146</v>
      </c>
      <c r="D1112" s="169" t="s">
        <v>146</v>
      </c>
      <c r="E1112" s="169" t="str">
        <f t="shared" si="30"/>
        <v/>
      </c>
    </row>
    <row r="1113" spans="3:5">
      <c r="C1113" s="169" t="s">
        <v>146</v>
      </c>
      <c r="D1113" s="169" t="s">
        <v>146</v>
      </c>
      <c r="E1113" s="169" t="str">
        <f t="shared" si="30"/>
        <v/>
      </c>
    </row>
    <row r="1114" spans="3:5">
      <c r="C1114" s="169" t="s">
        <v>146</v>
      </c>
      <c r="D1114" s="169" t="s">
        <v>146</v>
      </c>
      <c r="E1114" s="169" t="str">
        <f t="shared" si="30"/>
        <v/>
      </c>
    </row>
    <row r="1115" spans="3:5">
      <c r="C1115" s="169" t="s">
        <v>146</v>
      </c>
      <c r="D1115" s="169" t="s">
        <v>146</v>
      </c>
      <c r="E1115" s="169" t="str">
        <f t="shared" si="30"/>
        <v/>
      </c>
    </row>
    <row r="1116" spans="3:5">
      <c r="C1116" s="169" t="s">
        <v>146</v>
      </c>
      <c r="D1116" s="169" t="s">
        <v>146</v>
      </c>
      <c r="E1116" s="169" t="str">
        <f t="shared" si="30"/>
        <v/>
      </c>
    </row>
    <row r="1117" spans="3:5">
      <c r="C1117" s="169" t="s">
        <v>146</v>
      </c>
      <c r="D1117" s="169" t="s">
        <v>146</v>
      </c>
      <c r="E1117" s="169" t="str">
        <f t="shared" si="30"/>
        <v/>
      </c>
    </row>
    <row r="1118" spans="3:5">
      <c r="C1118" s="169" t="s">
        <v>146</v>
      </c>
      <c r="D1118" s="169" t="s">
        <v>146</v>
      </c>
      <c r="E1118" s="169" t="str">
        <f t="shared" si="30"/>
        <v/>
      </c>
    </row>
    <row r="1119" spans="3:5">
      <c r="C1119" s="169" t="s">
        <v>146</v>
      </c>
      <c r="D1119" s="169" t="s">
        <v>146</v>
      </c>
      <c r="E1119" s="169" t="str">
        <f t="shared" si="30"/>
        <v/>
      </c>
    </row>
    <row r="1120" spans="3:5">
      <c r="C1120" s="169" t="s">
        <v>146</v>
      </c>
      <c r="D1120" s="169" t="s">
        <v>146</v>
      </c>
      <c r="E1120" s="169" t="str">
        <f t="shared" si="30"/>
        <v/>
      </c>
    </row>
    <row r="1121" spans="3:5">
      <c r="C1121" s="169" t="s">
        <v>146</v>
      </c>
      <c r="D1121" s="169" t="s">
        <v>146</v>
      </c>
      <c r="E1121" s="169" t="str">
        <f t="shared" si="30"/>
        <v/>
      </c>
    </row>
    <row r="1122" spans="3:5">
      <c r="C1122" s="169" t="s">
        <v>146</v>
      </c>
      <c r="D1122" s="169" t="s">
        <v>146</v>
      </c>
      <c r="E1122" s="169" t="str">
        <f t="shared" si="30"/>
        <v/>
      </c>
    </row>
    <row r="1123" spans="3:5">
      <c r="C1123" s="169" t="s">
        <v>146</v>
      </c>
      <c r="D1123" s="169" t="s">
        <v>146</v>
      </c>
      <c r="E1123" s="169" t="str">
        <f t="shared" si="30"/>
        <v/>
      </c>
    </row>
    <row r="1124" spans="3:5">
      <c r="C1124" s="169" t="s">
        <v>146</v>
      </c>
      <c r="D1124" s="169" t="s">
        <v>146</v>
      </c>
      <c r="E1124" s="169" t="str">
        <f t="shared" si="30"/>
        <v/>
      </c>
    </row>
    <row r="1125" spans="3:5">
      <c r="C1125" s="169" t="s">
        <v>146</v>
      </c>
      <c r="D1125" s="169" t="s">
        <v>146</v>
      </c>
      <c r="E1125" s="169" t="str">
        <f t="shared" si="30"/>
        <v/>
      </c>
    </row>
    <row r="1126" spans="3:5">
      <c r="C1126" s="169" t="s">
        <v>146</v>
      </c>
      <c r="D1126" s="169" t="s">
        <v>146</v>
      </c>
      <c r="E1126" s="169" t="str">
        <f t="shared" si="30"/>
        <v/>
      </c>
    </row>
    <row r="1127" spans="3:5">
      <c r="C1127" s="169" t="s">
        <v>146</v>
      </c>
      <c r="D1127" s="169" t="s">
        <v>146</v>
      </c>
      <c r="E1127" s="169" t="str">
        <f t="shared" si="30"/>
        <v/>
      </c>
    </row>
    <row r="1128" spans="3:5">
      <c r="C1128" s="169" t="s">
        <v>146</v>
      </c>
      <c r="D1128" s="169" t="s">
        <v>146</v>
      </c>
      <c r="E1128" s="169" t="str">
        <f t="shared" si="30"/>
        <v/>
      </c>
    </row>
    <row r="1129" spans="3:5">
      <c r="C1129" s="169" t="s">
        <v>146</v>
      </c>
      <c r="D1129" s="169" t="s">
        <v>146</v>
      </c>
      <c r="E1129" s="169" t="str">
        <f t="shared" si="30"/>
        <v/>
      </c>
    </row>
    <row r="1130" spans="3:5">
      <c r="C1130" s="169" t="s">
        <v>146</v>
      </c>
      <c r="D1130" s="169" t="s">
        <v>146</v>
      </c>
      <c r="E1130" s="169" t="str">
        <f t="shared" si="30"/>
        <v/>
      </c>
    </row>
    <row r="1131" spans="3:5">
      <c r="C1131" s="169" t="s">
        <v>146</v>
      </c>
      <c r="D1131" s="169" t="s">
        <v>146</v>
      </c>
      <c r="E1131" s="169" t="str">
        <f t="shared" si="30"/>
        <v/>
      </c>
    </row>
    <row r="1132" spans="3:5">
      <c r="C1132" s="169" t="s">
        <v>146</v>
      </c>
      <c r="D1132" s="169" t="s">
        <v>146</v>
      </c>
      <c r="E1132" s="169" t="str">
        <f t="shared" si="30"/>
        <v/>
      </c>
    </row>
    <row r="1133" spans="3:5">
      <c r="C1133" s="169" t="s">
        <v>146</v>
      </c>
      <c r="D1133" s="169" t="s">
        <v>146</v>
      </c>
      <c r="E1133" s="169" t="str">
        <f t="shared" si="30"/>
        <v/>
      </c>
    </row>
    <row r="1134" spans="3:5">
      <c r="C1134" s="169" t="s">
        <v>146</v>
      </c>
      <c r="D1134" s="169" t="s">
        <v>146</v>
      </c>
      <c r="E1134" s="169" t="str">
        <f t="shared" si="30"/>
        <v/>
      </c>
    </row>
    <row r="1135" spans="3:5">
      <c r="C1135" s="169" t="s">
        <v>146</v>
      </c>
      <c r="D1135" s="169" t="s">
        <v>146</v>
      </c>
      <c r="E1135" s="169" t="str">
        <f t="shared" si="30"/>
        <v/>
      </c>
    </row>
    <row r="1136" spans="3:5">
      <c r="C1136" s="169" t="s">
        <v>146</v>
      </c>
      <c r="D1136" s="169" t="s">
        <v>146</v>
      </c>
      <c r="E1136" s="169" t="str">
        <f t="shared" si="30"/>
        <v/>
      </c>
    </row>
    <row r="1137" spans="3:5">
      <c r="C1137" s="169" t="s">
        <v>146</v>
      </c>
      <c r="D1137" s="169" t="s">
        <v>146</v>
      </c>
      <c r="E1137" s="169" t="str">
        <f t="shared" si="30"/>
        <v/>
      </c>
    </row>
    <row r="1138" spans="3:5">
      <c r="C1138" s="169" t="s">
        <v>146</v>
      </c>
      <c r="D1138" s="169" t="s">
        <v>146</v>
      </c>
      <c r="E1138" s="169" t="str">
        <f t="shared" si="30"/>
        <v/>
      </c>
    </row>
    <row r="1139" spans="3:5">
      <c r="C1139" s="169" t="s">
        <v>146</v>
      </c>
      <c r="D1139" s="169" t="s">
        <v>146</v>
      </c>
      <c r="E1139" s="169" t="str">
        <f t="shared" si="30"/>
        <v/>
      </c>
    </row>
    <row r="1140" spans="3:5">
      <c r="C1140" s="169" t="s">
        <v>146</v>
      </c>
      <c r="D1140" s="169" t="s">
        <v>146</v>
      </c>
      <c r="E1140" s="169" t="str">
        <f t="shared" si="30"/>
        <v/>
      </c>
    </row>
    <row r="1141" spans="3:5">
      <c r="C1141" s="169" t="s">
        <v>146</v>
      </c>
      <c r="D1141" s="169" t="s">
        <v>146</v>
      </c>
      <c r="E1141" s="169" t="str">
        <f t="shared" si="30"/>
        <v/>
      </c>
    </row>
    <row r="1142" spans="3:5">
      <c r="C1142" s="169" t="s">
        <v>146</v>
      </c>
      <c r="D1142" s="169" t="s">
        <v>146</v>
      </c>
      <c r="E1142" s="169" t="str">
        <f t="shared" si="30"/>
        <v/>
      </c>
    </row>
    <row r="1143" spans="3:5">
      <c r="C1143" s="169" t="s">
        <v>146</v>
      </c>
      <c r="D1143" s="169" t="s">
        <v>146</v>
      </c>
      <c r="E1143" s="169" t="str">
        <f t="shared" si="30"/>
        <v/>
      </c>
    </row>
    <row r="1144" spans="3:5">
      <c r="C1144" s="169" t="s">
        <v>146</v>
      </c>
      <c r="D1144" s="169" t="s">
        <v>146</v>
      </c>
      <c r="E1144" s="169" t="str">
        <f t="shared" si="30"/>
        <v/>
      </c>
    </row>
    <row r="1145" spans="3:5">
      <c r="C1145" s="169" t="s">
        <v>146</v>
      </c>
      <c r="D1145" s="169" t="s">
        <v>146</v>
      </c>
      <c r="E1145" s="169" t="str">
        <f t="shared" si="30"/>
        <v/>
      </c>
    </row>
    <row r="1146" spans="3:5">
      <c r="C1146" s="169" t="s">
        <v>146</v>
      </c>
      <c r="D1146" s="169" t="s">
        <v>146</v>
      </c>
      <c r="E1146" s="169" t="str">
        <f t="shared" si="30"/>
        <v/>
      </c>
    </row>
    <row r="1147" spans="3:5">
      <c r="C1147" s="169" t="s">
        <v>146</v>
      </c>
      <c r="D1147" s="169" t="s">
        <v>146</v>
      </c>
      <c r="E1147" s="169" t="str">
        <f t="shared" si="30"/>
        <v/>
      </c>
    </row>
    <row r="1148" spans="3:5">
      <c r="C1148" s="169" t="s">
        <v>146</v>
      </c>
      <c r="D1148" s="169" t="s">
        <v>146</v>
      </c>
      <c r="E1148" s="169" t="str">
        <f t="shared" si="30"/>
        <v/>
      </c>
    </row>
    <row r="1149" spans="3:5">
      <c r="C1149" s="169" t="s">
        <v>146</v>
      </c>
      <c r="D1149" s="169" t="s">
        <v>146</v>
      </c>
      <c r="E1149" s="169" t="str">
        <f t="shared" si="30"/>
        <v/>
      </c>
    </row>
    <row r="1150" spans="3:5">
      <c r="C1150" s="169" t="s">
        <v>146</v>
      </c>
      <c r="D1150" s="169" t="s">
        <v>146</v>
      </c>
      <c r="E1150" s="169" t="str">
        <f t="shared" si="30"/>
        <v/>
      </c>
    </row>
    <row r="1151" spans="3:5">
      <c r="C1151" s="169" t="s">
        <v>146</v>
      </c>
      <c r="D1151" s="169" t="s">
        <v>146</v>
      </c>
      <c r="E1151" s="169" t="str">
        <f t="shared" si="30"/>
        <v/>
      </c>
    </row>
    <row r="1152" spans="3:5">
      <c r="C1152" s="169" t="s">
        <v>146</v>
      </c>
      <c r="D1152" s="169" t="s">
        <v>146</v>
      </c>
      <c r="E1152" s="169" t="str">
        <f t="shared" si="30"/>
        <v/>
      </c>
    </row>
    <row r="1153" spans="3:5">
      <c r="C1153" s="169" t="s">
        <v>146</v>
      </c>
      <c r="D1153" s="169" t="s">
        <v>146</v>
      </c>
      <c r="E1153" s="169" t="str">
        <f t="shared" si="30"/>
        <v/>
      </c>
    </row>
    <row r="1154" spans="3:5">
      <c r="C1154" s="169" t="s">
        <v>146</v>
      </c>
      <c r="D1154" s="169" t="s">
        <v>146</v>
      </c>
      <c r="E1154" s="169" t="str">
        <f t="shared" si="30"/>
        <v/>
      </c>
    </row>
    <row r="1155" spans="3:5">
      <c r="C1155" s="169" t="s">
        <v>146</v>
      </c>
      <c r="D1155" s="169" t="s">
        <v>146</v>
      </c>
      <c r="E1155" s="169" t="str">
        <f t="shared" si="30"/>
        <v/>
      </c>
    </row>
    <row r="1156" spans="3:5">
      <c r="C1156" s="169" t="s">
        <v>146</v>
      </c>
      <c r="D1156" s="169" t="s">
        <v>146</v>
      </c>
      <c r="E1156" s="169" t="str">
        <f t="shared" ref="E1156:E1209" si="31">IF(C1156&lt;D1156,C1156,D1156)</f>
        <v/>
      </c>
    </row>
    <row r="1157" spans="3:5">
      <c r="C1157" s="169" t="s">
        <v>146</v>
      </c>
      <c r="D1157" s="169" t="s">
        <v>146</v>
      </c>
      <c r="E1157" s="169" t="str">
        <f t="shared" si="31"/>
        <v/>
      </c>
    </row>
    <row r="1158" spans="3:5">
      <c r="C1158" s="169" t="s">
        <v>146</v>
      </c>
      <c r="D1158" s="169" t="s">
        <v>146</v>
      </c>
      <c r="E1158" s="169" t="str">
        <f t="shared" si="31"/>
        <v/>
      </c>
    </row>
    <row r="1159" spans="3:5">
      <c r="C1159" s="169" t="s">
        <v>146</v>
      </c>
      <c r="D1159" s="169" t="s">
        <v>146</v>
      </c>
      <c r="E1159" s="169" t="str">
        <f t="shared" si="31"/>
        <v/>
      </c>
    </row>
    <row r="1160" spans="3:5">
      <c r="C1160" s="169" t="s">
        <v>146</v>
      </c>
      <c r="D1160" s="169" t="s">
        <v>146</v>
      </c>
      <c r="E1160" s="169" t="str">
        <f t="shared" si="31"/>
        <v/>
      </c>
    </row>
    <row r="1161" spans="3:5">
      <c r="C1161" s="169" t="s">
        <v>146</v>
      </c>
      <c r="D1161" s="169" t="s">
        <v>146</v>
      </c>
      <c r="E1161" s="169" t="str">
        <f t="shared" si="31"/>
        <v/>
      </c>
    </row>
    <row r="1162" spans="3:5">
      <c r="C1162" s="169" t="s">
        <v>146</v>
      </c>
      <c r="D1162" s="169" t="s">
        <v>146</v>
      </c>
      <c r="E1162" s="169" t="str">
        <f t="shared" si="31"/>
        <v/>
      </c>
    </row>
    <row r="1163" spans="3:5">
      <c r="C1163" s="169" t="s">
        <v>146</v>
      </c>
      <c r="D1163" s="169" t="s">
        <v>146</v>
      </c>
      <c r="E1163" s="169" t="str">
        <f t="shared" si="31"/>
        <v/>
      </c>
    </row>
    <row r="1164" spans="3:5">
      <c r="C1164" s="169" t="s">
        <v>146</v>
      </c>
      <c r="D1164" s="169" t="s">
        <v>146</v>
      </c>
      <c r="E1164" s="169" t="str">
        <f t="shared" si="31"/>
        <v/>
      </c>
    </row>
    <row r="1165" spans="3:5">
      <c r="C1165" s="169" t="s">
        <v>146</v>
      </c>
      <c r="D1165" s="169" t="s">
        <v>146</v>
      </c>
      <c r="E1165" s="169" t="str">
        <f t="shared" si="31"/>
        <v/>
      </c>
    </row>
    <row r="1166" spans="3:5">
      <c r="C1166" s="169" t="s">
        <v>146</v>
      </c>
      <c r="D1166" s="169" t="s">
        <v>146</v>
      </c>
      <c r="E1166" s="169" t="str">
        <f t="shared" si="31"/>
        <v/>
      </c>
    </row>
    <row r="1167" spans="3:5">
      <c r="C1167" s="169" t="s">
        <v>146</v>
      </c>
      <c r="D1167" s="169" t="s">
        <v>146</v>
      </c>
      <c r="E1167" s="169" t="str">
        <f t="shared" si="31"/>
        <v/>
      </c>
    </row>
    <row r="1168" spans="3:5">
      <c r="C1168" s="169" t="s">
        <v>146</v>
      </c>
      <c r="D1168" s="169" t="s">
        <v>146</v>
      </c>
      <c r="E1168" s="169" t="str">
        <f t="shared" si="31"/>
        <v/>
      </c>
    </row>
    <row r="1169" spans="3:5">
      <c r="C1169" s="169" t="s">
        <v>146</v>
      </c>
      <c r="D1169" s="169" t="s">
        <v>146</v>
      </c>
      <c r="E1169" s="169" t="str">
        <f t="shared" si="31"/>
        <v/>
      </c>
    </row>
    <row r="1170" spans="3:5">
      <c r="C1170" s="169" t="s">
        <v>146</v>
      </c>
      <c r="D1170" s="169" t="s">
        <v>146</v>
      </c>
      <c r="E1170" s="169" t="str">
        <f t="shared" si="31"/>
        <v/>
      </c>
    </row>
    <row r="1171" spans="3:5">
      <c r="C1171" s="169" t="s">
        <v>146</v>
      </c>
      <c r="D1171" s="169" t="s">
        <v>146</v>
      </c>
      <c r="E1171" s="169" t="str">
        <f t="shared" si="31"/>
        <v/>
      </c>
    </row>
    <row r="1172" spans="3:5">
      <c r="C1172" s="169" t="s">
        <v>146</v>
      </c>
      <c r="D1172" s="169" t="s">
        <v>146</v>
      </c>
      <c r="E1172" s="169" t="str">
        <f t="shared" si="31"/>
        <v/>
      </c>
    </row>
    <row r="1173" spans="3:5">
      <c r="C1173" s="169" t="s">
        <v>146</v>
      </c>
      <c r="D1173" s="169" t="s">
        <v>146</v>
      </c>
      <c r="E1173" s="169" t="str">
        <f t="shared" si="31"/>
        <v/>
      </c>
    </row>
    <row r="1174" spans="3:5">
      <c r="C1174" s="169" t="s">
        <v>146</v>
      </c>
      <c r="D1174" s="169" t="s">
        <v>146</v>
      </c>
      <c r="E1174" s="169" t="str">
        <f t="shared" si="31"/>
        <v/>
      </c>
    </row>
    <row r="1175" spans="3:5">
      <c r="C1175" s="169" t="s">
        <v>146</v>
      </c>
      <c r="D1175" s="169" t="s">
        <v>146</v>
      </c>
      <c r="E1175" s="169" t="str">
        <f t="shared" si="31"/>
        <v/>
      </c>
    </row>
    <row r="1176" spans="3:5">
      <c r="C1176" s="169" t="s">
        <v>146</v>
      </c>
      <c r="D1176" s="169" t="s">
        <v>146</v>
      </c>
      <c r="E1176" s="169" t="str">
        <f t="shared" si="31"/>
        <v/>
      </c>
    </row>
    <row r="1177" spans="3:5">
      <c r="C1177" s="169" t="s">
        <v>146</v>
      </c>
      <c r="D1177" s="169" t="s">
        <v>146</v>
      </c>
      <c r="E1177" s="169" t="str">
        <f t="shared" si="31"/>
        <v/>
      </c>
    </row>
    <row r="1178" spans="3:5">
      <c r="C1178" s="169" t="s">
        <v>146</v>
      </c>
      <c r="D1178" s="169" t="s">
        <v>146</v>
      </c>
      <c r="E1178" s="169" t="str">
        <f t="shared" si="31"/>
        <v/>
      </c>
    </row>
    <row r="1179" spans="3:5">
      <c r="C1179" s="169" t="s">
        <v>146</v>
      </c>
      <c r="D1179" s="169" t="s">
        <v>146</v>
      </c>
      <c r="E1179" s="169" t="str">
        <f t="shared" si="31"/>
        <v/>
      </c>
    </row>
    <row r="1180" spans="3:5">
      <c r="C1180" s="169" t="s">
        <v>146</v>
      </c>
      <c r="D1180" s="169" t="s">
        <v>146</v>
      </c>
      <c r="E1180" s="169" t="str">
        <f t="shared" si="31"/>
        <v/>
      </c>
    </row>
    <row r="1181" spans="3:5">
      <c r="C1181" s="169" t="s">
        <v>146</v>
      </c>
      <c r="D1181" s="169" t="s">
        <v>146</v>
      </c>
      <c r="E1181" s="169" t="str">
        <f t="shared" si="31"/>
        <v/>
      </c>
    </row>
    <row r="1182" spans="3:5">
      <c r="C1182" s="169" t="s">
        <v>146</v>
      </c>
      <c r="D1182" s="169" t="s">
        <v>146</v>
      </c>
      <c r="E1182" s="169" t="str">
        <f t="shared" si="31"/>
        <v/>
      </c>
    </row>
    <row r="1183" spans="3:5">
      <c r="C1183" s="169" t="s">
        <v>146</v>
      </c>
      <c r="D1183" s="169" t="s">
        <v>146</v>
      </c>
      <c r="E1183" s="169" t="str">
        <f t="shared" si="31"/>
        <v/>
      </c>
    </row>
    <row r="1184" spans="3:5">
      <c r="C1184" s="169" t="s">
        <v>146</v>
      </c>
      <c r="D1184" s="169" t="s">
        <v>146</v>
      </c>
      <c r="E1184" s="169" t="str">
        <f t="shared" si="31"/>
        <v/>
      </c>
    </row>
    <row r="1185" spans="3:5">
      <c r="C1185" s="169" t="s">
        <v>146</v>
      </c>
      <c r="D1185" s="169" t="s">
        <v>146</v>
      </c>
      <c r="E1185" s="169" t="str">
        <f t="shared" si="31"/>
        <v/>
      </c>
    </row>
    <row r="1186" spans="3:5">
      <c r="C1186" s="169" t="s">
        <v>146</v>
      </c>
      <c r="D1186" s="169" t="s">
        <v>146</v>
      </c>
      <c r="E1186" s="169" t="str">
        <f t="shared" si="31"/>
        <v/>
      </c>
    </row>
    <row r="1187" spans="3:5">
      <c r="C1187" s="169" t="s">
        <v>146</v>
      </c>
      <c r="D1187" s="169" t="s">
        <v>146</v>
      </c>
      <c r="E1187" s="169" t="str">
        <f t="shared" si="31"/>
        <v/>
      </c>
    </row>
    <row r="1188" spans="3:5">
      <c r="C1188" s="169" t="s">
        <v>146</v>
      </c>
      <c r="D1188" s="169" t="s">
        <v>146</v>
      </c>
      <c r="E1188" s="169" t="str">
        <f t="shared" si="31"/>
        <v/>
      </c>
    </row>
    <row r="1189" spans="3:5">
      <c r="C1189" s="169" t="s">
        <v>146</v>
      </c>
      <c r="D1189" s="169" t="s">
        <v>146</v>
      </c>
      <c r="E1189" s="169" t="str">
        <f t="shared" si="31"/>
        <v/>
      </c>
    </row>
    <row r="1190" spans="3:5">
      <c r="C1190" s="169" t="s">
        <v>146</v>
      </c>
      <c r="D1190" s="169" t="s">
        <v>146</v>
      </c>
      <c r="E1190" s="169" t="str">
        <f t="shared" si="31"/>
        <v/>
      </c>
    </row>
    <row r="1191" spans="3:5">
      <c r="C1191" s="169" t="s">
        <v>146</v>
      </c>
      <c r="D1191" s="169" t="s">
        <v>146</v>
      </c>
      <c r="E1191" s="169" t="str">
        <f t="shared" si="31"/>
        <v/>
      </c>
    </row>
    <row r="1192" spans="3:5">
      <c r="C1192" s="169" t="s">
        <v>146</v>
      </c>
      <c r="D1192" s="169" t="s">
        <v>146</v>
      </c>
      <c r="E1192" s="169" t="str">
        <f t="shared" si="31"/>
        <v/>
      </c>
    </row>
    <row r="1193" spans="3:5">
      <c r="C1193" s="169" t="s">
        <v>146</v>
      </c>
      <c r="D1193" s="169" t="s">
        <v>146</v>
      </c>
      <c r="E1193" s="169" t="str">
        <f t="shared" si="31"/>
        <v/>
      </c>
    </row>
    <row r="1194" spans="3:5">
      <c r="C1194" s="169" t="s">
        <v>146</v>
      </c>
      <c r="D1194" s="169" t="s">
        <v>146</v>
      </c>
      <c r="E1194" s="169" t="str">
        <f t="shared" si="31"/>
        <v/>
      </c>
    </row>
    <row r="1195" spans="3:5">
      <c r="C1195" s="169" t="s">
        <v>146</v>
      </c>
      <c r="D1195" s="169" t="s">
        <v>146</v>
      </c>
      <c r="E1195" s="169" t="str">
        <f t="shared" si="31"/>
        <v/>
      </c>
    </row>
    <row r="1196" spans="3:5">
      <c r="C1196" s="169" t="s">
        <v>146</v>
      </c>
      <c r="D1196" s="169" t="s">
        <v>146</v>
      </c>
      <c r="E1196" s="169" t="str">
        <f t="shared" si="31"/>
        <v/>
      </c>
    </row>
    <row r="1197" spans="3:5">
      <c r="C1197" s="169" t="s">
        <v>146</v>
      </c>
      <c r="D1197" s="169" t="s">
        <v>146</v>
      </c>
      <c r="E1197" s="169" t="str">
        <f t="shared" si="31"/>
        <v/>
      </c>
    </row>
    <row r="1198" spans="3:5">
      <c r="C1198" s="169" t="s">
        <v>146</v>
      </c>
      <c r="D1198" s="169" t="s">
        <v>146</v>
      </c>
      <c r="E1198" s="169" t="str">
        <f t="shared" si="31"/>
        <v/>
      </c>
    </row>
    <row r="1199" spans="3:5">
      <c r="C1199" s="169" t="s">
        <v>146</v>
      </c>
      <c r="D1199" s="169" t="s">
        <v>146</v>
      </c>
      <c r="E1199" s="169" t="str">
        <f t="shared" si="31"/>
        <v/>
      </c>
    </row>
    <row r="1200" spans="3:5">
      <c r="C1200" s="169" t="s">
        <v>146</v>
      </c>
      <c r="D1200" s="169" t="s">
        <v>146</v>
      </c>
      <c r="E1200" s="169" t="str">
        <f t="shared" si="31"/>
        <v/>
      </c>
    </row>
    <row r="1201" spans="3:5">
      <c r="C1201" s="169" t="s">
        <v>146</v>
      </c>
      <c r="D1201" s="169" t="s">
        <v>146</v>
      </c>
      <c r="E1201" s="169" t="str">
        <f t="shared" si="31"/>
        <v/>
      </c>
    </row>
    <row r="1202" spans="3:5">
      <c r="C1202" s="169" t="s">
        <v>146</v>
      </c>
      <c r="D1202" s="169" t="s">
        <v>146</v>
      </c>
      <c r="E1202" s="169" t="str">
        <f t="shared" si="31"/>
        <v/>
      </c>
    </row>
    <row r="1203" spans="3:5">
      <c r="C1203" s="169" t="s">
        <v>146</v>
      </c>
      <c r="D1203" s="169" t="s">
        <v>146</v>
      </c>
      <c r="E1203" s="169" t="str">
        <f t="shared" si="31"/>
        <v/>
      </c>
    </row>
    <row r="1204" spans="3:5">
      <c r="C1204" s="169" t="s">
        <v>146</v>
      </c>
      <c r="D1204" s="169" t="s">
        <v>146</v>
      </c>
      <c r="E1204" s="169" t="str">
        <f t="shared" si="31"/>
        <v/>
      </c>
    </row>
    <row r="1205" spans="3:5">
      <c r="C1205" s="169" t="s">
        <v>146</v>
      </c>
      <c r="D1205" s="169" t="s">
        <v>146</v>
      </c>
      <c r="E1205" s="169" t="str">
        <f t="shared" si="31"/>
        <v/>
      </c>
    </row>
    <row r="1206" spans="3:5">
      <c r="C1206" s="169" t="s">
        <v>146</v>
      </c>
      <c r="D1206" s="169" t="s">
        <v>146</v>
      </c>
      <c r="E1206" s="169" t="str">
        <f t="shared" si="31"/>
        <v/>
      </c>
    </row>
    <row r="1207" spans="3:5">
      <c r="C1207" s="169" t="s">
        <v>146</v>
      </c>
      <c r="D1207" s="169" t="s">
        <v>146</v>
      </c>
      <c r="E1207" s="169" t="str">
        <f t="shared" si="31"/>
        <v/>
      </c>
    </row>
    <row r="1208" spans="3:5">
      <c r="C1208" s="169" t="s">
        <v>146</v>
      </c>
      <c r="D1208" s="169" t="s">
        <v>146</v>
      </c>
      <c r="E1208" s="169" t="str">
        <f t="shared" si="31"/>
        <v/>
      </c>
    </row>
    <row r="1209" spans="3:5">
      <c r="C1209" s="169" t="s">
        <v>146</v>
      </c>
      <c r="D1209" s="169" t="s">
        <v>146</v>
      </c>
      <c r="E1209" s="169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54" workbookViewId="0">
      <selection activeCell="E396" sqref="E396"/>
    </sheetView>
  </sheetViews>
  <sheetFormatPr baseColWidth="10" defaultColWidth="11.42578125" defaultRowHeight="11.25"/>
  <cols>
    <col min="1" max="2" width="11.42578125" style="104"/>
    <col min="3" max="3" width="13.42578125" style="104" bestFit="1" customWidth="1"/>
    <col min="4" max="9" width="11.42578125" style="104"/>
    <col min="10" max="10" width="11.42578125" style="218"/>
    <col min="11" max="16384" width="11.42578125" style="104"/>
  </cols>
  <sheetData>
    <row r="2" spans="2:11">
      <c r="B2" s="143" t="s">
        <v>26</v>
      </c>
    </row>
    <row r="3" spans="2:11" ht="22.5">
      <c r="B3" s="219" t="s">
        <v>30</v>
      </c>
      <c r="C3" s="220" t="s">
        <v>31</v>
      </c>
      <c r="D3" s="234"/>
      <c r="E3" s="221" t="s">
        <v>32</v>
      </c>
      <c r="F3" s="221" t="s">
        <v>33</v>
      </c>
      <c r="G3" s="220" t="s">
        <v>34</v>
      </c>
      <c r="H3" s="222"/>
      <c r="I3" s="223"/>
      <c r="J3" s="148"/>
    </row>
    <row r="4" spans="2:11">
      <c r="B4" s="224" t="s">
        <v>182</v>
      </c>
      <c r="C4" s="225">
        <f>Dat_02!B3</f>
        <v>44621</v>
      </c>
      <c r="D4" s="224"/>
      <c r="E4" s="226">
        <f>Dat_02!C3</f>
        <v>31.279735412993375</v>
      </c>
      <c r="F4" s="226">
        <f>Dat_02!D3</f>
        <v>128.70213492494773</v>
      </c>
      <c r="G4" s="226">
        <f>Dat_02!E3</f>
        <v>31.279735412993375</v>
      </c>
      <c r="I4" s="227">
        <f>Dat_02!G3</f>
        <v>0</v>
      </c>
      <c r="J4" s="233" t="str">
        <f>IF(Dat_02!H3=0,"",Dat_02!H3)</f>
        <v/>
      </c>
      <c r="K4" s="104" t="str">
        <f>IF(J4=0,"",J4)</f>
        <v/>
      </c>
    </row>
    <row r="5" spans="2:11">
      <c r="B5" s="224"/>
      <c r="C5" s="225">
        <f>Dat_02!B4</f>
        <v>44622</v>
      </c>
      <c r="D5" s="224"/>
      <c r="E5" s="226">
        <f>Dat_02!C4</f>
        <v>40.665392179673312</v>
      </c>
      <c r="F5" s="226">
        <f>Dat_02!D4</f>
        <v>128.70213492494773</v>
      </c>
      <c r="G5" s="226">
        <f>Dat_02!E4</f>
        <v>40.665392179673312</v>
      </c>
      <c r="I5" s="227">
        <f>Dat_02!G4</f>
        <v>0</v>
      </c>
      <c r="J5" s="233" t="str">
        <f>IF(Dat_02!H4=0,"",Dat_02!H4)</f>
        <v/>
      </c>
    </row>
    <row r="6" spans="2:11">
      <c r="B6" s="224"/>
      <c r="C6" s="225">
        <f>Dat_02!B5</f>
        <v>44623</v>
      </c>
      <c r="D6" s="224"/>
      <c r="E6" s="226">
        <f>Dat_02!C5</f>
        <v>49.183056419673321</v>
      </c>
      <c r="F6" s="226">
        <f>Dat_02!D5</f>
        <v>128.70213492494773</v>
      </c>
      <c r="G6" s="226">
        <f>Dat_02!E5</f>
        <v>49.183056419673321</v>
      </c>
      <c r="I6" s="227">
        <f>Dat_02!G5</f>
        <v>0</v>
      </c>
      <c r="J6" s="233" t="str">
        <f>IF(Dat_02!H5=0,"",Dat_02!H5)</f>
        <v/>
      </c>
    </row>
    <row r="7" spans="2:11">
      <c r="B7" s="224"/>
      <c r="C7" s="225">
        <f>Dat_02!B6</f>
        <v>44624</v>
      </c>
      <c r="D7" s="224"/>
      <c r="E7" s="226">
        <f>Dat_02!C6</f>
        <v>39.208742935674245</v>
      </c>
      <c r="F7" s="226">
        <f>Dat_02!D6</f>
        <v>128.70213492494773</v>
      </c>
      <c r="G7" s="226">
        <f>Dat_02!E6</f>
        <v>39.208742935674245</v>
      </c>
      <c r="I7" s="227">
        <f>Dat_02!G6</f>
        <v>0</v>
      </c>
      <c r="J7" s="233" t="str">
        <f>IF(Dat_02!H6=0,"",Dat_02!H6)</f>
        <v/>
      </c>
    </row>
    <row r="8" spans="2:11">
      <c r="B8" s="224"/>
      <c r="C8" s="225">
        <f>Dat_02!B7</f>
        <v>44625</v>
      </c>
      <c r="D8" s="224"/>
      <c r="E8" s="226">
        <f>Dat_02!C7</f>
        <v>48.748244543674247</v>
      </c>
      <c r="F8" s="226">
        <f>Dat_02!D7</f>
        <v>128.70213492494773</v>
      </c>
      <c r="G8" s="226">
        <f>Dat_02!E7</f>
        <v>48.748244543674247</v>
      </c>
      <c r="I8" s="227">
        <f>Dat_02!G7</f>
        <v>0</v>
      </c>
      <c r="J8" s="233" t="str">
        <f>IF(Dat_02!H7=0,"",Dat_02!H7)</f>
        <v/>
      </c>
    </row>
    <row r="9" spans="2:11">
      <c r="B9" s="224"/>
      <c r="C9" s="225">
        <f>Dat_02!B8</f>
        <v>44626</v>
      </c>
      <c r="D9" s="224"/>
      <c r="E9" s="226">
        <f>Dat_02!C8</f>
        <v>45.612390035673315</v>
      </c>
      <c r="F9" s="226">
        <f>Dat_02!D8</f>
        <v>128.70213492494773</v>
      </c>
      <c r="G9" s="226">
        <f>Dat_02!E8</f>
        <v>45.612390035673315</v>
      </c>
      <c r="I9" s="227">
        <f>Dat_02!G8</f>
        <v>0</v>
      </c>
      <c r="J9" s="233" t="str">
        <f>IF(Dat_02!H8=0,"",Dat_02!H8)</f>
        <v/>
      </c>
    </row>
    <row r="10" spans="2:11">
      <c r="B10" s="224"/>
      <c r="C10" s="225">
        <f>Dat_02!B9</f>
        <v>44627</v>
      </c>
      <c r="D10" s="224"/>
      <c r="E10" s="226">
        <f>Dat_02!C9</f>
        <v>60.487663323673317</v>
      </c>
      <c r="F10" s="226">
        <f>Dat_02!D9</f>
        <v>128.70213492494773</v>
      </c>
      <c r="G10" s="226">
        <f>Dat_02!E9</f>
        <v>60.487663323673317</v>
      </c>
      <c r="I10" s="227">
        <f>Dat_02!G9</f>
        <v>0</v>
      </c>
      <c r="J10" s="233" t="str">
        <f>IF(Dat_02!H9=0,"",Dat_02!H9)</f>
        <v/>
      </c>
    </row>
    <row r="11" spans="2:11">
      <c r="B11" s="224"/>
      <c r="C11" s="225">
        <f>Dat_02!B10</f>
        <v>44628</v>
      </c>
      <c r="D11" s="224"/>
      <c r="E11" s="226">
        <f>Dat_02!C10</f>
        <v>36.825309775673311</v>
      </c>
      <c r="F11" s="226">
        <f>Dat_02!D10</f>
        <v>128.70213492494773</v>
      </c>
      <c r="G11" s="226">
        <f>Dat_02!E10</f>
        <v>36.825309775673311</v>
      </c>
      <c r="I11" s="227">
        <f>Dat_02!G10</f>
        <v>0</v>
      </c>
      <c r="J11" s="233" t="str">
        <f>IF(Dat_02!H10=0,"",Dat_02!H10)</f>
        <v/>
      </c>
    </row>
    <row r="12" spans="2:11">
      <c r="B12" s="224"/>
      <c r="C12" s="225">
        <f>Dat_02!B11</f>
        <v>44629</v>
      </c>
      <c r="D12" s="224"/>
      <c r="E12" s="226">
        <f>Dat_02!C11</f>
        <v>62.473295105205558</v>
      </c>
      <c r="F12" s="226">
        <f>Dat_02!D11</f>
        <v>128.70213492494773</v>
      </c>
      <c r="G12" s="226">
        <f>Dat_02!E11</f>
        <v>62.473295105205558</v>
      </c>
      <c r="I12" s="227">
        <f>Dat_02!G11</f>
        <v>0</v>
      </c>
      <c r="J12" s="233" t="str">
        <f>IF(Dat_02!H11=0,"",Dat_02!H11)</f>
        <v/>
      </c>
    </row>
    <row r="13" spans="2:11">
      <c r="B13" s="224"/>
      <c r="C13" s="225">
        <f>Dat_02!B12</f>
        <v>44630</v>
      </c>
      <c r="D13" s="224"/>
      <c r="E13" s="226">
        <f>Dat_02!C12</f>
        <v>54.805093327205562</v>
      </c>
      <c r="F13" s="226">
        <f>Dat_02!D12</f>
        <v>128.70213492494773</v>
      </c>
      <c r="G13" s="226">
        <f>Dat_02!E12</f>
        <v>54.805093327205562</v>
      </c>
      <c r="I13" s="227">
        <f>Dat_02!G12</f>
        <v>0</v>
      </c>
      <c r="J13" s="233" t="str">
        <f>IF(Dat_02!H12=0,"",Dat_02!H12)</f>
        <v/>
      </c>
    </row>
    <row r="14" spans="2:11">
      <c r="B14" s="224"/>
      <c r="C14" s="225">
        <f>Dat_02!B13</f>
        <v>44631</v>
      </c>
      <c r="D14" s="224"/>
      <c r="E14" s="226">
        <f>Dat_02!C13</f>
        <v>60.894541755205559</v>
      </c>
      <c r="F14" s="226">
        <f>Dat_02!D13</f>
        <v>128.70213492494773</v>
      </c>
      <c r="G14" s="226">
        <f>Dat_02!E13</f>
        <v>60.894541755205559</v>
      </c>
      <c r="I14" s="227">
        <f>Dat_02!G13</f>
        <v>0</v>
      </c>
      <c r="J14" s="233" t="str">
        <f>IF(Dat_02!H13=0,"",Dat_02!H13)</f>
        <v/>
      </c>
    </row>
    <row r="15" spans="2:11">
      <c r="B15" s="224"/>
      <c r="C15" s="225">
        <f>Dat_02!B14</f>
        <v>44632</v>
      </c>
      <c r="D15" s="224"/>
      <c r="E15" s="226">
        <f>Dat_02!C14</f>
        <v>58.971251285206492</v>
      </c>
      <c r="F15" s="226">
        <f>Dat_02!D14</f>
        <v>128.70213492494773</v>
      </c>
      <c r="G15" s="226">
        <f>Dat_02!E14</f>
        <v>58.971251285206492</v>
      </c>
      <c r="I15" s="227">
        <f>Dat_02!G14</f>
        <v>0</v>
      </c>
      <c r="J15" s="233" t="str">
        <f>IF(Dat_02!H14=0,"",Dat_02!H14)</f>
        <v/>
      </c>
    </row>
    <row r="16" spans="2:11">
      <c r="B16" s="224"/>
      <c r="C16" s="225">
        <f>Dat_02!B15</f>
        <v>44633</v>
      </c>
      <c r="D16" s="224"/>
      <c r="E16" s="226">
        <f>Dat_02!C15</f>
        <v>60.365817731206498</v>
      </c>
      <c r="F16" s="226">
        <f>Dat_02!D15</f>
        <v>128.70213492494773</v>
      </c>
      <c r="G16" s="226">
        <f>Dat_02!E15</f>
        <v>60.365817731206498</v>
      </c>
      <c r="I16" s="227">
        <f>Dat_02!G15</f>
        <v>0</v>
      </c>
      <c r="J16" s="233" t="str">
        <f>IF(Dat_02!H15=0,"",Dat_02!H15)</f>
        <v/>
      </c>
    </row>
    <row r="17" spans="2:10">
      <c r="B17" s="224"/>
      <c r="C17" s="225">
        <f>Dat_02!B16</f>
        <v>44634</v>
      </c>
      <c r="D17" s="224"/>
      <c r="E17" s="226">
        <f>Dat_02!C16</f>
        <v>63.499387503205561</v>
      </c>
      <c r="F17" s="226">
        <f>Dat_02!D16</f>
        <v>128.70213492494773</v>
      </c>
      <c r="G17" s="226">
        <f>Dat_02!E16</f>
        <v>63.499387503205561</v>
      </c>
      <c r="I17" s="227">
        <f>Dat_02!G16</f>
        <v>0</v>
      </c>
      <c r="J17" s="233" t="str">
        <f>IF(Dat_02!H16=0,"",Dat_02!H16)</f>
        <v/>
      </c>
    </row>
    <row r="18" spans="2:10">
      <c r="B18" s="224"/>
      <c r="C18" s="225">
        <f>Dat_02!B17</f>
        <v>44635</v>
      </c>
      <c r="D18" s="224"/>
      <c r="E18" s="226">
        <f>Dat_02!C17</f>
        <v>88.284353825206495</v>
      </c>
      <c r="F18" s="226">
        <f>Dat_02!D17</f>
        <v>128.70213492494773</v>
      </c>
      <c r="G18" s="226">
        <f>Dat_02!E17</f>
        <v>88.284353825206495</v>
      </c>
      <c r="I18" s="227">
        <f>Dat_02!G17</f>
        <v>128.70213492494773</v>
      </c>
      <c r="J18" s="233" t="str">
        <f>IF(Dat_02!H17=0,"",Dat_02!H17)</f>
        <v/>
      </c>
    </row>
    <row r="19" spans="2:10">
      <c r="B19" s="224"/>
      <c r="C19" s="225">
        <f>Dat_02!B18</f>
        <v>44636</v>
      </c>
      <c r="D19" s="224"/>
      <c r="E19" s="226">
        <f>Dat_02!C18</f>
        <v>105.48959278317858</v>
      </c>
      <c r="F19" s="226">
        <f>Dat_02!D18</f>
        <v>128.70213492494773</v>
      </c>
      <c r="G19" s="226">
        <f>Dat_02!E18</f>
        <v>105.48959278317858</v>
      </c>
      <c r="I19" s="227">
        <f>Dat_02!G18</f>
        <v>0</v>
      </c>
      <c r="J19" s="233" t="str">
        <f>IF(Dat_02!H18=0,"",Dat_02!H18)</f>
        <v/>
      </c>
    </row>
    <row r="20" spans="2:10">
      <c r="B20" s="224"/>
      <c r="C20" s="225">
        <f>Dat_02!B19</f>
        <v>44637</v>
      </c>
      <c r="D20" s="224"/>
      <c r="E20" s="226">
        <f>Dat_02!C19</f>
        <v>76.019370677176724</v>
      </c>
      <c r="F20" s="226">
        <f>Dat_02!D19</f>
        <v>128.70213492494773</v>
      </c>
      <c r="G20" s="226">
        <f>Dat_02!E19</f>
        <v>76.019370677176724</v>
      </c>
      <c r="I20" s="227">
        <f>Dat_02!G19</f>
        <v>0</v>
      </c>
      <c r="J20" s="233" t="str">
        <f>IF(Dat_02!H19=0,"",Dat_02!H19)</f>
        <v/>
      </c>
    </row>
    <row r="21" spans="2:10">
      <c r="B21" s="224"/>
      <c r="C21" s="225">
        <f>Dat_02!B20</f>
        <v>44638</v>
      </c>
      <c r="D21" s="224"/>
      <c r="E21" s="226">
        <f>Dat_02!C20</f>
        <v>83.188072599177659</v>
      </c>
      <c r="F21" s="226">
        <f>Dat_02!D20</f>
        <v>128.70213492494773</v>
      </c>
      <c r="G21" s="226">
        <f>Dat_02!E20</f>
        <v>83.188072599177659</v>
      </c>
      <c r="I21" s="227">
        <f>Dat_02!G20</f>
        <v>0</v>
      </c>
      <c r="J21" s="233" t="str">
        <f>IF(Dat_02!H20=0,"",Dat_02!H20)</f>
        <v/>
      </c>
    </row>
    <row r="22" spans="2:10">
      <c r="B22" s="224"/>
      <c r="C22" s="225">
        <f>Dat_02!B21</f>
        <v>44639</v>
      </c>
      <c r="D22" s="224"/>
      <c r="E22" s="226">
        <f>Dat_02!C21</f>
        <v>72.543714351177655</v>
      </c>
      <c r="F22" s="226">
        <f>Dat_02!D21</f>
        <v>128.70213492494773</v>
      </c>
      <c r="G22" s="226">
        <f>Dat_02!E21</f>
        <v>72.543714351177655</v>
      </c>
      <c r="I22" s="227">
        <f>Dat_02!G21</f>
        <v>0</v>
      </c>
      <c r="J22" s="233" t="str">
        <f>IF(Dat_02!H21=0,"",Dat_02!H21)</f>
        <v/>
      </c>
    </row>
    <row r="23" spans="2:10">
      <c r="B23" s="224"/>
      <c r="C23" s="225">
        <f>Dat_02!B22</f>
        <v>44640</v>
      </c>
      <c r="D23" s="224"/>
      <c r="E23" s="226">
        <f>Dat_02!C22</f>
        <v>62.839279283177653</v>
      </c>
      <c r="F23" s="226">
        <f>Dat_02!D22</f>
        <v>128.70213492494773</v>
      </c>
      <c r="G23" s="226">
        <f>Dat_02!E22</f>
        <v>62.839279283177653</v>
      </c>
      <c r="I23" s="227">
        <f>Dat_02!G22</f>
        <v>0</v>
      </c>
      <c r="J23" s="233" t="str">
        <f>IF(Dat_02!H22=0,"",Dat_02!H22)</f>
        <v/>
      </c>
    </row>
    <row r="24" spans="2:10">
      <c r="B24" s="224"/>
      <c r="C24" s="225">
        <f>Dat_02!B23</f>
        <v>44641</v>
      </c>
      <c r="D24" s="224"/>
      <c r="E24" s="226">
        <f>Dat_02!C23</f>
        <v>63.955175147177648</v>
      </c>
      <c r="F24" s="226">
        <f>Dat_02!D23</f>
        <v>128.70213492494773</v>
      </c>
      <c r="G24" s="226">
        <f>Dat_02!E23</f>
        <v>63.955175147177648</v>
      </c>
      <c r="I24" s="227">
        <f>Dat_02!G23</f>
        <v>0</v>
      </c>
      <c r="J24" s="233" t="str">
        <f>IF(Dat_02!H23=0,"",Dat_02!H23)</f>
        <v/>
      </c>
    </row>
    <row r="25" spans="2:10">
      <c r="B25" s="224"/>
      <c r="C25" s="225">
        <f>Dat_02!B24</f>
        <v>44642</v>
      </c>
      <c r="D25" s="224"/>
      <c r="E25" s="226">
        <f>Dat_02!C24</f>
        <v>70.828786761177639</v>
      </c>
      <c r="F25" s="226">
        <f>Dat_02!D24</f>
        <v>128.70213492494773</v>
      </c>
      <c r="G25" s="226">
        <f>Dat_02!E24</f>
        <v>70.828786761177639</v>
      </c>
      <c r="I25" s="227">
        <f>Dat_02!G24</f>
        <v>0</v>
      </c>
      <c r="J25" s="233" t="str">
        <f>IF(Dat_02!H24=0,"",Dat_02!H24)</f>
        <v/>
      </c>
    </row>
    <row r="26" spans="2:10">
      <c r="B26" s="224"/>
      <c r="C26" s="225">
        <f>Dat_02!B25</f>
        <v>44643</v>
      </c>
      <c r="D26" s="224"/>
      <c r="E26" s="226">
        <f>Dat_02!C25</f>
        <v>96.006202122288954</v>
      </c>
      <c r="F26" s="226">
        <f>Dat_02!D25</f>
        <v>128.70213492494773</v>
      </c>
      <c r="G26" s="226">
        <f>Dat_02!E25</f>
        <v>96.006202122288954</v>
      </c>
      <c r="I26" s="227">
        <f>Dat_02!G25</f>
        <v>0</v>
      </c>
      <c r="J26" s="233" t="str">
        <f>IF(Dat_02!H25=0,"",Dat_02!H25)</f>
        <v/>
      </c>
    </row>
    <row r="27" spans="2:10">
      <c r="B27" s="224"/>
      <c r="C27" s="225">
        <f>Dat_02!B26</f>
        <v>44644</v>
      </c>
      <c r="D27" s="224"/>
      <c r="E27" s="226">
        <f>Dat_02!C26</f>
        <v>108.60737218828989</v>
      </c>
      <c r="F27" s="226">
        <f>Dat_02!D26</f>
        <v>128.70213492494773</v>
      </c>
      <c r="G27" s="226">
        <f>Dat_02!E26</f>
        <v>108.60737218828989</v>
      </c>
      <c r="I27" s="227">
        <f>Dat_02!G26</f>
        <v>0</v>
      </c>
      <c r="J27" s="233" t="str">
        <f>IF(Dat_02!H26=0,"",Dat_02!H26)</f>
        <v/>
      </c>
    </row>
    <row r="28" spans="2:10">
      <c r="B28" s="224"/>
      <c r="C28" s="225">
        <f>Dat_02!B27</f>
        <v>44645</v>
      </c>
      <c r="D28" s="224"/>
      <c r="E28" s="226">
        <f>Dat_02!C27</f>
        <v>101.19374737829082</v>
      </c>
      <c r="F28" s="226">
        <f>Dat_02!D27</f>
        <v>128.70213492494773</v>
      </c>
      <c r="G28" s="226">
        <f>Dat_02!E27</f>
        <v>101.19374737829082</v>
      </c>
      <c r="I28" s="227">
        <f>Dat_02!G27</f>
        <v>0</v>
      </c>
      <c r="J28" s="233" t="str">
        <f>IF(Dat_02!H27=0,"",Dat_02!H27)</f>
        <v/>
      </c>
    </row>
    <row r="29" spans="2:10">
      <c r="B29" s="224"/>
      <c r="C29" s="225">
        <f>Dat_02!B28</f>
        <v>44646</v>
      </c>
      <c r="D29" s="224"/>
      <c r="E29" s="226">
        <f>Dat_02!C28</f>
        <v>97.527889272288945</v>
      </c>
      <c r="F29" s="226">
        <f>Dat_02!D28</f>
        <v>128.70213492494773</v>
      </c>
      <c r="G29" s="226">
        <f>Dat_02!E28</f>
        <v>97.527889272288945</v>
      </c>
      <c r="I29" s="227">
        <f>Dat_02!G28</f>
        <v>0</v>
      </c>
      <c r="J29" s="233" t="str">
        <f>IF(Dat_02!H28=0,"",Dat_02!H28)</f>
        <v/>
      </c>
    </row>
    <row r="30" spans="2:10">
      <c r="B30" s="224"/>
      <c r="C30" s="225">
        <f>Dat_02!B29</f>
        <v>44647</v>
      </c>
      <c r="D30" s="224"/>
      <c r="E30" s="226">
        <f>Dat_02!C29</f>
        <v>76.892811546289892</v>
      </c>
      <c r="F30" s="226">
        <f>Dat_02!D29</f>
        <v>128.70213492494773</v>
      </c>
      <c r="G30" s="226">
        <f>Dat_02!E29</f>
        <v>76.892811546289892</v>
      </c>
      <c r="I30" s="227">
        <f>Dat_02!G29</f>
        <v>0</v>
      </c>
      <c r="J30" s="233" t="str">
        <f>IF(Dat_02!H29=0,"",Dat_02!H29)</f>
        <v/>
      </c>
    </row>
    <row r="31" spans="2:10">
      <c r="B31" s="224"/>
      <c r="C31" s="225">
        <f>Dat_02!B30</f>
        <v>44648</v>
      </c>
      <c r="D31" s="224"/>
      <c r="E31" s="226">
        <f>Dat_02!C30</f>
        <v>87.390972582288953</v>
      </c>
      <c r="F31" s="226">
        <f>Dat_02!D30</f>
        <v>128.70213492494773</v>
      </c>
      <c r="G31" s="226">
        <f>Dat_02!E30</f>
        <v>87.390972582288953</v>
      </c>
      <c r="I31" s="227">
        <f>Dat_02!G30</f>
        <v>0</v>
      </c>
      <c r="J31" s="233" t="str">
        <f>IF(Dat_02!H30=0,"",Dat_02!H30)</f>
        <v/>
      </c>
    </row>
    <row r="32" spans="2:10">
      <c r="B32" s="224"/>
      <c r="C32" s="225">
        <f>Dat_02!B31</f>
        <v>44649</v>
      </c>
      <c r="D32" s="224"/>
      <c r="E32" s="226">
        <f>Dat_02!C31</f>
        <v>99.47516137228989</v>
      </c>
      <c r="F32" s="226">
        <f>Dat_02!D31</f>
        <v>128.70213492494773</v>
      </c>
      <c r="G32" s="226">
        <f>Dat_02!E31</f>
        <v>99.47516137228989</v>
      </c>
      <c r="I32" s="227">
        <f>Dat_02!G31</f>
        <v>0</v>
      </c>
      <c r="J32" s="233" t="str">
        <f>IF(Dat_02!H31=0,"",Dat_02!H31)</f>
        <v/>
      </c>
    </row>
    <row r="33" spans="2:10">
      <c r="B33" s="224"/>
      <c r="C33" s="225">
        <f>Dat_02!B32</f>
        <v>44650</v>
      </c>
      <c r="D33" s="224"/>
      <c r="E33" s="226">
        <f>Dat_02!C32</f>
        <v>76.206657651458613</v>
      </c>
      <c r="F33" s="226">
        <f>Dat_02!D32</f>
        <v>128.70213492494773</v>
      </c>
      <c r="G33" s="226">
        <f>Dat_02!E32</f>
        <v>76.206657651458613</v>
      </c>
      <c r="I33" s="227">
        <f>Dat_02!G32</f>
        <v>0</v>
      </c>
      <c r="J33" s="233" t="str">
        <f>IF(Dat_02!H32=0,"",Dat_02!H32)</f>
        <v/>
      </c>
    </row>
    <row r="34" spans="2:10">
      <c r="B34" s="224"/>
      <c r="C34" s="225">
        <f>Dat_02!B33</f>
        <v>44651</v>
      </c>
      <c r="D34" s="224"/>
      <c r="E34" s="226">
        <f>Dat_02!C33</f>
        <v>77.826651207456749</v>
      </c>
      <c r="F34" s="226">
        <f>Dat_02!D33</f>
        <v>128.70213492494773</v>
      </c>
      <c r="G34" s="226">
        <f>Dat_02!E33</f>
        <v>77.826651207456749</v>
      </c>
      <c r="I34" s="227">
        <f>Dat_02!G33</f>
        <v>0</v>
      </c>
      <c r="J34" s="233" t="str">
        <f>IF(Dat_02!H33=0,"",Dat_02!H33)</f>
        <v/>
      </c>
    </row>
    <row r="35" spans="2:10">
      <c r="B35" s="224" t="s">
        <v>197</v>
      </c>
      <c r="C35" s="225">
        <f>Dat_02!B34</f>
        <v>44652</v>
      </c>
      <c r="D35" s="224"/>
      <c r="E35" s="226">
        <f>Dat_02!C34</f>
        <v>78.903165601457687</v>
      </c>
      <c r="F35" s="226">
        <f>Dat_02!D34</f>
        <v>125.24455872987446</v>
      </c>
      <c r="G35" s="226">
        <f>Dat_02!E34</f>
        <v>78.903165601457687</v>
      </c>
      <c r="I35" s="227">
        <f>Dat_02!G34</f>
        <v>0</v>
      </c>
      <c r="J35" s="233" t="str">
        <f>IF(Dat_02!H34=0,"",Dat_02!H34)</f>
        <v/>
      </c>
    </row>
    <row r="36" spans="2:10">
      <c r="B36" s="224"/>
      <c r="C36" s="225">
        <f>Dat_02!B35</f>
        <v>44653</v>
      </c>
      <c r="D36" s="224"/>
      <c r="E36" s="226">
        <f>Dat_02!C35</f>
        <v>63.104449265456751</v>
      </c>
      <c r="F36" s="226">
        <f>Dat_02!D35</f>
        <v>125.24455872987446</v>
      </c>
      <c r="G36" s="226">
        <f>Dat_02!E35</f>
        <v>63.104449265456751</v>
      </c>
      <c r="I36" s="227">
        <f>Dat_02!G35</f>
        <v>0</v>
      </c>
      <c r="J36" s="233" t="str">
        <f>IF(Dat_02!H35=0,"",Dat_02!H35)</f>
        <v/>
      </c>
    </row>
    <row r="37" spans="2:10">
      <c r="B37" s="224"/>
      <c r="C37" s="225">
        <f>Dat_02!B36</f>
        <v>44654</v>
      </c>
      <c r="D37" s="224"/>
      <c r="E37" s="226">
        <f>Dat_02!C36</f>
        <v>52.137112857457687</v>
      </c>
      <c r="F37" s="226">
        <f>Dat_02!D36</f>
        <v>125.24455872987446</v>
      </c>
      <c r="G37" s="226">
        <f>Dat_02!E36</f>
        <v>52.137112857457687</v>
      </c>
      <c r="I37" s="227">
        <f>Dat_02!G36</f>
        <v>0</v>
      </c>
      <c r="J37" s="233" t="str">
        <f>IF(Dat_02!H36=0,"",Dat_02!H36)</f>
        <v/>
      </c>
    </row>
    <row r="38" spans="2:10">
      <c r="B38" s="224"/>
      <c r="C38" s="225">
        <f>Dat_02!B37</f>
        <v>44655</v>
      </c>
      <c r="D38" s="224"/>
      <c r="E38" s="226">
        <f>Dat_02!C37</f>
        <v>70.88203800745768</v>
      </c>
      <c r="F38" s="226">
        <f>Dat_02!D37</f>
        <v>125.24455872987446</v>
      </c>
      <c r="G38" s="226">
        <f>Dat_02!E37</f>
        <v>70.88203800745768</v>
      </c>
      <c r="I38" s="227">
        <f>Dat_02!G37</f>
        <v>0</v>
      </c>
      <c r="J38" s="233" t="str">
        <f>IF(Dat_02!H37=0,"",Dat_02!H37)</f>
        <v/>
      </c>
    </row>
    <row r="39" spans="2:10">
      <c r="B39" s="224"/>
      <c r="C39" s="225">
        <f>Dat_02!B38</f>
        <v>44656</v>
      </c>
      <c r="D39" s="224"/>
      <c r="E39" s="226">
        <f>Dat_02!C38</f>
        <v>95.389061031456762</v>
      </c>
      <c r="F39" s="226">
        <f>Dat_02!D38</f>
        <v>125.24455872987446</v>
      </c>
      <c r="G39" s="226">
        <f>Dat_02!E38</f>
        <v>95.389061031456762</v>
      </c>
      <c r="I39" s="227">
        <f>Dat_02!G38</f>
        <v>0</v>
      </c>
      <c r="J39" s="233" t="str">
        <f>IF(Dat_02!H38=0,"",Dat_02!H38)</f>
        <v/>
      </c>
    </row>
    <row r="40" spans="2:10">
      <c r="B40" s="224"/>
      <c r="C40" s="225">
        <f>Dat_02!B39</f>
        <v>44657</v>
      </c>
      <c r="D40" s="224"/>
      <c r="E40" s="226">
        <f>Dat_02!C39</f>
        <v>75.626797753457225</v>
      </c>
      <c r="F40" s="226">
        <f>Dat_02!D39</f>
        <v>125.24455872987446</v>
      </c>
      <c r="G40" s="226">
        <f>Dat_02!E39</f>
        <v>75.626797753457225</v>
      </c>
      <c r="I40" s="227">
        <f>Dat_02!G39</f>
        <v>0</v>
      </c>
      <c r="J40" s="233" t="str">
        <f>IF(Dat_02!H39=0,"",Dat_02!H39)</f>
        <v/>
      </c>
    </row>
    <row r="41" spans="2:10">
      <c r="B41" s="224"/>
      <c r="C41" s="225">
        <f>Dat_02!B40</f>
        <v>44658</v>
      </c>
      <c r="D41" s="224"/>
      <c r="E41" s="226">
        <f>Dat_02!C40</f>
        <v>55.29940189945723</v>
      </c>
      <c r="F41" s="226">
        <f>Dat_02!D40</f>
        <v>125.24455872987446</v>
      </c>
      <c r="G41" s="226">
        <f>Dat_02!E40</f>
        <v>55.29940189945723</v>
      </c>
      <c r="I41" s="227">
        <f>Dat_02!G40</f>
        <v>0</v>
      </c>
      <c r="J41" s="233" t="str">
        <f>IF(Dat_02!H40=0,"",Dat_02!H40)</f>
        <v/>
      </c>
    </row>
    <row r="42" spans="2:10">
      <c r="B42" s="224"/>
      <c r="C42" s="225">
        <f>Dat_02!B41</f>
        <v>44659</v>
      </c>
      <c r="D42" s="224"/>
      <c r="E42" s="226">
        <f>Dat_02!C41</f>
        <v>51.852576833460027</v>
      </c>
      <c r="F42" s="226">
        <f>Dat_02!D41</f>
        <v>125.24455872987446</v>
      </c>
      <c r="G42" s="226">
        <f>Dat_02!E41</f>
        <v>51.852576833460027</v>
      </c>
      <c r="I42" s="227">
        <f>Dat_02!G41</f>
        <v>0</v>
      </c>
      <c r="J42" s="233" t="str">
        <f>IF(Dat_02!H41=0,"",Dat_02!H41)</f>
        <v/>
      </c>
    </row>
    <row r="43" spans="2:10">
      <c r="B43" s="224"/>
      <c r="C43" s="225">
        <f>Dat_02!B42</f>
        <v>44660</v>
      </c>
      <c r="D43" s="224"/>
      <c r="E43" s="226">
        <f>Dat_02!C42</f>
        <v>69.861402067457234</v>
      </c>
      <c r="F43" s="226">
        <f>Dat_02!D42</f>
        <v>125.24455872987446</v>
      </c>
      <c r="G43" s="226">
        <f>Dat_02!E42</f>
        <v>69.861402067457234</v>
      </c>
      <c r="I43" s="227">
        <f>Dat_02!G42</f>
        <v>0</v>
      </c>
      <c r="J43" s="233" t="str">
        <f>IF(Dat_02!H42=0,"",Dat_02!H42)</f>
        <v/>
      </c>
    </row>
    <row r="44" spans="2:10">
      <c r="B44" s="224"/>
      <c r="C44" s="225">
        <f>Dat_02!B43</f>
        <v>44661</v>
      </c>
      <c r="D44" s="224"/>
      <c r="E44" s="226">
        <f>Dat_02!C43</f>
        <v>39.9763521894563</v>
      </c>
      <c r="F44" s="226">
        <f>Dat_02!D43</f>
        <v>125.24455872987446</v>
      </c>
      <c r="G44" s="226">
        <f>Dat_02!E43</f>
        <v>39.9763521894563</v>
      </c>
      <c r="I44" s="227">
        <f>Dat_02!G43</f>
        <v>0</v>
      </c>
      <c r="J44" s="233" t="str">
        <f>IF(Dat_02!H43=0,"",Dat_02!H43)</f>
        <v/>
      </c>
    </row>
    <row r="45" spans="2:10">
      <c r="B45" s="224"/>
      <c r="C45" s="225">
        <f>Dat_02!B44</f>
        <v>44662</v>
      </c>
      <c r="D45" s="224"/>
      <c r="E45" s="226">
        <f>Dat_02!C44</f>
        <v>45.858379089458161</v>
      </c>
      <c r="F45" s="226">
        <f>Dat_02!D44</f>
        <v>125.24455872987446</v>
      </c>
      <c r="G45" s="226">
        <f>Dat_02!E44</f>
        <v>45.858379089458161</v>
      </c>
      <c r="I45" s="227">
        <f>Dat_02!G44</f>
        <v>0</v>
      </c>
      <c r="J45" s="233" t="str">
        <f>IF(Dat_02!H44=0,"",Dat_02!H44)</f>
        <v/>
      </c>
    </row>
    <row r="46" spans="2:10">
      <c r="B46" s="224"/>
      <c r="C46" s="225">
        <f>Dat_02!B45</f>
        <v>44663</v>
      </c>
      <c r="D46" s="224"/>
      <c r="E46" s="226">
        <f>Dat_02!C45</f>
        <v>72.10542832545724</v>
      </c>
      <c r="F46" s="226">
        <f>Dat_02!D45</f>
        <v>125.24455872987446</v>
      </c>
      <c r="G46" s="226">
        <f>Dat_02!E45</f>
        <v>72.10542832545724</v>
      </c>
      <c r="I46" s="227">
        <f>Dat_02!G45</f>
        <v>0</v>
      </c>
      <c r="J46" s="233" t="str">
        <f>IF(Dat_02!H45=0,"",Dat_02!H45)</f>
        <v/>
      </c>
    </row>
    <row r="47" spans="2:10">
      <c r="B47" s="224"/>
      <c r="C47" s="225">
        <f>Dat_02!B46</f>
        <v>44664</v>
      </c>
      <c r="D47" s="224"/>
      <c r="E47" s="226">
        <f>Dat_02!C46</f>
        <v>96.026662481449165</v>
      </c>
      <c r="F47" s="226">
        <f>Dat_02!D46</f>
        <v>125.24455872987446</v>
      </c>
      <c r="G47" s="226">
        <f>Dat_02!E46</f>
        <v>96.026662481449165</v>
      </c>
      <c r="I47" s="227">
        <f>Dat_02!G46</f>
        <v>0</v>
      </c>
      <c r="J47" s="233" t="str">
        <f>IF(Dat_02!H46=0,"",Dat_02!H46)</f>
        <v/>
      </c>
    </row>
    <row r="48" spans="2:10">
      <c r="B48" s="224"/>
      <c r="C48" s="225">
        <f>Dat_02!B47</f>
        <v>44665</v>
      </c>
      <c r="D48" s="224"/>
      <c r="E48" s="226">
        <f>Dat_02!C47</f>
        <v>80.384848453449166</v>
      </c>
      <c r="F48" s="226">
        <f>Dat_02!D47</f>
        <v>125.24455872987446</v>
      </c>
      <c r="G48" s="226">
        <f>Dat_02!E47</f>
        <v>80.384848453449166</v>
      </c>
      <c r="I48" s="227">
        <f>Dat_02!G47</f>
        <v>0</v>
      </c>
      <c r="J48" s="233" t="str">
        <f>IF(Dat_02!H47=0,"",Dat_02!H47)</f>
        <v/>
      </c>
    </row>
    <row r="49" spans="2:10">
      <c r="B49" s="224"/>
      <c r="C49" s="225">
        <f>Dat_02!B48</f>
        <v>44666</v>
      </c>
      <c r="D49" s="224"/>
      <c r="E49" s="226">
        <f>Dat_02!C48</f>
        <v>73.85114523344825</v>
      </c>
      <c r="F49" s="226">
        <f>Dat_02!D48</f>
        <v>125.24455872987446</v>
      </c>
      <c r="G49" s="226">
        <f>Dat_02!E48</f>
        <v>73.85114523344825</v>
      </c>
      <c r="I49" s="227">
        <f>Dat_02!G48</f>
        <v>125.24455872987446</v>
      </c>
      <c r="J49" s="233" t="str">
        <f>IF(Dat_02!H48=0,"",Dat_02!H48)</f>
        <v/>
      </c>
    </row>
    <row r="50" spans="2:10">
      <c r="B50" s="224"/>
      <c r="C50" s="225">
        <f>Dat_02!B49</f>
        <v>44667</v>
      </c>
      <c r="D50" s="224"/>
      <c r="E50" s="226">
        <f>Dat_02!C49</f>
        <v>64.603759637449173</v>
      </c>
      <c r="F50" s="226">
        <f>Dat_02!D49</f>
        <v>125.24455872987446</v>
      </c>
      <c r="G50" s="226">
        <f>Dat_02!E49</f>
        <v>64.603759637449173</v>
      </c>
      <c r="I50" s="227">
        <f>Dat_02!G49</f>
        <v>0</v>
      </c>
      <c r="J50" s="233" t="str">
        <f>IF(Dat_02!H49=0,"",Dat_02!H49)</f>
        <v/>
      </c>
    </row>
    <row r="51" spans="2:10">
      <c r="B51" s="224"/>
      <c r="C51" s="225">
        <f>Dat_02!B50</f>
        <v>44668</v>
      </c>
      <c r="D51" s="224"/>
      <c r="E51" s="226">
        <f>Dat_02!C50</f>
        <v>71.977446119449169</v>
      </c>
      <c r="F51" s="226">
        <f>Dat_02!D50</f>
        <v>125.24455872987446</v>
      </c>
      <c r="G51" s="226">
        <f>Dat_02!E50</f>
        <v>71.977446119449169</v>
      </c>
      <c r="I51" s="227">
        <f>Dat_02!G50</f>
        <v>0</v>
      </c>
      <c r="J51" s="233" t="str">
        <f>IF(Dat_02!H50=0,"",Dat_02!H50)</f>
        <v/>
      </c>
    </row>
    <row r="52" spans="2:10">
      <c r="B52" s="224"/>
      <c r="C52" s="225">
        <f>Dat_02!B51</f>
        <v>44669</v>
      </c>
      <c r="D52" s="224"/>
      <c r="E52" s="226">
        <f>Dat_02!C51</f>
        <v>78.683369269448249</v>
      </c>
      <c r="F52" s="226">
        <f>Dat_02!D51</f>
        <v>125.24455872987446</v>
      </c>
      <c r="G52" s="226">
        <f>Dat_02!E51</f>
        <v>78.683369269448249</v>
      </c>
      <c r="I52" s="227">
        <f>Dat_02!G51</f>
        <v>0</v>
      </c>
      <c r="J52" s="233" t="str">
        <f>IF(Dat_02!H51=0,"",Dat_02!H51)</f>
        <v/>
      </c>
    </row>
    <row r="53" spans="2:10">
      <c r="B53" s="224"/>
      <c r="C53" s="225">
        <f>Dat_02!B52</f>
        <v>44670</v>
      </c>
      <c r="D53" s="224"/>
      <c r="E53" s="226">
        <f>Dat_02!C52</f>
        <v>82.294955059450103</v>
      </c>
      <c r="F53" s="226">
        <f>Dat_02!D52</f>
        <v>125.24455872987446</v>
      </c>
      <c r="G53" s="226">
        <f>Dat_02!E52</f>
        <v>82.294955059450103</v>
      </c>
      <c r="I53" s="227">
        <f>Dat_02!G52</f>
        <v>0</v>
      </c>
      <c r="J53" s="233" t="str">
        <f>IF(Dat_02!H52=0,"",Dat_02!H52)</f>
        <v/>
      </c>
    </row>
    <row r="54" spans="2:10">
      <c r="B54" s="224"/>
      <c r="C54" s="225">
        <f>Dat_02!B53</f>
        <v>44671</v>
      </c>
      <c r="D54" s="224"/>
      <c r="E54" s="226">
        <f>Dat_02!C53</f>
        <v>90.835427421669962</v>
      </c>
      <c r="F54" s="226">
        <f>Dat_02!D53</f>
        <v>125.24455872987446</v>
      </c>
      <c r="G54" s="226">
        <f>Dat_02!E53</f>
        <v>90.835427421669962</v>
      </c>
      <c r="I54" s="227">
        <f>Dat_02!G53</f>
        <v>0</v>
      </c>
      <c r="J54" s="233" t="str">
        <f>IF(Dat_02!H53=0,"",Dat_02!H53)</f>
        <v/>
      </c>
    </row>
    <row r="55" spans="2:10">
      <c r="B55" s="224"/>
      <c r="C55" s="225">
        <f>Dat_02!B54</f>
        <v>44672</v>
      </c>
      <c r="D55" s="224"/>
      <c r="E55" s="226">
        <f>Dat_02!C54</f>
        <v>106.85861408966996</v>
      </c>
      <c r="F55" s="226">
        <f>Dat_02!D54</f>
        <v>125.24455872987446</v>
      </c>
      <c r="G55" s="226">
        <f>Dat_02!E54</f>
        <v>106.85861408966996</v>
      </c>
      <c r="I55" s="227">
        <f>Dat_02!G54</f>
        <v>0</v>
      </c>
      <c r="J55" s="233" t="str">
        <f>IF(Dat_02!H54=0,"",Dat_02!H54)</f>
        <v/>
      </c>
    </row>
    <row r="56" spans="2:10">
      <c r="B56" s="224"/>
      <c r="C56" s="225">
        <f>Dat_02!B55</f>
        <v>44673</v>
      </c>
      <c r="D56" s="224"/>
      <c r="E56" s="226">
        <f>Dat_02!C55</f>
        <v>109.20693919367089</v>
      </c>
      <c r="F56" s="226">
        <f>Dat_02!D55</f>
        <v>125.24455872987446</v>
      </c>
      <c r="G56" s="226">
        <f>Dat_02!E55</f>
        <v>109.20693919367089</v>
      </c>
      <c r="I56" s="227">
        <f>Dat_02!G55</f>
        <v>0</v>
      </c>
      <c r="J56" s="233" t="str">
        <f>IF(Dat_02!H55=0,"",Dat_02!H55)</f>
        <v/>
      </c>
    </row>
    <row r="57" spans="2:10">
      <c r="B57" s="224"/>
      <c r="C57" s="225">
        <f>Dat_02!B56</f>
        <v>44674</v>
      </c>
      <c r="D57" s="224"/>
      <c r="E57" s="226">
        <f>Dat_02!C56</f>
        <v>78.726994011670868</v>
      </c>
      <c r="F57" s="226">
        <f>Dat_02!D56</f>
        <v>125.24455872987446</v>
      </c>
      <c r="G57" s="226">
        <f>Dat_02!E56</f>
        <v>78.726994011670868</v>
      </c>
      <c r="I57" s="227">
        <f>Dat_02!G56</f>
        <v>0</v>
      </c>
      <c r="J57" s="233" t="str">
        <f>IF(Dat_02!H56=0,"",Dat_02!H56)</f>
        <v/>
      </c>
    </row>
    <row r="58" spans="2:10">
      <c r="B58" s="224"/>
      <c r="C58" s="225">
        <f>Dat_02!B57</f>
        <v>44675</v>
      </c>
      <c r="D58" s="224"/>
      <c r="E58" s="226">
        <f>Dat_02!C57</f>
        <v>90.988982781669961</v>
      </c>
      <c r="F58" s="226">
        <f>Dat_02!D57</f>
        <v>125.24455872987446</v>
      </c>
      <c r="G58" s="226">
        <f>Dat_02!E57</f>
        <v>90.988982781669961</v>
      </c>
      <c r="I58" s="227">
        <f>Dat_02!G57</f>
        <v>0</v>
      </c>
      <c r="J58" s="233" t="str">
        <f>IF(Dat_02!H57=0,"",Dat_02!H57)</f>
        <v/>
      </c>
    </row>
    <row r="59" spans="2:10">
      <c r="B59" s="224"/>
      <c r="C59" s="225">
        <f>Dat_02!B58</f>
        <v>44676</v>
      </c>
      <c r="D59" s="224"/>
      <c r="E59" s="226">
        <f>Dat_02!C58</f>
        <v>100.91112083766902</v>
      </c>
      <c r="F59" s="226">
        <f>Dat_02!D58</f>
        <v>125.24455872987446</v>
      </c>
      <c r="G59" s="226">
        <f>Dat_02!E58</f>
        <v>100.91112083766902</v>
      </c>
      <c r="I59" s="227">
        <f>Dat_02!G58</f>
        <v>0</v>
      </c>
      <c r="J59" s="233" t="str">
        <f>IF(Dat_02!H58=0,"",Dat_02!H58)</f>
        <v/>
      </c>
    </row>
    <row r="60" spans="2:10">
      <c r="B60" s="224"/>
      <c r="C60" s="225">
        <f>Dat_02!B59</f>
        <v>44677</v>
      </c>
      <c r="D60" s="224"/>
      <c r="E60" s="226">
        <f>Dat_02!C59</f>
        <v>103.94697229367088</v>
      </c>
      <c r="F60" s="226">
        <f>Dat_02!D59</f>
        <v>125.24455872987446</v>
      </c>
      <c r="G60" s="226">
        <f>Dat_02!E59</f>
        <v>103.94697229367088</v>
      </c>
      <c r="I60" s="227">
        <f>Dat_02!G59</f>
        <v>0</v>
      </c>
      <c r="J60" s="233" t="str">
        <f>IF(Dat_02!H59=0,"",Dat_02!H59)</f>
        <v/>
      </c>
    </row>
    <row r="61" spans="2:10">
      <c r="B61" s="224"/>
      <c r="C61" s="225">
        <f>Dat_02!B60</f>
        <v>44678</v>
      </c>
      <c r="D61" s="224"/>
      <c r="E61" s="226">
        <f>Dat_02!C60</f>
        <v>98.988371420552696</v>
      </c>
      <c r="F61" s="226">
        <f>Dat_02!D60</f>
        <v>125.24455872987446</v>
      </c>
      <c r="G61" s="226">
        <f>Dat_02!E60</f>
        <v>98.988371420552696</v>
      </c>
      <c r="I61" s="227">
        <f>Dat_02!G60</f>
        <v>0</v>
      </c>
      <c r="J61" s="233" t="str">
        <f>IF(Dat_02!H60=0,"",Dat_02!H60)</f>
        <v/>
      </c>
    </row>
    <row r="62" spans="2:10">
      <c r="B62" s="224"/>
      <c r="C62" s="225">
        <f>Dat_02!B61</f>
        <v>44679</v>
      </c>
      <c r="D62" s="224"/>
      <c r="E62" s="226">
        <f>Dat_02!C61</f>
        <v>113.96147318455084</v>
      </c>
      <c r="F62" s="226">
        <f>Dat_02!D61</f>
        <v>125.24455872987446</v>
      </c>
      <c r="G62" s="226">
        <f>Dat_02!E61</f>
        <v>113.96147318455084</v>
      </c>
      <c r="I62" s="227">
        <f>Dat_02!G61</f>
        <v>0</v>
      </c>
      <c r="J62" s="233" t="str">
        <f>IF(Dat_02!H61=0,"",Dat_02!H61)</f>
        <v/>
      </c>
    </row>
    <row r="63" spans="2:10">
      <c r="B63" s="224"/>
      <c r="C63" s="225">
        <f>Dat_02!B62</f>
        <v>44680</v>
      </c>
      <c r="D63" s="224"/>
      <c r="E63" s="226">
        <f>Dat_02!C62</f>
        <v>117.7428588805527</v>
      </c>
      <c r="F63" s="226">
        <f>Dat_02!D62</f>
        <v>125.24455872987446</v>
      </c>
      <c r="G63" s="226">
        <f>Dat_02!E62</f>
        <v>117.7428588805527</v>
      </c>
      <c r="I63" s="227">
        <f>Dat_02!G62</f>
        <v>0</v>
      </c>
      <c r="J63" s="233" t="str">
        <f>IF(Dat_02!H62=0,"",Dat_02!H62)</f>
        <v/>
      </c>
    </row>
    <row r="64" spans="2:10">
      <c r="B64" s="224"/>
      <c r="C64" s="225">
        <f>Dat_02!B63</f>
        <v>44681</v>
      </c>
      <c r="D64" s="224"/>
      <c r="E64" s="226">
        <f>Dat_02!C63</f>
        <v>104.66324693055364</v>
      </c>
      <c r="F64" s="226">
        <f>Dat_02!D63</f>
        <v>125.24455872987446</v>
      </c>
      <c r="G64" s="226">
        <f>Dat_02!E63</f>
        <v>104.66324693055364</v>
      </c>
      <c r="I64" s="227">
        <f>Dat_02!G63</f>
        <v>0</v>
      </c>
      <c r="J64" s="233" t="str">
        <f>IF(Dat_02!H63=0,"",Dat_02!H63)</f>
        <v/>
      </c>
    </row>
    <row r="65" spans="2:10">
      <c r="B65" s="224" t="s">
        <v>198</v>
      </c>
      <c r="C65" s="225">
        <f>Dat_02!B64</f>
        <v>44682</v>
      </c>
      <c r="D65" s="224"/>
      <c r="E65" s="226">
        <f>Dat_02!C64</f>
        <v>83.089749126549904</v>
      </c>
      <c r="F65" s="226">
        <f>Dat_02!D64</f>
        <v>99.174715760964361</v>
      </c>
      <c r="G65" s="226">
        <f>Dat_02!E64</f>
        <v>83.089749126549904</v>
      </c>
      <c r="I65" s="227">
        <f>Dat_02!G64</f>
        <v>0</v>
      </c>
      <c r="J65" s="233" t="str">
        <f>IF(Dat_02!H64=0,"",Dat_02!H64)</f>
        <v/>
      </c>
    </row>
    <row r="66" spans="2:10">
      <c r="B66" s="224"/>
      <c r="C66" s="225">
        <f>Dat_02!B65</f>
        <v>44683</v>
      </c>
      <c r="D66" s="224"/>
      <c r="E66" s="226">
        <f>Dat_02!C65</f>
        <v>91.147812052553633</v>
      </c>
      <c r="F66" s="226">
        <f>Dat_02!D65</f>
        <v>99.174715760964361</v>
      </c>
      <c r="G66" s="226">
        <f>Dat_02!E65</f>
        <v>91.147812052553633</v>
      </c>
      <c r="I66" s="227">
        <f>Dat_02!G65</f>
        <v>0</v>
      </c>
      <c r="J66" s="233" t="str">
        <f>IF(Dat_02!H65=0,"",Dat_02!H65)</f>
        <v/>
      </c>
    </row>
    <row r="67" spans="2:10">
      <c r="B67" s="224"/>
      <c r="C67" s="225">
        <f>Dat_02!B66</f>
        <v>44684</v>
      </c>
      <c r="D67" s="224"/>
      <c r="E67" s="226">
        <f>Dat_02!C66</f>
        <v>110.9795229485527</v>
      </c>
      <c r="F67" s="226">
        <f>Dat_02!D66</f>
        <v>99.174715760964361</v>
      </c>
      <c r="G67" s="226">
        <f>Dat_02!E66</f>
        <v>99.174715760964361</v>
      </c>
      <c r="I67" s="227">
        <f>Dat_02!G66</f>
        <v>0</v>
      </c>
      <c r="J67" s="233" t="str">
        <f>IF(Dat_02!H66=0,"",Dat_02!H66)</f>
        <v/>
      </c>
    </row>
    <row r="68" spans="2:10">
      <c r="B68" s="224"/>
      <c r="C68" s="225">
        <f>Dat_02!B67</f>
        <v>44685</v>
      </c>
      <c r="D68" s="224"/>
      <c r="E68" s="226">
        <f>Dat_02!C67</f>
        <v>107.19868597630743</v>
      </c>
      <c r="F68" s="226">
        <f>Dat_02!D67</f>
        <v>99.174715760964361</v>
      </c>
      <c r="G68" s="226">
        <f>Dat_02!E67</f>
        <v>99.174715760964361</v>
      </c>
      <c r="I68" s="227">
        <f>Dat_02!G67</f>
        <v>0</v>
      </c>
      <c r="J68" s="233" t="str">
        <f>IF(Dat_02!H67=0,"",Dat_02!H67)</f>
        <v/>
      </c>
    </row>
    <row r="69" spans="2:10">
      <c r="B69" s="224"/>
      <c r="C69" s="225">
        <f>Dat_02!B68</f>
        <v>44686</v>
      </c>
      <c r="D69" s="224"/>
      <c r="E69" s="226">
        <f>Dat_02!C68</f>
        <v>86.735913152306495</v>
      </c>
      <c r="F69" s="226">
        <f>Dat_02!D68</f>
        <v>99.174715760964361</v>
      </c>
      <c r="G69" s="226">
        <f>Dat_02!E68</f>
        <v>86.735913152306495</v>
      </c>
      <c r="I69" s="227">
        <f>Dat_02!G68</f>
        <v>0</v>
      </c>
      <c r="J69" s="233" t="str">
        <f>IF(Dat_02!H68=0,"",Dat_02!H68)</f>
        <v/>
      </c>
    </row>
    <row r="70" spans="2:10">
      <c r="B70" s="224"/>
      <c r="C70" s="225">
        <f>Dat_02!B69</f>
        <v>44687</v>
      </c>
      <c r="D70" s="224"/>
      <c r="E70" s="226">
        <f>Dat_02!C69</f>
        <v>69.040709436307438</v>
      </c>
      <c r="F70" s="226">
        <f>Dat_02!D69</f>
        <v>99.174715760964361</v>
      </c>
      <c r="G70" s="226">
        <f>Dat_02!E69</f>
        <v>69.040709436307438</v>
      </c>
      <c r="I70" s="227">
        <f>Dat_02!G69</f>
        <v>0</v>
      </c>
      <c r="J70" s="233" t="str">
        <f>IF(Dat_02!H69=0,"",Dat_02!H69)</f>
        <v/>
      </c>
    </row>
    <row r="71" spans="2:10">
      <c r="B71" s="224"/>
      <c r="C71" s="225">
        <f>Dat_02!B70</f>
        <v>44688</v>
      </c>
      <c r="D71" s="224"/>
      <c r="E71" s="226">
        <f>Dat_02!C70</f>
        <v>72.560665806305579</v>
      </c>
      <c r="F71" s="226">
        <f>Dat_02!D70</f>
        <v>99.174715760964361</v>
      </c>
      <c r="G71" s="226">
        <f>Dat_02!E70</f>
        <v>72.560665806305579</v>
      </c>
      <c r="I71" s="227">
        <f>Dat_02!G70</f>
        <v>0</v>
      </c>
      <c r="J71" s="233" t="str">
        <f>IF(Dat_02!H70=0,"",Dat_02!H70)</f>
        <v/>
      </c>
    </row>
    <row r="72" spans="2:10">
      <c r="B72" s="224"/>
      <c r="C72" s="225">
        <f>Dat_02!B71</f>
        <v>44689</v>
      </c>
      <c r="D72" s="224"/>
      <c r="E72" s="226">
        <f>Dat_02!C71</f>
        <v>64.773468066308368</v>
      </c>
      <c r="F72" s="226">
        <f>Dat_02!D71</f>
        <v>99.174715760964361</v>
      </c>
      <c r="G72" s="226">
        <f>Dat_02!E71</f>
        <v>64.773468066308368</v>
      </c>
      <c r="I72" s="227">
        <f>Dat_02!G71</f>
        <v>0</v>
      </c>
      <c r="J72" s="233" t="str">
        <f>IF(Dat_02!H71=0,"",Dat_02!H71)</f>
        <v/>
      </c>
    </row>
    <row r="73" spans="2:10">
      <c r="B73" s="224"/>
      <c r="C73" s="225">
        <f>Dat_02!B72</f>
        <v>44690</v>
      </c>
      <c r="D73" s="224"/>
      <c r="E73" s="226">
        <f>Dat_02!C72</f>
        <v>79.196354340306513</v>
      </c>
      <c r="F73" s="226">
        <f>Dat_02!D72</f>
        <v>99.174715760964361</v>
      </c>
      <c r="G73" s="226">
        <f>Dat_02!E72</f>
        <v>79.196354340306513</v>
      </c>
      <c r="I73" s="227">
        <f>Dat_02!G72</f>
        <v>0</v>
      </c>
      <c r="J73" s="233" t="str">
        <f>IF(Dat_02!H72=0,"",Dat_02!H72)</f>
        <v/>
      </c>
    </row>
    <row r="74" spans="2:10">
      <c r="B74" s="224"/>
      <c r="C74" s="225">
        <f>Dat_02!B73</f>
        <v>44691</v>
      </c>
      <c r="D74" s="224"/>
      <c r="E74" s="226">
        <f>Dat_02!C73</f>
        <v>83.306836604307435</v>
      </c>
      <c r="F74" s="226">
        <f>Dat_02!D73</f>
        <v>99.174715760964361</v>
      </c>
      <c r="G74" s="226">
        <f>Dat_02!E73</f>
        <v>83.306836604307435</v>
      </c>
      <c r="I74" s="227">
        <f>Dat_02!G73</f>
        <v>0</v>
      </c>
      <c r="J74" s="233" t="str">
        <f>IF(Dat_02!H73=0,"",Dat_02!H73)</f>
        <v/>
      </c>
    </row>
    <row r="75" spans="2:10">
      <c r="B75" s="224"/>
      <c r="C75" s="225">
        <f>Dat_02!B74</f>
        <v>44692</v>
      </c>
      <c r="D75" s="224"/>
      <c r="E75" s="226">
        <f>Dat_02!C74</f>
        <v>64.428383028005015</v>
      </c>
      <c r="F75" s="226">
        <f>Dat_02!D74</f>
        <v>99.174715760964361</v>
      </c>
      <c r="G75" s="226">
        <f>Dat_02!E74</f>
        <v>64.428383028005015</v>
      </c>
      <c r="I75" s="227">
        <f>Dat_02!G74</f>
        <v>0</v>
      </c>
      <c r="J75" s="233" t="str">
        <f>IF(Dat_02!H74=0,"",Dat_02!H74)</f>
        <v/>
      </c>
    </row>
    <row r="76" spans="2:10">
      <c r="B76" s="224"/>
      <c r="C76" s="225">
        <f>Dat_02!B75</f>
        <v>44693</v>
      </c>
      <c r="D76" s="224"/>
      <c r="E76" s="226">
        <f>Dat_02!C75</f>
        <v>54.806804084005954</v>
      </c>
      <c r="F76" s="226">
        <f>Dat_02!D75</f>
        <v>99.174715760964361</v>
      </c>
      <c r="G76" s="226">
        <f>Dat_02!E75</f>
        <v>54.806804084005954</v>
      </c>
      <c r="I76" s="227">
        <f>Dat_02!G75</f>
        <v>0</v>
      </c>
      <c r="J76" s="233" t="str">
        <f>IF(Dat_02!H75=0,"",Dat_02!H75)</f>
        <v/>
      </c>
    </row>
    <row r="77" spans="2:10">
      <c r="B77" s="224"/>
      <c r="C77" s="225">
        <f>Dat_02!B76</f>
        <v>44694</v>
      </c>
      <c r="D77" s="224"/>
      <c r="E77" s="226">
        <f>Dat_02!C76</f>
        <v>61.542816572005016</v>
      </c>
      <c r="F77" s="226">
        <f>Dat_02!D76</f>
        <v>99.174715760964361</v>
      </c>
      <c r="G77" s="226">
        <f>Dat_02!E76</f>
        <v>61.542816572005016</v>
      </c>
      <c r="I77" s="227">
        <f>Dat_02!G76</f>
        <v>0</v>
      </c>
      <c r="J77" s="233" t="str">
        <f>IF(Dat_02!H76=0,"",Dat_02!H76)</f>
        <v/>
      </c>
    </row>
    <row r="78" spans="2:10">
      <c r="B78" s="224"/>
      <c r="C78" s="225">
        <f>Dat_02!B77</f>
        <v>44695</v>
      </c>
      <c r="D78" s="224"/>
      <c r="E78" s="226">
        <f>Dat_02!C77</f>
        <v>40.073271944004091</v>
      </c>
      <c r="F78" s="226">
        <f>Dat_02!D77</f>
        <v>99.174715760964361</v>
      </c>
      <c r="G78" s="226">
        <f>Dat_02!E77</f>
        <v>40.073271944004091</v>
      </c>
      <c r="I78" s="227">
        <f>Dat_02!G77</f>
        <v>0</v>
      </c>
      <c r="J78" s="233" t="str">
        <f>IF(Dat_02!H77=0,"",Dat_02!H77)</f>
        <v/>
      </c>
    </row>
    <row r="79" spans="2:10">
      <c r="B79" s="224"/>
      <c r="C79" s="225">
        <f>Dat_02!B78</f>
        <v>44696</v>
      </c>
      <c r="D79" s="224"/>
      <c r="E79" s="226">
        <f>Dat_02!C78</f>
        <v>39.138138080005952</v>
      </c>
      <c r="F79" s="226">
        <f>Dat_02!D78</f>
        <v>99.174715760964361</v>
      </c>
      <c r="G79" s="226">
        <f>Dat_02!E78</f>
        <v>39.138138080005952</v>
      </c>
      <c r="I79" s="227">
        <f>Dat_02!G78</f>
        <v>99.174715760964361</v>
      </c>
      <c r="J79" s="233" t="str">
        <f>IF(Dat_02!H78=0,"",Dat_02!H78)</f>
        <v/>
      </c>
    </row>
    <row r="80" spans="2:10">
      <c r="B80" s="224"/>
      <c r="C80" s="225">
        <f>Dat_02!B79</f>
        <v>44697</v>
      </c>
      <c r="D80" s="224"/>
      <c r="E80" s="226">
        <f>Dat_02!C79</f>
        <v>49.149372322006876</v>
      </c>
      <c r="F80" s="226">
        <f>Dat_02!D79</f>
        <v>99.174715760964361</v>
      </c>
      <c r="G80" s="226">
        <f>Dat_02!E79</f>
        <v>49.149372322006876</v>
      </c>
      <c r="I80" s="227">
        <f>Dat_02!G79</f>
        <v>0</v>
      </c>
      <c r="J80" s="233" t="str">
        <f>IF(Dat_02!H79=0,"",Dat_02!H79)</f>
        <v/>
      </c>
    </row>
    <row r="81" spans="2:10">
      <c r="B81" s="224"/>
      <c r="C81" s="225">
        <f>Dat_02!B80</f>
        <v>44698</v>
      </c>
      <c r="D81" s="224"/>
      <c r="E81" s="226">
        <f>Dat_02!C80</f>
        <v>51.711909812005018</v>
      </c>
      <c r="F81" s="226">
        <f>Dat_02!D80</f>
        <v>99.174715760964361</v>
      </c>
      <c r="G81" s="226">
        <f>Dat_02!E80</f>
        <v>51.711909812005018</v>
      </c>
      <c r="I81" s="227">
        <f>Dat_02!G80</f>
        <v>0</v>
      </c>
      <c r="J81" s="233" t="str">
        <f>IF(Dat_02!H80=0,"",Dat_02!H80)</f>
        <v/>
      </c>
    </row>
    <row r="82" spans="2:10">
      <c r="B82" s="224"/>
      <c r="C82" s="225">
        <f>Dat_02!B81</f>
        <v>44699</v>
      </c>
      <c r="D82" s="224"/>
      <c r="E82" s="226">
        <f>Dat_02!C81</f>
        <v>61.126600312259811</v>
      </c>
      <c r="F82" s="226">
        <f>Dat_02!D81</f>
        <v>99.174715760964361</v>
      </c>
      <c r="G82" s="226">
        <f>Dat_02!E81</f>
        <v>61.126600312259811</v>
      </c>
      <c r="I82" s="227">
        <f>Dat_02!G81</f>
        <v>0</v>
      </c>
      <c r="J82" s="233" t="str">
        <f>IF(Dat_02!H81=0,"",Dat_02!H81)</f>
        <v/>
      </c>
    </row>
    <row r="83" spans="2:10">
      <c r="B83" s="224"/>
      <c r="C83" s="225">
        <f>Dat_02!B82</f>
        <v>44700</v>
      </c>
      <c r="D83" s="224"/>
      <c r="E83" s="226">
        <f>Dat_02!C82</f>
        <v>65.134239836259823</v>
      </c>
      <c r="F83" s="226">
        <f>Dat_02!D82</f>
        <v>99.174715760964361</v>
      </c>
      <c r="G83" s="226">
        <f>Dat_02!E82</f>
        <v>65.134239836259823</v>
      </c>
      <c r="I83" s="227">
        <f>Dat_02!G82</f>
        <v>0</v>
      </c>
      <c r="J83" s="233" t="str">
        <f>IF(Dat_02!H82=0,"",Dat_02!H82)</f>
        <v/>
      </c>
    </row>
    <row r="84" spans="2:10">
      <c r="B84" s="224"/>
      <c r="C84" s="225">
        <f>Dat_02!B83</f>
        <v>44701</v>
      </c>
      <c r="D84" s="224"/>
      <c r="E84" s="226">
        <f>Dat_02!C83</f>
        <v>62.055912656260752</v>
      </c>
      <c r="F84" s="226">
        <f>Dat_02!D83</f>
        <v>99.174715760964361</v>
      </c>
      <c r="G84" s="226">
        <f>Dat_02!E83</f>
        <v>62.055912656260752</v>
      </c>
      <c r="I84" s="227">
        <f>Dat_02!G83</f>
        <v>0</v>
      </c>
      <c r="J84" s="233" t="str">
        <f>IF(Dat_02!H83=0,"",Dat_02!H83)</f>
        <v/>
      </c>
    </row>
    <row r="85" spans="2:10">
      <c r="B85" s="224"/>
      <c r="C85" s="225">
        <f>Dat_02!B84</f>
        <v>44702</v>
      </c>
      <c r="D85" s="224"/>
      <c r="E85" s="226">
        <f>Dat_02!C84</f>
        <v>57.729203064259814</v>
      </c>
      <c r="F85" s="226">
        <f>Dat_02!D84</f>
        <v>99.174715760964361</v>
      </c>
      <c r="G85" s="226">
        <f>Dat_02!E84</f>
        <v>57.729203064259814</v>
      </c>
      <c r="I85" s="227">
        <f>Dat_02!G84</f>
        <v>0</v>
      </c>
      <c r="J85" s="233" t="str">
        <f>IF(Dat_02!H84=0,"",Dat_02!H84)</f>
        <v/>
      </c>
    </row>
    <row r="86" spans="2:10">
      <c r="B86" s="224"/>
      <c r="C86" s="225">
        <f>Dat_02!B85</f>
        <v>44703</v>
      </c>
      <c r="D86" s="224"/>
      <c r="E86" s="226">
        <f>Dat_02!C85</f>
        <v>52.652818350260745</v>
      </c>
      <c r="F86" s="226">
        <f>Dat_02!D85</f>
        <v>99.174715760964361</v>
      </c>
      <c r="G86" s="226">
        <f>Dat_02!E85</f>
        <v>52.652818350260745</v>
      </c>
      <c r="I86" s="227">
        <f>Dat_02!G85</f>
        <v>0</v>
      </c>
      <c r="J86" s="233" t="str">
        <f>IF(Dat_02!H85=0,"",Dat_02!H85)</f>
        <v/>
      </c>
    </row>
    <row r="87" spans="2:10">
      <c r="B87" s="224"/>
      <c r="C87" s="225">
        <f>Dat_02!B86</f>
        <v>44704</v>
      </c>
      <c r="D87" s="224"/>
      <c r="E87" s="226">
        <f>Dat_02!C86</f>
        <v>62.72821390425981</v>
      </c>
      <c r="F87" s="226">
        <f>Dat_02!D86</f>
        <v>99.174715760964361</v>
      </c>
      <c r="G87" s="226">
        <f>Dat_02!E86</f>
        <v>62.72821390425981</v>
      </c>
      <c r="I87" s="227">
        <f>Dat_02!G86</f>
        <v>0</v>
      </c>
      <c r="J87" s="233" t="str">
        <f>IF(Dat_02!H86=0,"",Dat_02!H86)</f>
        <v/>
      </c>
    </row>
    <row r="88" spans="2:10">
      <c r="B88" s="224"/>
      <c r="C88" s="225">
        <f>Dat_02!B87</f>
        <v>44705</v>
      </c>
      <c r="D88" s="224"/>
      <c r="E88" s="226">
        <f>Dat_02!C87</f>
        <v>55.779570632261674</v>
      </c>
      <c r="F88" s="226">
        <f>Dat_02!D87</f>
        <v>99.174715760964361</v>
      </c>
      <c r="G88" s="226">
        <f>Dat_02!E87</f>
        <v>55.779570632261674</v>
      </c>
      <c r="I88" s="227">
        <f>Dat_02!G87</f>
        <v>0</v>
      </c>
      <c r="J88" s="233" t="str">
        <f>IF(Dat_02!H87=0,"",Dat_02!H87)</f>
        <v/>
      </c>
    </row>
    <row r="89" spans="2:10">
      <c r="B89" s="224"/>
      <c r="C89" s="225">
        <f>Dat_02!B88</f>
        <v>44706</v>
      </c>
      <c r="D89" s="224"/>
      <c r="E89" s="226">
        <f>Dat_02!C88</f>
        <v>37.185852168886534</v>
      </c>
      <c r="F89" s="226">
        <f>Dat_02!D88</f>
        <v>99.174715760964361</v>
      </c>
      <c r="G89" s="226">
        <f>Dat_02!E88</f>
        <v>37.185852168886534</v>
      </c>
      <c r="I89" s="227">
        <f>Dat_02!G88</f>
        <v>0</v>
      </c>
      <c r="J89" s="233" t="str">
        <f>IF(Dat_02!H88=0,"",Dat_02!H88)</f>
        <v/>
      </c>
    </row>
    <row r="90" spans="2:10">
      <c r="B90" s="224"/>
      <c r="C90" s="225">
        <f>Dat_02!B89</f>
        <v>44707</v>
      </c>
      <c r="D90" s="224"/>
      <c r="E90" s="226">
        <f>Dat_02!C89</f>
        <v>32.869455544888396</v>
      </c>
      <c r="F90" s="226">
        <f>Dat_02!D89</f>
        <v>99.174715760964361</v>
      </c>
      <c r="G90" s="226">
        <f>Dat_02!E89</f>
        <v>32.869455544888396</v>
      </c>
      <c r="I90" s="227">
        <f>Dat_02!G89</f>
        <v>0</v>
      </c>
      <c r="J90" s="233" t="str">
        <f>IF(Dat_02!H89=0,"",Dat_02!H89)</f>
        <v/>
      </c>
    </row>
    <row r="91" spans="2:10">
      <c r="B91" s="224"/>
      <c r="C91" s="225">
        <f>Dat_02!B90</f>
        <v>44708</v>
      </c>
      <c r="D91" s="224"/>
      <c r="E91" s="226">
        <f>Dat_02!C90</f>
        <v>34.865659270888401</v>
      </c>
      <c r="F91" s="226">
        <f>Dat_02!D90</f>
        <v>99.174715760964361</v>
      </c>
      <c r="G91" s="226">
        <f>Dat_02!E90</f>
        <v>34.865659270888401</v>
      </c>
      <c r="I91" s="227">
        <f>Dat_02!G90</f>
        <v>0</v>
      </c>
      <c r="J91" s="233" t="str">
        <f>IF(Dat_02!H90=0,"",Dat_02!H90)</f>
        <v/>
      </c>
    </row>
    <row r="92" spans="2:10">
      <c r="B92" s="224"/>
      <c r="C92" s="225">
        <f>Dat_02!B91</f>
        <v>44709</v>
      </c>
      <c r="D92" s="224"/>
      <c r="E92" s="226">
        <f>Dat_02!C91</f>
        <v>41.332971382888395</v>
      </c>
      <c r="F92" s="226">
        <f>Dat_02!D91</f>
        <v>99.174715760964361</v>
      </c>
      <c r="G92" s="226">
        <f>Dat_02!E91</f>
        <v>41.332971382888395</v>
      </c>
      <c r="I92" s="227">
        <f>Dat_02!G91</f>
        <v>0</v>
      </c>
      <c r="J92" s="233" t="str">
        <f>IF(Dat_02!H91=0,"",Dat_02!H91)</f>
        <v/>
      </c>
    </row>
    <row r="93" spans="2:10">
      <c r="B93" s="224"/>
      <c r="C93" s="225">
        <f>Dat_02!B92</f>
        <v>44710</v>
      </c>
      <c r="D93" s="224"/>
      <c r="E93" s="226">
        <f>Dat_02!C92</f>
        <v>28.298860492888402</v>
      </c>
      <c r="F93" s="226">
        <f>Dat_02!D92</f>
        <v>99.174715760964361</v>
      </c>
      <c r="G93" s="226">
        <f>Dat_02!E92</f>
        <v>28.298860492888402</v>
      </c>
      <c r="I93" s="227">
        <f>Dat_02!G92</f>
        <v>0</v>
      </c>
      <c r="J93" s="233" t="str">
        <f>IF(Dat_02!H92=0,"",Dat_02!H92)</f>
        <v/>
      </c>
    </row>
    <row r="94" spans="2:10">
      <c r="B94" s="224"/>
      <c r="C94" s="225">
        <f>Dat_02!B93</f>
        <v>44711</v>
      </c>
      <c r="D94" s="224"/>
      <c r="E94" s="226">
        <f>Dat_02!C93</f>
        <v>38.8047019408884</v>
      </c>
      <c r="F94" s="226">
        <f>Dat_02!D93</f>
        <v>99.174715760964361</v>
      </c>
      <c r="G94" s="226">
        <f>Dat_02!E93</f>
        <v>38.8047019408884</v>
      </c>
      <c r="I94" s="227">
        <f>Dat_02!G93</f>
        <v>0</v>
      </c>
      <c r="J94" s="233" t="str">
        <f>IF(Dat_02!H93=0,"",Dat_02!H93)</f>
        <v/>
      </c>
    </row>
    <row r="95" spans="2:10">
      <c r="B95" s="224"/>
      <c r="C95" s="225">
        <f>Dat_02!B94</f>
        <v>44712</v>
      </c>
      <c r="D95" s="224"/>
      <c r="E95" s="226">
        <f>Dat_02!C94</f>
        <v>48.831941006887469</v>
      </c>
      <c r="F95" s="226">
        <f>Dat_02!D94</f>
        <v>99.174715760964361</v>
      </c>
      <c r="G95" s="226">
        <f>Dat_02!E94</f>
        <v>48.831941006887469</v>
      </c>
      <c r="I95" s="227">
        <f>Dat_02!G94</f>
        <v>0</v>
      </c>
      <c r="J95" s="233" t="str">
        <f>IF(Dat_02!H94=0,"",Dat_02!H94)</f>
        <v/>
      </c>
    </row>
    <row r="96" spans="2:10">
      <c r="B96" s="224" t="s">
        <v>199</v>
      </c>
      <c r="C96" s="225">
        <f>Dat_02!B95</f>
        <v>44713</v>
      </c>
      <c r="D96" s="224"/>
      <c r="E96" s="226">
        <f>Dat_02!C95</f>
        <v>41.13251892952826</v>
      </c>
      <c r="F96" s="226">
        <f>Dat_02!D95</f>
        <v>63.624179558812038</v>
      </c>
      <c r="G96" s="226">
        <f>Dat_02!E95</f>
        <v>41.13251892952826</v>
      </c>
      <c r="I96" s="227">
        <f>Dat_02!G95</f>
        <v>0</v>
      </c>
      <c r="J96" s="233" t="str">
        <f>IF(Dat_02!H95=0,"",Dat_02!H95)</f>
        <v/>
      </c>
    </row>
    <row r="97" spans="2:10">
      <c r="B97" s="224"/>
      <c r="C97" s="225">
        <f>Dat_02!B96</f>
        <v>44714</v>
      </c>
      <c r="D97" s="224"/>
      <c r="E97" s="226">
        <f>Dat_02!C96</f>
        <v>52.464751009527326</v>
      </c>
      <c r="F97" s="226">
        <f>Dat_02!D96</f>
        <v>63.624179558812038</v>
      </c>
      <c r="G97" s="226">
        <f>Dat_02!E96</f>
        <v>52.464751009527326</v>
      </c>
      <c r="I97" s="227">
        <f>Dat_02!G96</f>
        <v>0</v>
      </c>
      <c r="J97" s="233" t="str">
        <f>IF(Dat_02!H96=0,"",Dat_02!H96)</f>
        <v/>
      </c>
    </row>
    <row r="98" spans="2:10">
      <c r="B98" s="224"/>
      <c r="C98" s="225">
        <f>Dat_02!B97</f>
        <v>44715</v>
      </c>
      <c r="D98" s="224"/>
      <c r="E98" s="226">
        <f>Dat_02!C97</f>
        <v>46.033321545527329</v>
      </c>
      <c r="F98" s="226">
        <f>Dat_02!D97</f>
        <v>63.624179558812038</v>
      </c>
      <c r="G98" s="226">
        <f>Dat_02!E97</f>
        <v>46.033321545527329</v>
      </c>
      <c r="I98" s="227">
        <f>Dat_02!G97</f>
        <v>0</v>
      </c>
      <c r="J98" s="233" t="str">
        <f>IF(Dat_02!H97=0,"",Dat_02!H97)</f>
        <v/>
      </c>
    </row>
    <row r="99" spans="2:10">
      <c r="B99" s="224"/>
      <c r="C99" s="225">
        <f>Dat_02!B98</f>
        <v>44716</v>
      </c>
      <c r="D99" s="224"/>
      <c r="E99" s="226">
        <f>Dat_02!C98</f>
        <v>32.1332122355264</v>
      </c>
      <c r="F99" s="226">
        <f>Dat_02!D98</f>
        <v>63.624179558812038</v>
      </c>
      <c r="G99" s="226">
        <f>Dat_02!E98</f>
        <v>32.1332122355264</v>
      </c>
      <c r="I99" s="227">
        <f>Dat_02!G98</f>
        <v>0</v>
      </c>
      <c r="J99" s="233" t="str">
        <f>IF(Dat_02!H98=0,"",Dat_02!H98)</f>
        <v/>
      </c>
    </row>
    <row r="100" spans="2:10">
      <c r="B100" s="224"/>
      <c r="C100" s="225">
        <f>Dat_02!B99</f>
        <v>44717</v>
      </c>
      <c r="D100" s="224"/>
      <c r="E100" s="226">
        <f>Dat_02!C99</f>
        <v>24.055109761528257</v>
      </c>
      <c r="F100" s="226">
        <f>Dat_02!D99</f>
        <v>63.624179558812038</v>
      </c>
      <c r="G100" s="226">
        <f>Dat_02!E99</f>
        <v>24.055109761528257</v>
      </c>
      <c r="I100" s="227">
        <f>Dat_02!G99</f>
        <v>0</v>
      </c>
      <c r="J100" s="233" t="str">
        <f>IF(Dat_02!H99=0,"",Dat_02!H99)</f>
        <v/>
      </c>
    </row>
    <row r="101" spans="2:10">
      <c r="B101" s="224"/>
      <c r="C101" s="225">
        <f>Dat_02!B100</f>
        <v>44718</v>
      </c>
      <c r="D101" s="224"/>
      <c r="E101" s="226">
        <f>Dat_02!C100</f>
        <v>30.429911945529188</v>
      </c>
      <c r="F101" s="226">
        <f>Dat_02!D100</f>
        <v>63.624179558812038</v>
      </c>
      <c r="G101" s="226">
        <f>Dat_02!E100</f>
        <v>30.429911945529188</v>
      </c>
      <c r="I101" s="227">
        <f>Dat_02!G100</f>
        <v>0</v>
      </c>
      <c r="J101" s="233" t="str">
        <f>IF(Dat_02!H100=0,"",Dat_02!H100)</f>
        <v/>
      </c>
    </row>
    <row r="102" spans="2:10">
      <c r="B102" s="224"/>
      <c r="C102" s="225">
        <f>Dat_02!B101</f>
        <v>44719</v>
      </c>
      <c r="D102" s="224"/>
      <c r="E102" s="226">
        <f>Dat_02!C101</f>
        <v>29.289618123526395</v>
      </c>
      <c r="F102" s="226">
        <f>Dat_02!D101</f>
        <v>63.624179558812038</v>
      </c>
      <c r="G102" s="226">
        <f>Dat_02!E101</f>
        <v>29.289618123526395</v>
      </c>
      <c r="I102" s="227">
        <f>Dat_02!G101</f>
        <v>0</v>
      </c>
      <c r="J102" s="233" t="str">
        <f>IF(Dat_02!H101=0,"",Dat_02!H101)</f>
        <v/>
      </c>
    </row>
    <row r="103" spans="2:10">
      <c r="B103" s="224"/>
      <c r="C103" s="225">
        <f>Dat_02!B102</f>
        <v>44720</v>
      </c>
      <c r="D103" s="224"/>
      <c r="E103" s="226">
        <f>Dat_02!C102</f>
        <v>22.816061077752288</v>
      </c>
      <c r="F103" s="226">
        <f>Dat_02!D102</f>
        <v>63.624179558812038</v>
      </c>
      <c r="G103" s="226">
        <f>Dat_02!E102</f>
        <v>22.816061077752288</v>
      </c>
      <c r="I103" s="227">
        <f>Dat_02!G102</f>
        <v>0</v>
      </c>
      <c r="J103" s="233" t="str">
        <f>IF(Dat_02!H102=0,"",Dat_02!H102)</f>
        <v/>
      </c>
    </row>
    <row r="104" spans="2:10">
      <c r="B104" s="224"/>
      <c r="C104" s="225">
        <f>Dat_02!B103</f>
        <v>44721</v>
      </c>
      <c r="D104" s="224"/>
      <c r="E104" s="226">
        <f>Dat_02!C103</f>
        <v>25.394766507752291</v>
      </c>
      <c r="F104" s="226">
        <f>Dat_02!D103</f>
        <v>63.624179558812038</v>
      </c>
      <c r="G104" s="226">
        <f>Dat_02!E103</f>
        <v>25.394766507752291</v>
      </c>
      <c r="I104" s="227">
        <f>Dat_02!G103</f>
        <v>0</v>
      </c>
      <c r="J104" s="233" t="str">
        <f>IF(Dat_02!H103=0,"",Dat_02!H103)</f>
        <v/>
      </c>
    </row>
    <row r="105" spans="2:10">
      <c r="B105" s="224"/>
      <c r="C105" s="225">
        <f>Dat_02!B104</f>
        <v>44722</v>
      </c>
      <c r="D105" s="224"/>
      <c r="E105" s="226">
        <f>Dat_02!C104</f>
        <v>30.109927453753226</v>
      </c>
      <c r="F105" s="226">
        <f>Dat_02!D104</f>
        <v>63.624179558812038</v>
      </c>
      <c r="G105" s="226">
        <f>Dat_02!E104</f>
        <v>30.109927453753226</v>
      </c>
      <c r="I105" s="227">
        <f>Dat_02!G104</f>
        <v>0</v>
      </c>
      <c r="J105" s="233" t="str">
        <f>IF(Dat_02!H104=0,"",Dat_02!H104)</f>
        <v/>
      </c>
    </row>
    <row r="106" spans="2:10">
      <c r="B106" s="224"/>
      <c r="C106" s="225">
        <f>Dat_02!B105</f>
        <v>44723</v>
      </c>
      <c r="D106" s="224"/>
      <c r="E106" s="226">
        <f>Dat_02!C105</f>
        <v>26.411685901751355</v>
      </c>
      <c r="F106" s="226">
        <f>Dat_02!D105</f>
        <v>63.624179558812038</v>
      </c>
      <c r="G106" s="226">
        <f>Dat_02!E105</f>
        <v>26.411685901751355</v>
      </c>
      <c r="I106" s="227">
        <f>Dat_02!G105</f>
        <v>0</v>
      </c>
      <c r="J106" s="233" t="str">
        <f>IF(Dat_02!H105=0,"",Dat_02!H105)</f>
        <v/>
      </c>
    </row>
    <row r="107" spans="2:10">
      <c r="B107" s="224"/>
      <c r="C107" s="225">
        <f>Dat_02!B106</f>
        <v>44724</v>
      </c>
      <c r="D107" s="224"/>
      <c r="E107" s="226">
        <f>Dat_02!C106</f>
        <v>19.34826807975136</v>
      </c>
      <c r="F107" s="226">
        <f>Dat_02!D106</f>
        <v>63.624179558812038</v>
      </c>
      <c r="G107" s="226">
        <f>Dat_02!E106</f>
        <v>19.34826807975136</v>
      </c>
      <c r="I107" s="227">
        <f>Dat_02!G106</f>
        <v>0</v>
      </c>
      <c r="J107" s="233" t="str">
        <f>IF(Dat_02!H106=0,"",Dat_02!H106)</f>
        <v/>
      </c>
    </row>
    <row r="108" spans="2:10">
      <c r="B108" s="224"/>
      <c r="C108" s="225">
        <f>Dat_02!B107</f>
        <v>44725</v>
      </c>
      <c r="D108" s="224"/>
      <c r="E108" s="226">
        <f>Dat_02!C107</f>
        <v>46.143242131753219</v>
      </c>
      <c r="F108" s="226">
        <f>Dat_02!D107</f>
        <v>63.624179558812038</v>
      </c>
      <c r="G108" s="226">
        <f>Dat_02!E107</f>
        <v>46.143242131753219</v>
      </c>
      <c r="I108" s="227">
        <f>Dat_02!G107</f>
        <v>0</v>
      </c>
      <c r="J108" s="233" t="str">
        <f>IF(Dat_02!H107=0,"",Dat_02!H107)</f>
        <v/>
      </c>
    </row>
    <row r="109" spans="2:10">
      <c r="B109" s="224"/>
      <c r="C109" s="225">
        <f>Dat_02!B108</f>
        <v>44726</v>
      </c>
      <c r="D109" s="224"/>
      <c r="E109" s="226">
        <f>Dat_02!C108</f>
        <v>42.386232761752289</v>
      </c>
      <c r="F109" s="226">
        <f>Dat_02!D108</f>
        <v>63.624179558812038</v>
      </c>
      <c r="G109" s="226">
        <f>Dat_02!E108</f>
        <v>42.386232761752289</v>
      </c>
      <c r="I109" s="227">
        <f>Dat_02!G108</f>
        <v>0</v>
      </c>
      <c r="J109" s="233" t="str">
        <f>IF(Dat_02!H108=0,"",Dat_02!H108)</f>
        <v/>
      </c>
    </row>
    <row r="110" spans="2:10">
      <c r="B110" s="224"/>
      <c r="C110" s="225">
        <f>Dat_02!B109</f>
        <v>44727</v>
      </c>
      <c r="D110" s="224"/>
      <c r="E110" s="226">
        <f>Dat_02!C109</f>
        <v>29.875350020219035</v>
      </c>
      <c r="F110" s="226">
        <f>Dat_02!D109</f>
        <v>63.624179558812038</v>
      </c>
      <c r="G110" s="226">
        <f>Dat_02!E109</f>
        <v>29.875350020219035</v>
      </c>
      <c r="I110" s="227">
        <f>Dat_02!G109</f>
        <v>63.624179558812038</v>
      </c>
      <c r="J110" s="233" t="str">
        <f>IF(Dat_02!H109=0,"",Dat_02!H109)</f>
        <v/>
      </c>
    </row>
    <row r="111" spans="2:10">
      <c r="B111" s="224"/>
      <c r="C111" s="225">
        <f>Dat_02!B110</f>
        <v>44728</v>
      </c>
      <c r="D111" s="224"/>
      <c r="E111" s="226">
        <f>Dat_02!C110</f>
        <v>5.6969416262199735</v>
      </c>
      <c r="F111" s="226">
        <f>Dat_02!D110</f>
        <v>63.624179558812038</v>
      </c>
      <c r="G111" s="226">
        <f>Dat_02!E110</f>
        <v>5.6969416262199735</v>
      </c>
      <c r="I111" s="227">
        <f>Dat_02!G110</f>
        <v>0</v>
      </c>
      <c r="J111" s="233" t="str">
        <f>IF(Dat_02!H110=0,"",Dat_02!H110)</f>
        <v/>
      </c>
    </row>
    <row r="112" spans="2:10">
      <c r="B112" s="224"/>
      <c r="C112" s="225">
        <f>Dat_02!B111</f>
        <v>44729</v>
      </c>
      <c r="D112" s="224"/>
      <c r="E112" s="226">
        <f>Dat_02!C111</f>
        <v>1.2285824382199717</v>
      </c>
      <c r="F112" s="226">
        <f>Dat_02!D111</f>
        <v>63.624179558812038</v>
      </c>
      <c r="G112" s="226">
        <f>Dat_02!E111</f>
        <v>1.2285824382199717</v>
      </c>
      <c r="I112" s="227">
        <f>Dat_02!G111</f>
        <v>0</v>
      </c>
      <c r="J112" s="233" t="str">
        <f>IF(Dat_02!H111=0,"",Dat_02!H111)</f>
        <v/>
      </c>
    </row>
    <row r="113" spans="2:10">
      <c r="B113" s="224"/>
      <c r="C113" s="225">
        <f>Dat_02!B112</f>
        <v>44730</v>
      </c>
      <c r="D113" s="224"/>
      <c r="E113" s="226">
        <f>Dat_02!C112</f>
        <v>10.587945084219973</v>
      </c>
      <c r="F113" s="226">
        <f>Dat_02!D112</f>
        <v>63.624179558812038</v>
      </c>
      <c r="G113" s="226">
        <f>Dat_02!E112</f>
        <v>10.587945084219973</v>
      </c>
      <c r="I113" s="227">
        <f>Dat_02!G112</f>
        <v>0</v>
      </c>
      <c r="J113" s="233" t="str">
        <f>IF(Dat_02!H112=0,"",Dat_02!H112)</f>
        <v/>
      </c>
    </row>
    <row r="114" spans="2:10">
      <c r="B114" s="224"/>
      <c r="C114" s="225">
        <f>Dat_02!B113</f>
        <v>44731</v>
      </c>
      <c r="D114" s="224"/>
      <c r="E114" s="226">
        <f>Dat_02!C113</f>
        <v>1.4968882962209027</v>
      </c>
      <c r="F114" s="226">
        <f>Dat_02!D113</f>
        <v>63.624179558812038</v>
      </c>
      <c r="G114" s="226">
        <f>Dat_02!E113</f>
        <v>1.4968882962209027</v>
      </c>
      <c r="I114" s="227">
        <f>Dat_02!G113</f>
        <v>0</v>
      </c>
      <c r="J114" s="233" t="str">
        <f>IF(Dat_02!H113=0,"",Dat_02!H113)</f>
        <v/>
      </c>
    </row>
    <row r="115" spans="2:10">
      <c r="B115" s="224"/>
      <c r="C115" s="225">
        <f>Dat_02!B114</f>
        <v>44732</v>
      </c>
      <c r="D115" s="224"/>
      <c r="E115" s="226">
        <f>Dat_02!C114</f>
        <v>4.6390828182190385</v>
      </c>
      <c r="F115" s="226">
        <f>Dat_02!D114</f>
        <v>63.624179558812038</v>
      </c>
      <c r="G115" s="226">
        <f>Dat_02!E114</f>
        <v>4.6390828182190385</v>
      </c>
      <c r="I115" s="227">
        <f>Dat_02!G114</f>
        <v>0</v>
      </c>
      <c r="J115" s="233" t="str">
        <f>IF(Dat_02!H114=0,"",Dat_02!H114)</f>
        <v/>
      </c>
    </row>
    <row r="116" spans="2:10">
      <c r="B116" s="224"/>
      <c r="C116" s="225">
        <f>Dat_02!B115</f>
        <v>44733</v>
      </c>
      <c r="D116" s="224"/>
      <c r="E116" s="226">
        <f>Dat_02!C115</f>
        <v>7.8481299562199709</v>
      </c>
      <c r="F116" s="226">
        <f>Dat_02!D115</f>
        <v>63.624179558812038</v>
      </c>
      <c r="G116" s="226">
        <f>Dat_02!E115</f>
        <v>7.8481299562199709</v>
      </c>
      <c r="I116" s="227">
        <f>Dat_02!G115</f>
        <v>0</v>
      </c>
      <c r="J116" s="233" t="str">
        <f>IF(Dat_02!H115=0,"",Dat_02!H115)</f>
        <v/>
      </c>
    </row>
    <row r="117" spans="2:10">
      <c r="B117" s="224"/>
      <c r="C117" s="225">
        <f>Dat_02!B116</f>
        <v>44734</v>
      </c>
      <c r="D117" s="224"/>
      <c r="E117" s="226">
        <f>Dat_02!C116</f>
        <v>19.553716010242528</v>
      </c>
      <c r="F117" s="226">
        <f>Dat_02!D116</f>
        <v>63.624179558812038</v>
      </c>
      <c r="G117" s="226">
        <f>Dat_02!E116</f>
        <v>19.553716010242528</v>
      </c>
      <c r="I117" s="227">
        <f>Dat_02!G116</f>
        <v>0</v>
      </c>
      <c r="J117" s="233" t="str">
        <f>IF(Dat_02!H116=0,"",Dat_02!H116)</f>
        <v/>
      </c>
    </row>
    <row r="118" spans="2:10">
      <c r="B118" s="224"/>
      <c r="C118" s="225">
        <f>Dat_02!B117</f>
        <v>44735</v>
      </c>
      <c r="D118" s="224"/>
      <c r="E118" s="226">
        <f>Dat_02!C117</f>
        <v>11.837183138243461</v>
      </c>
      <c r="F118" s="226">
        <f>Dat_02!D117</f>
        <v>63.624179558812038</v>
      </c>
      <c r="G118" s="226">
        <f>Dat_02!E117</f>
        <v>11.837183138243461</v>
      </c>
      <c r="I118" s="227">
        <f>Dat_02!G117</f>
        <v>0</v>
      </c>
      <c r="J118" s="233" t="str">
        <f>IF(Dat_02!H117=0,"",Dat_02!H117)</f>
        <v/>
      </c>
    </row>
    <row r="119" spans="2:10">
      <c r="B119" s="224"/>
      <c r="C119" s="225">
        <f>Dat_02!B118</f>
        <v>44736</v>
      </c>
      <c r="D119" s="224"/>
      <c r="E119" s="226">
        <f>Dat_02!C118</f>
        <v>13.610529506245326</v>
      </c>
      <c r="F119" s="226">
        <f>Dat_02!D118</f>
        <v>63.624179558812038</v>
      </c>
      <c r="G119" s="226">
        <f>Dat_02!E118</f>
        <v>13.610529506245326</v>
      </c>
      <c r="I119" s="227">
        <f>Dat_02!G118</f>
        <v>0</v>
      </c>
      <c r="J119" s="233" t="str">
        <f>IF(Dat_02!H118=0,"",Dat_02!H118)</f>
        <v/>
      </c>
    </row>
    <row r="120" spans="2:10">
      <c r="B120" s="224"/>
      <c r="C120" s="225">
        <f>Dat_02!B119</f>
        <v>44737</v>
      </c>
      <c r="D120" s="224"/>
      <c r="E120" s="226">
        <f>Dat_02!C119</f>
        <v>14.079669344244394</v>
      </c>
      <c r="F120" s="226">
        <f>Dat_02!D119</f>
        <v>63.624179558812038</v>
      </c>
      <c r="G120" s="226">
        <f>Dat_02!E119</f>
        <v>14.079669344244394</v>
      </c>
      <c r="I120" s="227">
        <f>Dat_02!G119</f>
        <v>0</v>
      </c>
      <c r="J120" s="233" t="str">
        <f>IF(Dat_02!H119=0,"",Dat_02!H119)</f>
        <v/>
      </c>
    </row>
    <row r="121" spans="2:10">
      <c r="B121" s="224"/>
      <c r="C121" s="225">
        <f>Dat_02!B120</f>
        <v>44738</v>
      </c>
      <c r="D121" s="224"/>
      <c r="E121" s="226">
        <f>Dat_02!C120</f>
        <v>14.795590156243463</v>
      </c>
      <c r="F121" s="226">
        <f>Dat_02!D120</f>
        <v>63.624179558812038</v>
      </c>
      <c r="G121" s="226">
        <f>Dat_02!E120</f>
        <v>14.795590156243463</v>
      </c>
      <c r="I121" s="227">
        <f>Dat_02!G120</f>
        <v>0</v>
      </c>
      <c r="J121" s="233" t="str">
        <f>IF(Dat_02!H120=0,"",Dat_02!H120)</f>
        <v/>
      </c>
    </row>
    <row r="122" spans="2:10">
      <c r="B122" s="224"/>
      <c r="C122" s="225">
        <f>Dat_02!B121</f>
        <v>44739</v>
      </c>
      <c r="D122" s="224"/>
      <c r="E122" s="226">
        <f>Dat_02!C121</f>
        <v>16.280848046242532</v>
      </c>
      <c r="F122" s="226">
        <f>Dat_02!D121</f>
        <v>63.624179558812038</v>
      </c>
      <c r="G122" s="226">
        <f>Dat_02!E121</f>
        <v>16.280848046242532</v>
      </c>
      <c r="I122" s="227">
        <f>Dat_02!G121</f>
        <v>0</v>
      </c>
      <c r="J122" s="233" t="str">
        <f>IF(Dat_02!H121=0,"",Dat_02!H121)</f>
        <v/>
      </c>
    </row>
    <row r="123" spans="2:10">
      <c r="B123" s="224"/>
      <c r="C123" s="225">
        <f>Dat_02!B122</f>
        <v>44740</v>
      </c>
      <c r="D123" s="224"/>
      <c r="E123" s="226">
        <f>Dat_02!C122</f>
        <v>21.948123164243466</v>
      </c>
      <c r="F123" s="226">
        <f>Dat_02!D122</f>
        <v>63.624179558812038</v>
      </c>
      <c r="G123" s="226">
        <f>Dat_02!E122</f>
        <v>21.948123164243466</v>
      </c>
      <c r="I123" s="227">
        <f>Dat_02!G122</f>
        <v>0</v>
      </c>
      <c r="J123" s="233" t="str">
        <f>IF(Dat_02!H122=0,"",Dat_02!H122)</f>
        <v/>
      </c>
    </row>
    <row r="124" spans="2:10">
      <c r="B124" s="224"/>
      <c r="C124" s="225">
        <f>Dat_02!B123</f>
        <v>44741</v>
      </c>
      <c r="D124" s="224"/>
      <c r="E124" s="226">
        <f>Dat_02!C123</f>
        <v>9.1809477699111923</v>
      </c>
      <c r="F124" s="226">
        <f>Dat_02!D123</f>
        <v>63.624179558812038</v>
      </c>
      <c r="G124" s="226">
        <f>Dat_02!E123</f>
        <v>9.1809477699111923</v>
      </c>
      <c r="I124" s="227">
        <f>Dat_02!G123</f>
        <v>0</v>
      </c>
      <c r="J124" s="233" t="str">
        <f>IF(Dat_02!H123=0,"",Dat_02!H123)</f>
        <v/>
      </c>
    </row>
    <row r="125" spans="2:10">
      <c r="B125" s="224"/>
      <c r="C125" s="225">
        <f>Dat_02!B124</f>
        <v>44742</v>
      </c>
      <c r="D125" s="224"/>
      <c r="E125" s="226">
        <f>Dat_02!C124</f>
        <v>13.906702505911191</v>
      </c>
      <c r="F125" s="226">
        <f>Dat_02!D124</f>
        <v>63.624179558812038</v>
      </c>
      <c r="G125" s="226">
        <f>Dat_02!E124</f>
        <v>13.906702505911191</v>
      </c>
      <c r="I125" s="227">
        <f>Dat_02!G124</f>
        <v>0</v>
      </c>
      <c r="J125" s="233" t="str">
        <f>IF(Dat_02!H124=0,"",Dat_02!H124)</f>
        <v/>
      </c>
    </row>
    <row r="126" spans="2:10">
      <c r="B126" s="224"/>
      <c r="C126" s="225">
        <f>Dat_02!B125</f>
        <v>44743</v>
      </c>
      <c r="D126" s="224"/>
      <c r="E126" s="226">
        <f>Dat_02!C125</f>
        <v>18.26130749391119</v>
      </c>
      <c r="F126" s="226">
        <f>Dat_02!D125</f>
        <v>27.442156278712137</v>
      </c>
      <c r="G126" s="226">
        <f>Dat_02!E125</f>
        <v>18.26130749391119</v>
      </c>
      <c r="I126" s="227">
        <f>Dat_02!G125</f>
        <v>0</v>
      </c>
      <c r="J126" s="233" t="str">
        <f>IF(Dat_02!H125=0,"",Dat_02!H125)</f>
        <v/>
      </c>
    </row>
    <row r="127" spans="2:10">
      <c r="B127" s="224" t="s">
        <v>200</v>
      </c>
      <c r="C127" s="225">
        <f>Dat_02!B126</f>
        <v>44744</v>
      </c>
      <c r="D127" s="224"/>
      <c r="E127" s="226">
        <f>Dat_02!C126</f>
        <v>13.311754027910261</v>
      </c>
      <c r="F127" s="226">
        <f>Dat_02!D126</f>
        <v>27.442156278712137</v>
      </c>
      <c r="G127" s="226">
        <f>Dat_02!E126</f>
        <v>13.311754027910261</v>
      </c>
      <c r="I127" s="227">
        <f>Dat_02!G126</f>
        <v>0</v>
      </c>
      <c r="J127" s="233" t="str">
        <f>IF(Dat_02!H126=0,"",Dat_02!H126)</f>
        <v/>
      </c>
    </row>
    <row r="128" spans="2:10">
      <c r="B128" s="224"/>
      <c r="C128" s="225">
        <f>Dat_02!B127</f>
        <v>44745</v>
      </c>
      <c r="D128" s="224"/>
      <c r="E128" s="226">
        <f>Dat_02!C127</f>
        <v>10.862065957910261</v>
      </c>
      <c r="F128" s="226">
        <f>Dat_02!D127</f>
        <v>27.442156278712137</v>
      </c>
      <c r="G128" s="226">
        <f>Dat_02!E127</f>
        <v>10.862065957910261</v>
      </c>
      <c r="I128" s="227">
        <f>Dat_02!G127</f>
        <v>0</v>
      </c>
      <c r="J128" s="233" t="str">
        <f>IF(Dat_02!H127=0,"",Dat_02!H127)</f>
        <v/>
      </c>
    </row>
    <row r="129" spans="2:10">
      <c r="B129" s="224"/>
      <c r="C129" s="225">
        <f>Dat_02!B128</f>
        <v>44746</v>
      </c>
      <c r="D129" s="224"/>
      <c r="E129" s="226">
        <f>Dat_02!C128</f>
        <v>12.640432783910262</v>
      </c>
      <c r="F129" s="226">
        <f>Dat_02!D128</f>
        <v>27.442156278712137</v>
      </c>
      <c r="G129" s="226">
        <f>Dat_02!E128</f>
        <v>12.640432783910262</v>
      </c>
      <c r="I129" s="227">
        <f>Dat_02!G128</f>
        <v>0</v>
      </c>
      <c r="J129" s="233" t="str">
        <f>IF(Dat_02!H128=0,"",Dat_02!H128)</f>
        <v/>
      </c>
    </row>
    <row r="130" spans="2:10">
      <c r="B130" s="224"/>
      <c r="C130" s="225">
        <f>Dat_02!B129</f>
        <v>44747</v>
      </c>
      <c r="D130" s="224"/>
      <c r="E130" s="226">
        <f>Dat_02!C129</f>
        <v>9.9000488619102622</v>
      </c>
      <c r="F130" s="226">
        <f>Dat_02!D129</f>
        <v>27.442156278712137</v>
      </c>
      <c r="G130" s="226">
        <f>Dat_02!E129</f>
        <v>9.9000488619102622</v>
      </c>
      <c r="I130" s="227">
        <f>Dat_02!G129</f>
        <v>0</v>
      </c>
      <c r="J130" s="233" t="str">
        <f>IF(Dat_02!H129=0,"",Dat_02!H129)</f>
        <v/>
      </c>
    </row>
    <row r="131" spans="2:10">
      <c r="B131" s="224"/>
      <c r="C131" s="225">
        <f>Dat_02!B130</f>
        <v>44748</v>
      </c>
      <c r="D131" s="224"/>
      <c r="E131" s="226">
        <f>Dat_02!C130</f>
        <v>11.283998423679</v>
      </c>
      <c r="F131" s="226">
        <f>Dat_02!D130</f>
        <v>27.442156278712137</v>
      </c>
      <c r="G131" s="226">
        <f>Dat_02!E130</f>
        <v>11.283998423679</v>
      </c>
      <c r="I131" s="227">
        <f>Dat_02!G130</f>
        <v>0</v>
      </c>
      <c r="J131" s="233" t="str">
        <f>IF(Dat_02!H130=0,"",Dat_02!H130)</f>
        <v/>
      </c>
    </row>
    <row r="132" spans="2:10">
      <c r="B132" s="224"/>
      <c r="C132" s="225">
        <f>Dat_02!B131</f>
        <v>44749</v>
      </c>
      <c r="D132" s="224"/>
      <c r="E132" s="226">
        <f>Dat_02!C131</f>
        <v>8.9849090036817945</v>
      </c>
      <c r="F132" s="226">
        <f>Dat_02!D131</f>
        <v>27.442156278712137</v>
      </c>
      <c r="G132" s="226">
        <f>Dat_02!E131</f>
        <v>8.9849090036817945</v>
      </c>
      <c r="I132" s="227">
        <f>Dat_02!G131</f>
        <v>0</v>
      </c>
      <c r="J132" s="233" t="str">
        <f>IF(Dat_02!H131=0,"",Dat_02!H131)</f>
        <v/>
      </c>
    </row>
    <row r="133" spans="2:10">
      <c r="B133" s="224"/>
      <c r="C133" s="225">
        <f>Dat_02!B132</f>
        <v>44750</v>
      </c>
      <c r="D133" s="224"/>
      <c r="E133" s="226">
        <f>Dat_02!C132</f>
        <v>9.7572991336799308</v>
      </c>
      <c r="F133" s="226">
        <f>Dat_02!D132</f>
        <v>27.442156278712137</v>
      </c>
      <c r="G133" s="226">
        <f>Dat_02!E132</f>
        <v>9.7572991336799308</v>
      </c>
      <c r="I133" s="227">
        <f>Dat_02!G132</f>
        <v>0</v>
      </c>
      <c r="J133" s="233" t="str">
        <f>IF(Dat_02!H132=0,"",Dat_02!H132)</f>
        <v/>
      </c>
    </row>
    <row r="134" spans="2:10">
      <c r="B134" s="224"/>
      <c r="C134" s="225">
        <f>Dat_02!B133</f>
        <v>44751</v>
      </c>
      <c r="D134" s="224"/>
      <c r="E134" s="226">
        <f>Dat_02!C133</f>
        <v>10.604230937679</v>
      </c>
      <c r="F134" s="226">
        <f>Dat_02!D133</f>
        <v>27.442156278712137</v>
      </c>
      <c r="G134" s="226">
        <f>Dat_02!E133</f>
        <v>10.604230937679</v>
      </c>
      <c r="I134" s="227">
        <f>Dat_02!G133</f>
        <v>0</v>
      </c>
      <c r="J134" s="233" t="str">
        <f>IF(Dat_02!H133=0,"",Dat_02!H133)</f>
        <v/>
      </c>
    </row>
    <row r="135" spans="2:10">
      <c r="B135" s="224"/>
      <c r="C135" s="225">
        <f>Dat_02!B134</f>
        <v>44752</v>
      </c>
      <c r="D135" s="224"/>
      <c r="E135" s="226">
        <f>Dat_02!C134</f>
        <v>6.8015913716790015</v>
      </c>
      <c r="F135" s="226">
        <f>Dat_02!D134</f>
        <v>27.442156278712137</v>
      </c>
      <c r="G135" s="226">
        <f>Dat_02!E134</f>
        <v>6.8015913716790015</v>
      </c>
      <c r="I135" s="227">
        <f>Dat_02!G134</f>
        <v>0</v>
      </c>
      <c r="J135" s="233" t="str">
        <f>IF(Dat_02!H134=0,"",Dat_02!H134)</f>
        <v/>
      </c>
    </row>
    <row r="136" spans="2:10">
      <c r="B136" s="224"/>
      <c r="C136" s="225">
        <f>Dat_02!B135</f>
        <v>44753</v>
      </c>
      <c r="D136" s="224"/>
      <c r="E136" s="226">
        <f>Dat_02!C135</f>
        <v>9.1149374676808659</v>
      </c>
      <c r="F136" s="226">
        <f>Dat_02!D135</f>
        <v>27.442156278712137</v>
      </c>
      <c r="G136" s="226">
        <f>Dat_02!E135</f>
        <v>9.1149374676808659</v>
      </c>
      <c r="I136" s="227">
        <f>Dat_02!G135</f>
        <v>0</v>
      </c>
      <c r="J136" s="233" t="str">
        <f>IF(Dat_02!H135=0,"",Dat_02!H135)</f>
        <v/>
      </c>
    </row>
    <row r="137" spans="2:10">
      <c r="B137" s="224"/>
      <c r="C137" s="225">
        <f>Dat_02!B136</f>
        <v>44754</v>
      </c>
      <c r="D137" s="224"/>
      <c r="E137" s="226">
        <f>Dat_02!C136</f>
        <v>8.5235670636790015</v>
      </c>
      <c r="F137" s="226">
        <f>Dat_02!D136</f>
        <v>27.442156278712137</v>
      </c>
      <c r="G137" s="226">
        <f>Dat_02!E136</f>
        <v>8.5235670636790015</v>
      </c>
      <c r="I137" s="227">
        <f>Dat_02!G136</f>
        <v>0</v>
      </c>
      <c r="J137" s="233" t="str">
        <f>IF(Dat_02!H136=0,"",Dat_02!H136)</f>
        <v/>
      </c>
    </row>
    <row r="138" spans="2:10">
      <c r="B138" s="224"/>
      <c r="C138" s="225">
        <f>Dat_02!B137</f>
        <v>44755</v>
      </c>
      <c r="D138" s="224"/>
      <c r="E138" s="226">
        <f>Dat_02!C137</f>
        <v>4.7929471573210609</v>
      </c>
      <c r="F138" s="226">
        <f>Dat_02!D137</f>
        <v>27.442156278712137</v>
      </c>
      <c r="G138" s="226">
        <f>Dat_02!E137</f>
        <v>4.7929471573210609</v>
      </c>
      <c r="I138" s="227">
        <f>Dat_02!G137</f>
        <v>0</v>
      </c>
      <c r="J138" s="233" t="str">
        <f>IF(Dat_02!H137=0,"",Dat_02!H137)</f>
        <v/>
      </c>
    </row>
    <row r="139" spans="2:10">
      <c r="B139" s="224"/>
      <c r="C139" s="225">
        <f>Dat_02!B138</f>
        <v>44756</v>
      </c>
      <c r="D139" s="224"/>
      <c r="E139" s="226">
        <f>Dat_02!C138</f>
        <v>6.4864265373191961</v>
      </c>
      <c r="F139" s="226">
        <f>Dat_02!D138</f>
        <v>27.442156278712137</v>
      </c>
      <c r="G139" s="226">
        <f>Dat_02!E138</f>
        <v>6.4864265373191961</v>
      </c>
      <c r="I139" s="227">
        <f>Dat_02!G138</f>
        <v>0</v>
      </c>
      <c r="J139" s="233" t="str">
        <f>IF(Dat_02!H138=0,"",Dat_02!H138)</f>
        <v/>
      </c>
    </row>
    <row r="140" spans="2:10">
      <c r="B140" s="224"/>
      <c r="C140" s="225">
        <f>Dat_02!B139</f>
        <v>44757</v>
      </c>
      <c r="D140" s="224"/>
      <c r="E140" s="226">
        <f>Dat_02!C139</f>
        <v>1.4838149653201254</v>
      </c>
      <c r="F140" s="226">
        <f>Dat_02!D139</f>
        <v>27.442156278712137</v>
      </c>
      <c r="G140" s="226">
        <f>Dat_02!E139</f>
        <v>1.4838149653201254</v>
      </c>
      <c r="I140" s="227">
        <f>Dat_02!G139</f>
        <v>27.442156278712137</v>
      </c>
      <c r="J140" s="233" t="str">
        <f>IF(Dat_02!H139=0,"",Dat_02!H139)</f>
        <v/>
      </c>
    </row>
    <row r="141" spans="2:10">
      <c r="B141" s="224"/>
      <c r="C141" s="225">
        <f>Dat_02!B140</f>
        <v>44758</v>
      </c>
      <c r="D141" s="224"/>
      <c r="E141" s="226">
        <f>Dat_02!C140</f>
        <v>1.2497050733191937</v>
      </c>
      <c r="F141" s="226">
        <f>Dat_02!D140</f>
        <v>27.442156278712137</v>
      </c>
      <c r="G141" s="226">
        <f>Dat_02!E140</f>
        <v>1.2497050733191937</v>
      </c>
      <c r="I141" s="227">
        <f>Dat_02!G140</f>
        <v>0</v>
      </c>
      <c r="J141" s="233" t="str">
        <f>IF(Dat_02!H140=0,"",Dat_02!H140)</f>
        <v/>
      </c>
    </row>
    <row r="142" spans="2:10">
      <c r="B142" s="224"/>
      <c r="C142" s="225">
        <f>Dat_02!B141</f>
        <v>44759</v>
      </c>
      <c r="D142" s="224"/>
      <c r="E142" s="226">
        <f>Dat_02!C141</f>
        <v>1.4202057053201278</v>
      </c>
      <c r="F142" s="226">
        <f>Dat_02!D141</f>
        <v>27.442156278712137</v>
      </c>
      <c r="G142" s="226">
        <f>Dat_02!E141</f>
        <v>1.4202057053201278</v>
      </c>
      <c r="I142" s="227">
        <f>Dat_02!G141</f>
        <v>0</v>
      </c>
      <c r="J142" s="233" t="str">
        <f>IF(Dat_02!H141=0,"",Dat_02!H141)</f>
        <v/>
      </c>
    </row>
    <row r="143" spans="2:10">
      <c r="B143" s="224"/>
      <c r="C143" s="225">
        <f>Dat_02!B142</f>
        <v>44760</v>
      </c>
      <c r="D143" s="224"/>
      <c r="E143" s="226">
        <f>Dat_02!C142</f>
        <v>0.75884421532105628</v>
      </c>
      <c r="F143" s="226">
        <f>Dat_02!D142</f>
        <v>27.442156278712137</v>
      </c>
      <c r="G143" s="226">
        <f>Dat_02!E142</f>
        <v>0.75884421532105628</v>
      </c>
      <c r="I143" s="227">
        <f>Dat_02!G142</f>
        <v>0</v>
      </c>
      <c r="J143" s="233" t="str">
        <f>IF(Dat_02!H142=0,"",Dat_02!H142)</f>
        <v/>
      </c>
    </row>
    <row r="144" spans="2:10">
      <c r="B144" s="224"/>
      <c r="C144" s="225">
        <f>Dat_02!B143</f>
        <v>44761</v>
      </c>
      <c r="D144" s="224"/>
      <c r="E144" s="226">
        <f>Dat_02!C143</f>
        <v>1.145779831319196</v>
      </c>
      <c r="F144" s="226">
        <f>Dat_02!D143</f>
        <v>27.442156278712137</v>
      </c>
      <c r="G144" s="226">
        <f>Dat_02!E143</f>
        <v>1.145779831319196</v>
      </c>
      <c r="I144" s="227">
        <f>Dat_02!G143</f>
        <v>0</v>
      </c>
      <c r="J144" s="233" t="str">
        <f>IF(Dat_02!H143=0,"",Dat_02!H143)</f>
        <v/>
      </c>
    </row>
    <row r="145" spans="2:10">
      <c r="B145" s="224"/>
      <c r="C145" s="225">
        <f>Dat_02!B144</f>
        <v>44762</v>
      </c>
      <c r="D145" s="224"/>
      <c r="E145" s="226">
        <f>Dat_02!C144</f>
        <v>20.095398515821355</v>
      </c>
      <c r="F145" s="226">
        <f>Dat_02!D144</f>
        <v>27.442156278712137</v>
      </c>
      <c r="G145" s="226">
        <f>Dat_02!E144</f>
        <v>20.095398515821355</v>
      </c>
      <c r="I145" s="227">
        <f>Dat_02!G144</f>
        <v>0</v>
      </c>
      <c r="J145" s="233" t="str">
        <f>IF(Dat_02!H144=0,"",Dat_02!H144)</f>
        <v/>
      </c>
    </row>
    <row r="146" spans="2:10">
      <c r="B146" s="224"/>
      <c r="C146" s="225">
        <f>Dat_02!B145</f>
        <v>44763</v>
      </c>
      <c r="D146" s="224"/>
      <c r="E146" s="226">
        <f>Dat_02!C145</f>
        <v>2.558431247822289</v>
      </c>
      <c r="F146" s="226">
        <f>Dat_02!D145</f>
        <v>27.442156278712137</v>
      </c>
      <c r="G146" s="226">
        <f>Dat_02!E145</f>
        <v>2.558431247822289</v>
      </c>
      <c r="I146" s="227">
        <f>Dat_02!G145</f>
        <v>0</v>
      </c>
      <c r="J146" s="233" t="str">
        <f>IF(Dat_02!H145=0,"",Dat_02!H145)</f>
        <v/>
      </c>
    </row>
    <row r="147" spans="2:10">
      <c r="B147" s="224"/>
      <c r="C147" s="225">
        <f>Dat_02!B146</f>
        <v>44764</v>
      </c>
      <c r="D147" s="224"/>
      <c r="E147" s="226">
        <f>Dat_02!C146</f>
        <v>9.7333589778213572</v>
      </c>
      <c r="F147" s="226">
        <f>Dat_02!D146</f>
        <v>27.442156278712137</v>
      </c>
      <c r="G147" s="226">
        <f>Dat_02!E146</f>
        <v>9.7333589778213572</v>
      </c>
      <c r="I147" s="227">
        <f>Dat_02!G146</f>
        <v>0</v>
      </c>
      <c r="J147" s="233" t="str">
        <f>IF(Dat_02!H146=0,"",Dat_02!H146)</f>
        <v/>
      </c>
    </row>
    <row r="148" spans="2:10">
      <c r="B148" s="224"/>
      <c r="C148" s="225">
        <f>Dat_02!B147</f>
        <v>44765</v>
      </c>
      <c r="D148" s="224"/>
      <c r="E148" s="226">
        <f>Dat_02!C147</f>
        <v>1.8437223678213559</v>
      </c>
      <c r="F148" s="226">
        <f>Dat_02!D147</f>
        <v>27.442156278712137</v>
      </c>
      <c r="G148" s="226">
        <f>Dat_02!E147</f>
        <v>1.8437223678213559</v>
      </c>
      <c r="I148" s="227">
        <f>Dat_02!G147</f>
        <v>0</v>
      </c>
      <c r="J148" s="233" t="str">
        <f>IF(Dat_02!H147=0,"",Dat_02!H147)</f>
        <v/>
      </c>
    </row>
    <row r="149" spans="2:10">
      <c r="B149" s="224"/>
      <c r="C149" s="225">
        <f>Dat_02!B148</f>
        <v>44766</v>
      </c>
      <c r="D149" s="224"/>
      <c r="E149" s="226">
        <f>Dat_02!C148</f>
        <v>6.3252045378232218</v>
      </c>
      <c r="F149" s="226">
        <f>Dat_02!D148</f>
        <v>27.442156278712137</v>
      </c>
      <c r="G149" s="226">
        <f>Dat_02!E148</f>
        <v>6.3252045378232218</v>
      </c>
      <c r="I149" s="227">
        <f>Dat_02!G148</f>
        <v>0</v>
      </c>
      <c r="J149" s="233" t="str">
        <f>IF(Dat_02!H148=0,"",Dat_02!H148)</f>
        <v/>
      </c>
    </row>
    <row r="150" spans="2:10">
      <c r="B150" s="224"/>
      <c r="C150" s="225">
        <f>Dat_02!B149</f>
        <v>44767</v>
      </c>
      <c r="D150" s="224"/>
      <c r="E150" s="226">
        <f>Dat_02!C149</f>
        <v>2.6187397778213564</v>
      </c>
      <c r="F150" s="226">
        <f>Dat_02!D149</f>
        <v>27.442156278712137</v>
      </c>
      <c r="G150" s="226">
        <f>Dat_02!E149</f>
        <v>2.6187397778213564</v>
      </c>
      <c r="I150" s="227">
        <f>Dat_02!G149</f>
        <v>0</v>
      </c>
      <c r="J150" s="233" t="str">
        <f>IF(Dat_02!H149=0,"",Dat_02!H149)</f>
        <v/>
      </c>
    </row>
    <row r="151" spans="2:10">
      <c r="B151" s="224"/>
      <c r="C151" s="225">
        <f>Dat_02!B150</f>
        <v>44768</v>
      </c>
      <c r="D151" s="224"/>
      <c r="E151" s="226">
        <f>Dat_02!C150</f>
        <v>3.9734406878222872</v>
      </c>
      <c r="F151" s="226">
        <f>Dat_02!D150</f>
        <v>27.442156278712137</v>
      </c>
      <c r="G151" s="226">
        <f>Dat_02!E150</f>
        <v>3.9734406878222872</v>
      </c>
      <c r="I151" s="227">
        <f>Dat_02!G150</f>
        <v>0</v>
      </c>
      <c r="J151" s="233" t="str">
        <f>IF(Dat_02!H150=0,"",Dat_02!H150)</f>
        <v/>
      </c>
    </row>
    <row r="152" spans="2:10">
      <c r="B152" s="224"/>
      <c r="C152" s="225">
        <f>Dat_02!B151</f>
        <v>44769</v>
      </c>
      <c r="D152" s="224"/>
      <c r="E152" s="226">
        <f>Dat_02!C151</f>
        <v>2.3285343500869931</v>
      </c>
      <c r="F152" s="226">
        <f>Dat_02!D151</f>
        <v>27.442156278712137</v>
      </c>
      <c r="G152" s="226">
        <f>Dat_02!E151</f>
        <v>2.3285343500869931</v>
      </c>
      <c r="I152" s="227">
        <f>Dat_02!G151</f>
        <v>0</v>
      </c>
      <c r="J152" s="233" t="str">
        <f>IF(Dat_02!H151=0,"",Dat_02!H151)</f>
        <v/>
      </c>
    </row>
    <row r="153" spans="2:10">
      <c r="B153" s="224"/>
      <c r="C153" s="225">
        <f>Dat_02!B152</f>
        <v>44770</v>
      </c>
      <c r="D153" s="224"/>
      <c r="E153" s="226">
        <f>Dat_02!C152</f>
        <v>3.0132909940860628</v>
      </c>
      <c r="F153" s="226">
        <f>Dat_02!D152</f>
        <v>27.442156278712137</v>
      </c>
      <c r="G153" s="226">
        <f>Dat_02!E152</f>
        <v>3.0132909940860628</v>
      </c>
      <c r="I153" s="227">
        <f>Dat_02!G152</f>
        <v>0</v>
      </c>
      <c r="J153" s="233" t="str">
        <f>IF(Dat_02!H152=0,"",Dat_02!H152)</f>
        <v/>
      </c>
    </row>
    <row r="154" spans="2:10">
      <c r="B154" s="224"/>
      <c r="C154" s="225">
        <f>Dat_02!B153</f>
        <v>44771</v>
      </c>
      <c r="D154" s="224"/>
      <c r="E154" s="226">
        <f>Dat_02!C153</f>
        <v>7.9956250000860596</v>
      </c>
      <c r="F154" s="226">
        <f>Dat_02!D153</f>
        <v>27.442156278712137</v>
      </c>
      <c r="G154" s="226">
        <f>Dat_02!E153</f>
        <v>7.9956250000860596</v>
      </c>
      <c r="I154" s="227">
        <f>Dat_02!G153</f>
        <v>0</v>
      </c>
      <c r="J154" s="233" t="str">
        <f>IF(Dat_02!H153=0,"",Dat_02!H153)</f>
        <v/>
      </c>
    </row>
    <row r="155" spans="2:10">
      <c r="B155" s="224"/>
      <c r="C155" s="225">
        <f>Dat_02!B154</f>
        <v>44772</v>
      </c>
      <c r="D155" s="224"/>
      <c r="E155" s="226">
        <f>Dat_02!C154</f>
        <v>1.3761316360860618</v>
      </c>
      <c r="F155" s="226">
        <f>Dat_02!D154</f>
        <v>27.442156278712137</v>
      </c>
      <c r="G155" s="226">
        <f>Dat_02!E154</f>
        <v>1.3761316360860618</v>
      </c>
      <c r="I155" s="227">
        <f>Dat_02!G154</f>
        <v>0</v>
      </c>
      <c r="J155" s="233" t="str">
        <f>IF(Dat_02!H154=0,"",Dat_02!H154)</f>
        <v/>
      </c>
    </row>
    <row r="156" spans="2:10">
      <c r="B156" s="224"/>
      <c r="C156" s="225">
        <f>Dat_02!B155</f>
        <v>44773</v>
      </c>
      <c r="D156" s="224"/>
      <c r="E156" s="226">
        <f>Dat_02!C155</f>
        <v>1.0365645200851323</v>
      </c>
      <c r="F156" s="226">
        <f>Dat_02!D155</f>
        <v>27.442156278712137</v>
      </c>
      <c r="G156" s="226">
        <f>Dat_02!E155</f>
        <v>1.0365645200851323</v>
      </c>
      <c r="I156" s="227">
        <f>Dat_02!G155</f>
        <v>0</v>
      </c>
      <c r="J156" s="233" t="str">
        <f>IF(Dat_02!H155=0,"",Dat_02!H155)</f>
        <v/>
      </c>
    </row>
    <row r="157" spans="2:10">
      <c r="B157" s="224" t="s">
        <v>201</v>
      </c>
      <c r="C157" s="225">
        <f>Dat_02!B156</f>
        <v>44774</v>
      </c>
      <c r="D157" s="224"/>
      <c r="E157" s="226">
        <f>Dat_02!C156</f>
        <v>3.4157058080869973</v>
      </c>
      <c r="F157" s="226">
        <f>Dat_02!D156</f>
        <v>16.581237981614105</v>
      </c>
      <c r="G157" s="226">
        <f>Dat_02!E156</f>
        <v>3.4157058080869973</v>
      </c>
      <c r="I157" s="227">
        <f>Dat_02!G156</f>
        <v>0</v>
      </c>
      <c r="J157" s="233" t="str">
        <f>IF(Dat_02!H156=0,"",Dat_02!H156)</f>
        <v/>
      </c>
    </row>
    <row r="158" spans="2:10">
      <c r="B158" s="224"/>
      <c r="C158" s="225">
        <f>Dat_02!B157</f>
        <v>44775</v>
      </c>
      <c r="D158" s="224"/>
      <c r="E158" s="226">
        <f>Dat_02!C157</f>
        <v>5.5336346980869928</v>
      </c>
      <c r="F158" s="226">
        <f>Dat_02!D157</f>
        <v>16.581237981614105</v>
      </c>
      <c r="G158" s="226">
        <f>Dat_02!E157</f>
        <v>5.5336346980869928</v>
      </c>
      <c r="I158" s="227">
        <f>Dat_02!G157</f>
        <v>0</v>
      </c>
      <c r="J158" s="233" t="str">
        <f>IF(Dat_02!H157=0,"",Dat_02!H157)</f>
        <v/>
      </c>
    </row>
    <row r="159" spans="2:10">
      <c r="B159" s="224"/>
      <c r="C159" s="225">
        <f>Dat_02!B158</f>
        <v>44776</v>
      </c>
      <c r="D159" s="224"/>
      <c r="E159" s="226">
        <f>Dat_02!C158</f>
        <v>1.0150136552845797</v>
      </c>
      <c r="F159" s="226">
        <f>Dat_02!D158</f>
        <v>16.581237981614105</v>
      </c>
      <c r="G159" s="226">
        <f>Dat_02!E158</f>
        <v>1.0150136552845797</v>
      </c>
      <c r="I159" s="227">
        <f>Dat_02!G158</f>
        <v>0</v>
      </c>
      <c r="J159" s="233" t="str">
        <f>IF(Dat_02!H158=0,"",Dat_02!H158)</f>
        <v/>
      </c>
    </row>
    <row r="160" spans="2:10">
      <c r="B160" s="224"/>
      <c r="C160" s="225">
        <f>Dat_02!B159</f>
        <v>44777</v>
      </c>
      <c r="D160" s="224"/>
      <c r="E160" s="226">
        <f>Dat_02!C159</f>
        <v>1.4196845172845787</v>
      </c>
      <c r="F160" s="226">
        <f>Dat_02!D159</f>
        <v>16.581237981614105</v>
      </c>
      <c r="G160" s="226">
        <f>Dat_02!E159</f>
        <v>1.4196845172845787</v>
      </c>
      <c r="I160" s="227">
        <f>Dat_02!G159</f>
        <v>0</v>
      </c>
      <c r="J160" s="233" t="str">
        <f>IF(Dat_02!H159=0,"",Dat_02!H159)</f>
        <v/>
      </c>
    </row>
    <row r="161" spans="2:10">
      <c r="B161" s="224"/>
      <c r="C161" s="225">
        <f>Dat_02!B160</f>
        <v>44778</v>
      </c>
      <c r="D161" s="224"/>
      <c r="E161" s="226">
        <f>Dat_02!C160</f>
        <v>1.344578549284579</v>
      </c>
      <c r="F161" s="226">
        <f>Dat_02!D160</f>
        <v>16.581237981614105</v>
      </c>
      <c r="G161" s="226">
        <f>Dat_02!E160</f>
        <v>1.344578549284579</v>
      </c>
      <c r="I161" s="227">
        <f>Dat_02!G160</f>
        <v>0</v>
      </c>
      <c r="J161" s="233" t="str">
        <f>IF(Dat_02!H160=0,"",Dat_02!H160)</f>
        <v/>
      </c>
    </row>
    <row r="162" spans="2:10">
      <c r="B162" s="224"/>
      <c r="C162" s="225">
        <f>Dat_02!B161</f>
        <v>44779</v>
      </c>
      <c r="D162" s="224"/>
      <c r="E162" s="226">
        <f>Dat_02!C161</f>
        <v>0.84473048328457667</v>
      </c>
      <c r="F162" s="226">
        <f>Dat_02!D161</f>
        <v>16.581237981614105</v>
      </c>
      <c r="G162" s="226">
        <f>Dat_02!E161</f>
        <v>0.84473048328457667</v>
      </c>
      <c r="I162" s="227">
        <f>Dat_02!G161</f>
        <v>0</v>
      </c>
      <c r="J162" s="233" t="str">
        <f>IF(Dat_02!H161=0,"",Dat_02!H161)</f>
        <v/>
      </c>
    </row>
    <row r="163" spans="2:10">
      <c r="B163" s="224"/>
      <c r="C163" s="225">
        <f>Dat_02!B162</f>
        <v>44780</v>
      </c>
      <c r="D163" s="224"/>
      <c r="E163" s="226">
        <f>Dat_02!C162</f>
        <v>0.6848620392845769</v>
      </c>
      <c r="F163" s="226">
        <f>Dat_02!D162</f>
        <v>16.581237981614105</v>
      </c>
      <c r="G163" s="226">
        <f>Dat_02!E162</f>
        <v>0.6848620392845769</v>
      </c>
      <c r="I163" s="227">
        <f>Dat_02!G162</f>
        <v>0</v>
      </c>
      <c r="J163" s="233" t="str">
        <f>IF(Dat_02!H162=0,"",Dat_02!H162)</f>
        <v/>
      </c>
    </row>
    <row r="164" spans="2:10">
      <c r="B164" s="224"/>
      <c r="C164" s="225">
        <f>Dat_02!B163</f>
        <v>44781</v>
      </c>
      <c r="D164" s="224"/>
      <c r="E164" s="226">
        <f>Dat_02!C163</f>
        <v>1.3548702392864398</v>
      </c>
      <c r="F164" s="226">
        <f>Dat_02!D163</f>
        <v>16.581237981614105</v>
      </c>
      <c r="G164" s="226">
        <f>Dat_02!E163</f>
        <v>1.3548702392864398</v>
      </c>
      <c r="I164" s="227">
        <f>Dat_02!G163</f>
        <v>0</v>
      </c>
      <c r="J164" s="233" t="str">
        <f>IF(Dat_02!H163=0,"",Dat_02!H163)</f>
        <v/>
      </c>
    </row>
    <row r="165" spans="2:10">
      <c r="B165" s="224"/>
      <c r="C165" s="225">
        <f>Dat_02!B164</f>
        <v>44782</v>
      </c>
      <c r="D165" s="224"/>
      <c r="E165" s="226">
        <f>Dat_02!C164</f>
        <v>0.71445054728457758</v>
      </c>
      <c r="F165" s="226">
        <f>Dat_02!D164</f>
        <v>16.581237981614105</v>
      </c>
      <c r="G165" s="226">
        <f>Dat_02!E164</f>
        <v>0.71445054728457758</v>
      </c>
      <c r="I165" s="227">
        <f>Dat_02!G164</f>
        <v>0</v>
      </c>
      <c r="J165" s="233" t="str">
        <f>IF(Dat_02!H164=0,"",Dat_02!H164)</f>
        <v/>
      </c>
    </row>
    <row r="166" spans="2:10">
      <c r="B166" s="224"/>
      <c r="C166" s="225">
        <f>Dat_02!B165</f>
        <v>44783</v>
      </c>
      <c r="D166" s="224"/>
      <c r="E166" s="226">
        <f>Dat_02!C165</f>
        <v>4.951292308998454</v>
      </c>
      <c r="F166" s="226">
        <f>Dat_02!D165</f>
        <v>16.581237981614105</v>
      </c>
      <c r="G166" s="226">
        <f>Dat_02!E165</f>
        <v>4.951292308998454</v>
      </c>
      <c r="I166" s="227">
        <f>Dat_02!G165</f>
        <v>0</v>
      </c>
      <c r="J166" s="233" t="str">
        <f>IF(Dat_02!H165=0,"",Dat_02!H165)</f>
        <v/>
      </c>
    </row>
    <row r="167" spans="2:10">
      <c r="B167" s="224"/>
      <c r="C167" s="225">
        <f>Dat_02!B166</f>
        <v>44784</v>
      </c>
      <c r="D167" s="224"/>
      <c r="E167" s="226">
        <f>Dat_02!C166</f>
        <v>1.8089405069993882</v>
      </c>
      <c r="F167" s="226">
        <f>Dat_02!D166</f>
        <v>16.581237981614105</v>
      </c>
      <c r="G167" s="226">
        <f>Dat_02!E166</f>
        <v>1.8089405069993882</v>
      </c>
      <c r="I167" s="227">
        <f>Dat_02!G166</f>
        <v>0</v>
      </c>
      <c r="J167" s="233" t="str">
        <f>IF(Dat_02!H166=0,"",Dat_02!H166)</f>
        <v/>
      </c>
    </row>
    <row r="168" spans="2:10">
      <c r="B168" s="224"/>
      <c r="C168" s="225">
        <f>Dat_02!B167</f>
        <v>44785</v>
      </c>
      <c r="D168" s="224"/>
      <c r="E168" s="226">
        <f>Dat_02!C167</f>
        <v>1.2088658429984571</v>
      </c>
      <c r="F168" s="226">
        <f>Dat_02!D167</f>
        <v>16.581237981614105</v>
      </c>
      <c r="G168" s="226">
        <f>Dat_02!E167</f>
        <v>1.2088658429984571</v>
      </c>
      <c r="I168" s="227">
        <f>Dat_02!G167</f>
        <v>0</v>
      </c>
      <c r="J168" s="233" t="str">
        <f>IF(Dat_02!H167=0,"",Dat_02!H167)</f>
        <v/>
      </c>
    </row>
    <row r="169" spans="2:10">
      <c r="B169" s="224"/>
      <c r="C169" s="225">
        <f>Dat_02!B168</f>
        <v>44786</v>
      </c>
      <c r="D169" s="224"/>
      <c r="E169" s="226">
        <f>Dat_02!C168</f>
        <v>2.0559283149993899</v>
      </c>
      <c r="F169" s="226">
        <f>Dat_02!D168</f>
        <v>16.581237981614105</v>
      </c>
      <c r="G169" s="226">
        <f>Dat_02!E168</f>
        <v>2.0559283149993899</v>
      </c>
      <c r="I169" s="227">
        <f>Dat_02!G168</f>
        <v>0</v>
      </c>
      <c r="J169" s="233" t="str">
        <f>IF(Dat_02!H168=0,"",Dat_02!H168)</f>
        <v/>
      </c>
    </row>
    <row r="170" spans="2:10">
      <c r="B170" s="224"/>
      <c r="C170" s="225">
        <f>Dat_02!B169</f>
        <v>44787</v>
      </c>
      <c r="D170" s="224"/>
      <c r="E170" s="226">
        <f>Dat_02!C169</f>
        <v>1.3494826249993894</v>
      </c>
      <c r="F170" s="226">
        <f>Dat_02!D169</f>
        <v>16.581237981614105</v>
      </c>
      <c r="G170" s="226">
        <f>Dat_02!E169</f>
        <v>1.3494826249993894</v>
      </c>
      <c r="I170" s="227">
        <f>Dat_02!G169</f>
        <v>0</v>
      </c>
      <c r="J170" s="233" t="str">
        <f>IF(Dat_02!H169=0,"",Dat_02!H169)</f>
        <v/>
      </c>
    </row>
    <row r="171" spans="2:10">
      <c r="B171" s="224"/>
      <c r="C171" s="225">
        <f>Dat_02!B170</f>
        <v>44788</v>
      </c>
      <c r="D171" s="224"/>
      <c r="E171" s="226">
        <f>Dat_02!C170</f>
        <v>1.4888449209993888</v>
      </c>
      <c r="F171" s="226">
        <f>Dat_02!D170</f>
        <v>16.581237981614105</v>
      </c>
      <c r="G171" s="226">
        <f>Dat_02!E170</f>
        <v>1.4888449209993888</v>
      </c>
      <c r="I171" s="227">
        <f>Dat_02!G170</f>
        <v>16.581237981614105</v>
      </c>
      <c r="J171" s="233" t="str">
        <f>IF(Dat_02!H170=0,"",Dat_02!H170)</f>
        <v/>
      </c>
    </row>
    <row r="172" spans="2:10">
      <c r="B172" s="224"/>
      <c r="C172" s="225">
        <f>Dat_02!B171</f>
        <v>44789</v>
      </c>
      <c r="D172" s="224"/>
      <c r="E172" s="226">
        <f>Dat_02!C171</f>
        <v>1.9584668109975283</v>
      </c>
      <c r="F172" s="226">
        <f>Dat_02!D171</f>
        <v>16.581237981614105</v>
      </c>
      <c r="G172" s="226">
        <f>Dat_02!E171</f>
        <v>1.9584668109975283</v>
      </c>
      <c r="I172" s="227">
        <f>Dat_02!G171</f>
        <v>0</v>
      </c>
      <c r="J172" s="233" t="str">
        <f>IF(Dat_02!H171=0,"",Dat_02!H171)</f>
        <v/>
      </c>
    </row>
    <row r="173" spans="2:10">
      <c r="B173" s="224"/>
      <c r="C173" s="225">
        <f>Dat_02!B172</f>
        <v>44790</v>
      </c>
      <c r="D173" s="224"/>
      <c r="E173" s="226">
        <f>Dat_02!C172</f>
        <v>2.0455242808154872</v>
      </c>
      <c r="F173" s="226">
        <f>Dat_02!D172</f>
        <v>16.581237981614105</v>
      </c>
      <c r="G173" s="226">
        <f>Dat_02!E172</f>
        <v>2.0455242808154872</v>
      </c>
      <c r="I173" s="227">
        <f>Dat_02!G172</f>
        <v>0</v>
      </c>
      <c r="J173" s="233" t="str">
        <f>IF(Dat_02!H172=0,"",Dat_02!H172)</f>
        <v/>
      </c>
    </row>
    <row r="174" spans="2:10">
      <c r="B174" s="224"/>
      <c r="C174" s="225">
        <f>Dat_02!B173</f>
        <v>44791</v>
      </c>
      <c r="D174" s="224"/>
      <c r="E174" s="226">
        <f>Dat_02!C173</f>
        <v>4.2989096648145573</v>
      </c>
      <c r="F174" s="226">
        <f>Dat_02!D173</f>
        <v>16.581237981614105</v>
      </c>
      <c r="G174" s="226">
        <f>Dat_02!E173</f>
        <v>4.2989096648145573</v>
      </c>
      <c r="I174" s="227">
        <f>Dat_02!G173</f>
        <v>0</v>
      </c>
      <c r="J174" s="233" t="str">
        <f>IF(Dat_02!H173=0,"",Dat_02!H173)</f>
        <v/>
      </c>
    </row>
    <row r="175" spans="2:10">
      <c r="B175" s="224"/>
      <c r="C175" s="225">
        <f>Dat_02!B174</f>
        <v>44792</v>
      </c>
      <c r="D175" s="224"/>
      <c r="E175" s="226">
        <f>Dat_02!C174</f>
        <v>12.690759120815484</v>
      </c>
      <c r="F175" s="226">
        <f>Dat_02!D174</f>
        <v>16.581237981614105</v>
      </c>
      <c r="G175" s="226">
        <f>Dat_02!E174</f>
        <v>12.690759120815484</v>
      </c>
      <c r="I175" s="227">
        <f>Dat_02!G174</f>
        <v>0</v>
      </c>
      <c r="J175" s="233" t="str">
        <f>IF(Dat_02!H174=0,"",Dat_02!H174)</f>
        <v/>
      </c>
    </row>
    <row r="176" spans="2:10">
      <c r="B176" s="224"/>
      <c r="C176" s="225">
        <f>Dat_02!B175</f>
        <v>44793</v>
      </c>
      <c r="D176" s="224"/>
      <c r="E176" s="226">
        <f>Dat_02!C175</f>
        <v>8.6578875528154864</v>
      </c>
      <c r="F176" s="226">
        <f>Dat_02!D175</f>
        <v>16.581237981614105</v>
      </c>
      <c r="G176" s="226">
        <f>Dat_02!E175</f>
        <v>8.6578875528154864</v>
      </c>
      <c r="I176" s="227">
        <f>Dat_02!G175</f>
        <v>0</v>
      </c>
      <c r="J176" s="233" t="str">
        <f>IF(Dat_02!H175=0,"",Dat_02!H175)</f>
        <v/>
      </c>
    </row>
    <row r="177" spans="2:10">
      <c r="B177" s="224"/>
      <c r="C177" s="225">
        <f>Dat_02!B176</f>
        <v>44794</v>
      </c>
      <c r="D177" s="224"/>
      <c r="E177" s="226">
        <f>Dat_02!C176</f>
        <v>0.61437914281455597</v>
      </c>
      <c r="F177" s="226">
        <f>Dat_02!D176</f>
        <v>16.581237981614105</v>
      </c>
      <c r="G177" s="226">
        <f>Dat_02!E176</f>
        <v>0.61437914281455597</v>
      </c>
      <c r="I177" s="227">
        <f>Dat_02!G176</f>
        <v>0</v>
      </c>
      <c r="J177" s="233" t="str">
        <f>IF(Dat_02!H176=0,"",Dat_02!H176)</f>
        <v/>
      </c>
    </row>
    <row r="178" spans="2:10">
      <c r="B178" s="224"/>
      <c r="C178" s="225">
        <f>Dat_02!B177</f>
        <v>44795</v>
      </c>
      <c r="D178" s="224"/>
      <c r="E178" s="226">
        <f>Dat_02!C177</f>
        <v>3.5108373468164173</v>
      </c>
      <c r="F178" s="226">
        <f>Dat_02!D177</f>
        <v>16.581237981614105</v>
      </c>
      <c r="G178" s="226">
        <f>Dat_02!E177</f>
        <v>3.5108373468164173</v>
      </c>
      <c r="I178" s="227">
        <f>Dat_02!G177</f>
        <v>0</v>
      </c>
      <c r="J178" s="233" t="str">
        <f>IF(Dat_02!H177=0,"",Dat_02!H177)</f>
        <v/>
      </c>
    </row>
    <row r="179" spans="2:10">
      <c r="B179" s="224"/>
      <c r="C179" s="225">
        <f>Dat_02!B178</f>
        <v>44796</v>
      </c>
      <c r="D179" s="224"/>
      <c r="E179" s="226">
        <f>Dat_02!C178</f>
        <v>14.344237460814554</v>
      </c>
      <c r="F179" s="226">
        <f>Dat_02!D178</f>
        <v>16.581237981614105</v>
      </c>
      <c r="G179" s="226">
        <f>Dat_02!E178</f>
        <v>14.344237460814554</v>
      </c>
      <c r="I179" s="227">
        <f>Dat_02!G178</f>
        <v>0</v>
      </c>
      <c r="J179" s="233" t="str">
        <f>IF(Dat_02!H178=0,"",Dat_02!H178)</f>
        <v/>
      </c>
    </row>
    <row r="180" spans="2:10">
      <c r="B180" s="224"/>
      <c r="C180" s="225">
        <f>Dat_02!B179</f>
        <v>44797</v>
      </c>
      <c r="D180" s="224"/>
      <c r="E180" s="226">
        <f>Dat_02!C179</f>
        <v>8.5498916085703378</v>
      </c>
      <c r="F180" s="226">
        <f>Dat_02!D179</f>
        <v>16.581237981614105</v>
      </c>
      <c r="G180" s="226">
        <f>Dat_02!E179</f>
        <v>8.5498916085703378</v>
      </c>
      <c r="I180" s="227">
        <f>Dat_02!G179</f>
        <v>0</v>
      </c>
      <c r="J180" s="233" t="str">
        <f>IF(Dat_02!H179=0,"",Dat_02!H179)</f>
        <v/>
      </c>
    </row>
    <row r="181" spans="2:10">
      <c r="B181" s="224"/>
      <c r="C181" s="225">
        <f>Dat_02!B180</f>
        <v>44798</v>
      </c>
      <c r="D181" s="224"/>
      <c r="E181" s="226">
        <f>Dat_02!C180</f>
        <v>1.5303369785712713</v>
      </c>
      <c r="F181" s="226">
        <f>Dat_02!D180</f>
        <v>16.581237981614105</v>
      </c>
      <c r="G181" s="226">
        <f>Dat_02!E180</f>
        <v>1.5303369785712713</v>
      </c>
      <c r="I181" s="227">
        <f>Dat_02!G180</f>
        <v>0</v>
      </c>
      <c r="J181" s="233" t="str">
        <f>IF(Dat_02!H180=0,"",Dat_02!H180)</f>
        <v/>
      </c>
    </row>
    <row r="182" spans="2:10">
      <c r="B182" s="224"/>
      <c r="C182" s="225">
        <f>Dat_02!B181</f>
        <v>44799</v>
      </c>
      <c r="D182" s="224"/>
      <c r="E182" s="226">
        <f>Dat_02!C181</f>
        <v>0.83904528857127303</v>
      </c>
      <c r="F182" s="226">
        <f>Dat_02!D181</f>
        <v>16.581237981614105</v>
      </c>
      <c r="G182" s="226">
        <f>Dat_02!E181</f>
        <v>0.83904528857127303</v>
      </c>
      <c r="I182" s="227">
        <f>Dat_02!G181</f>
        <v>0</v>
      </c>
      <c r="J182" s="233" t="str">
        <f>IF(Dat_02!H181=0,"",Dat_02!H181)</f>
        <v/>
      </c>
    </row>
    <row r="183" spans="2:10">
      <c r="B183" s="224"/>
      <c r="C183" s="225">
        <f>Dat_02!B182</f>
        <v>44800</v>
      </c>
      <c r="D183" s="224"/>
      <c r="E183" s="226">
        <f>Dat_02!C182</f>
        <v>6.8410561985703389</v>
      </c>
      <c r="F183" s="226">
        <f>Dat_02!D182</f>
        <v>16.581237981614105</v>
      </c>
      <c r="G183" s="226">
        <f>Dat_02!E182</f>
        <v>6.8410561985703389</v>
      </c>
      <c r="I183" s="227">
        <f>Dat_02!G182</f>
        <v>0</v>
      </c>
      <c r="J183" s="233" t="str">
        <f>IF(Dat_02!H182=0,"",Dat_02!H182)</f>
        <v/>
      </c>
    </row>
    <row r="184" spans="2:10">
      <c r="B184" s="224"/>
      <c r="C184" s="225">
        <f>Dat_02!B183</f>
        <v>44801</v>
      </c>
      <c r="D184" s="224"/>
      <c r="E184" s="226">
        <f>Dat_02!C183</f>
        <v>1.2625524625712714</v>
      </c>
      <c r="F184" s="226">
        <f>Dat_02!D183</f>
        <v>16.581237981614105</v>
      </c>
      <c r="G184" s="226">
        <f>Dat_02!E183</f>
        <v>1.2625524625712714</v>
      </c>
      <c r="I184" s="227">
        <f>Dat_02!G183</f>
        <v>0</v>
      </c>
      <c r="J184" s="233" t="str">
        <f>IF(Dat_02!H183=0,"",Dat_02!H183)</f>
        <v/>
      </c>
    </row>
    <row r="185" spans="2:10">
      <c r="B185" s="224"/>
      <c r="C185" s="225">
        <f>Dat_02!B184</f>
        <v>44802</v>
      </c>
      <c r="D185" s="224"/>
      <c r="E185" s="226">
        <f>Dat_02!C184</f>
        <v>7.5174735565703381</v>
      </c>
      <c r="F185" s="226">
        <f>Dat_02!D184</f>
        <v>16.581237981614105</v>
      </c>
      <c r="G185" s="226">
        <f>Dat_02!E184</f>
        <v>7.5174735565703381</v>
      </c>
      <c r="I185" s="227">
        <f>Dat_02!G184</f>
        <v>0</v>
      </c>
      <c r="J185" s="233" t="str">
        <f>IF(Dat_02!H184=0,"",Dat_02!H184)</f>
        <v/>
      </c>
    </row>
    <row r="186" spans="2:10">
      <c r="B186" s="224"/>
      <c r="C186" s="225">
        <f>Dat_02!B185</f>
        <v>44803</v>
      </c>
      <c r="D186" s="224"/>
      <c r="E186" s="226">
        <f>Dat_02!C185</f>
        <v>19.776171736570337</v>
      </c>
      <c r="F186" s="226">
        <f>Dat_02!D185</f>
        <v>16.581237981614105</v>
      </c>
      <c r="G186" s="226">
        <f>Dat_02!E185</f>
        <v>16.581237981614105</v>
      </c>
      <c r="I186" s="227">
        <f>Dat_02!G185</f>
        <v>0</v>
      </c>
      <c r="J186" s="233" t="str">
        <f>IF(Dat_02!H185=0,"",Dat_02!H185)</f>
        <v/>
      </c>
    </row>
    <row r="187" spans="2:10">
      <c r="B187" s="224"/>
      <c r="C187" s="225">
        <f>Dat_02!B186</f>
        <v>44804</v>
      </c>
      <c r="D187" s="224"/>
      <c r="E187" s="226">
        <f>Dat_02!C186</f>
        <v>8.722780433249012</v>
      </c>
      <c r="F187" s="226">
        <f>Dat_02!D186</f>
        <v>16.581237981614105</v>
      </c>
      <c r="G187" s="226">
        <f>Dat_02!E186</f>
        <v>8.722780433249012</v>
      </c>
      <c r="I187" s="227">
        <f>Dat_02!G186</f>
        <v>0</v>
      </c>
      <c r="J187" s="233" t="str">
        <f>IF(Dat_02!H186=0,"",Dat_02!H186)</f>
        <v/>
      </c>
    </row>
    <row r="188" spans="2:10">
      <c r="B188" s="224" t="s">
        <v>202</v>
      </c>
      <c r="C188" s="225">
        <f>Dat_02!B187</f>
        <v>44805</v>
      </c>
      <c r="D188" s="224"/>
      <c r="E188" s="226">
        <f>Dat_02!C187</f>
        <v>3.75937736524715</v>
      </c>
      <c r="F188" s="226">
        <f>Dat_02!D187</f>
        <v>21.033168040284398</v>
      </c>
      <c r="G188" s="226">
        <f>Dat_02!E187</f>
        <v>3.75937736524715</v>
      </c>
      <c r="I188" s="227">
        <f>Dat_02!G187</f>
        <v>0</v>
      </c>
      <c r="J188" s="233" t="str">
        <f>IF(Dat_02!H187=0,"",Dat_02!H187)</f>
        <v/>
      </c>
    </row>
    <row r="189" spans="2:10">
      <c r="B189" s="224"/>
      <c r="C189" s="225">
        <f>Dat_02!B188</f>
        <v>44806</v>
      </c>
      <c r="D189" s="224"/>
      <c r="E189" s="226">
        <f>Dat_02!C188</f>
        <v>0.88406260924808155</v>
      </c>
      <c r="F189" s="226">
        <f>Dat_02!D188</f>
        <v>21.033168040284398</v>
      </c>
      <c r="G189" s="226">
        <f>Dat_02!E188</f>
        <v>0.88406260924808155</v>
      </c>
      <c r="I189" s="227">
        <f>Dat_02!G188</f>
        <v>0</v>
      </c>
      <c r="J189" s="233" t="str">
        <f>IF(Dat_02!H188=0,"",Dat_02!H188)</f>
        <v/>
      </c>
    </row>
    <row r="190" spans="2:10">
      <c r="B190" s="224"/>
      <c r="C190" s="225">
        <f>Dat_02!B189</f>
        <v>44807</v>
      </c>
      <c r="D190" s="224"/>
      <c r="E190" s="226">
        <f>Dat_02!C189</f>
        <v>1.0237342512480792</v>
      </c>
      <c r="F190" s="226">
        <f>Dat_02!D189</f>
        <v>21.033168040284398</v>
      </c>
      <c r="G190" s="226">
        <f>Dat_02!E189</f>
        <v>1.0237342512480792</v>
      </c>
      <c r="I190" s="227">
        <f>Dat_02!G189</f>
        <v>0</v>
      </c>
      <c r="J190" s="233" t="str">
        <f>IF(Dat_02!H189=0,"",Dat_02!H189)</f>
        <v/>
      </c>
    </row>
    <row r="191" spans="2:10">
      <c r="B191" s="224"/>
      <c r="C191" s="225">
        <f>Dat_02!B190</f>
        <v>44808</v>
      </c>
      <c r="D191" s="224"/>
      <c r="E191" s="226">
        <f>Dat_02!C190</f>
        <v>0.77966490724714821</v>
      </c>
      <c r="F191" s="226">
        <f>Dat_02!D190</f>
        <v>21.033168040284398</v>
      </c>
      <c r="G191" s="226">
        <f>Dat_02!E190</f>
        <v>0.77966490724714821</v>
      </c>
      <c r="I191" s="227">
        <f>Dat_02!G190</f>
        <v>0</v>
      </c>
      <c r="J191" s="233" t="str">
        <f>IF(Dat_02!H190=0,"",Dat_02!H190)</f>
        <v/>
      </c>
    </row>
    <row r="192" spans="2:10">
      <c r="B192" s="224"/>
      <c r="C192" s="225">
        <f>Dat_02!B191</f>
        <v>44809</v>
      </c>
      <c r="D192" s="224"/>
      <c r="E192" s="226">
        <f>Dat_02!C191</f>
        <v>1.1887372492471477</v>
      </c>
      <c r="F192" s="226">
        <f>Dat_02!D191</f>
        <v>21.033168040284398</v>
      </c>
      <c r="G192" s="226">
        <f>Dat_02!E191</f>
        <v>1.1887372492471477</v>
      </c>
      <c r="I192" s="227">
        <f>Dat_02!G191</f>
        <v>0</v>
      </c>
      <c r="J192" s="233" t="str">
        <f>IF(Dat_02!H191=0,"",Dat_02!H191)</f>
        <v/>
      </c>
    </row>
    <row r="193" spans="2:10">
      <c r="B193" s="224"/>
      <c r="C193" s="225">
        <f>Dat_02!B192</f>
        <v>44810</v>
      </c>
      <c r="D193" s="224"/>
      <c r="E193" s="226">
        <f>Dat_02!C192</f>
        <v>1.0673817012471483</v>
      </c>
      <c r="F193" s="226">
        <f>Dat_02!D192</f>
        <v>21.033168040284398</v>
      </c>
      <c r="G193" s="226">
        <f>Dat_02!E192</f>
        <v>1.0673817012471483</v>
      </c>
      <c r="I193" s="227">
        <f>Dat_02!G192</f>
        <v>0</v>
      </c>
      <c r="J193" s="233" t="str">
        <f>IF(Dat_02!H192=0,"",Dat_02!H192)</f>
        <v/>
      </c>
    </row>
    <row r="194" spans="2:10">
      <c r="B194" s="224"/>
      <c r="C194" s="225">
        <f>Dat_02!B193</f>
        <v>44811</v>
      </c>
      <c r="D194" s="224"/>
      <c r="E194" s="226">
        <f>Dat_02!C193</f>
        <v>2.861113293107628</v>
      </c>
      <c r="F194" s="226">
        <f>Dat_02!D193</f>
        <v>21.033168040284398</v>
      </c>
      <c r="G194" s="226">
        <f>Dat_02!E193</f>
        <v>2.861113293107628</v>
      </c>
      <c r="I194" s="227">
        <f>Dat_02!G193</f>
        <v>0</v>
      </c>
      <c r="J194" s="233" t="str">
        <f>IF(Dat_02!H193=0,"",Dat_02!H193)</f>
        <v/>
      </c>
    </row>
    <row r="195" spans="2:10">
      <c r="B195" s="224"/>
      <c r="C195" s="225">
        <f>Dat_02!B194</f>
        <v>44812</v>
      </c>
      <c r="D195" s="224"/>
      <c r="E195" s="226">
        <f>Dat_02!C194</f>
        <v>14.729327259105769</v>
      </c>
      <c r="F195" s="226">
        <f>Dat_02!D194</f>
        <v>21.033168040284398</v>
      </c>
      <c r="G195" s="226">
        <f>Dat_02!E194</f>
        <v>14.729327259105769</v>
      </c>
      <c r="I195" s="227">
        <f>Dat_02!G194</f>
        <v>0</v>
      </c>
      <c r="J195" s="233" t="str">
        <f>IF(Dat_02!H194=0,"",Dat_02!H194)</f>
        <v/>
      </c>
    </row>
    <row r="196" spans="2:10">
      <c r="B196" s="224"/>
      <c r="C196" s="225">
        <f>Dat_02!B195</f>
        <v>44813</v>
      </c>
      <c r="D196" s="224"/>
      <c r="E196" s="226">
        <f>Dat_02!C195</f>
        <v>35.028359161107623</v>
      </c>
      <c r="F196" s="226">
        <f>Dat_02!D195</f>
        <v>21.033168040284398</v>
      </c>
      <c r="G196" s="226">
        <f>Dat_02!E195</f>
        <v>21.033168040284398</v>
      </c>
      <c r="I196" s="227">
        <f>Dat_02!G195</f>
        <v>0</v>
      </c>
      <c r="J196" s="233" t="str">
        <f>IF(Dat_02!H195=0,"",Dat_02!H195)</f>
        <v/>
      </c>
    </row>
    <row r="197" spans="2:10">
      <c r="B197" s="224"/>
      <c r="C197" s="225">
        <f>Dat_02!B196</f>
        <v>44814</v>
      </c>
      <c r="D197" s="224"/>
      <c r="E197" s="226">
        <f>Dat_02!C196</f>
        <v>13.304091817105764</v>
      </c>
      <c r="F197" s="226">
        <f>Dat_02!D196</f>
        <v>21.033168040284398</v>
      </c>
      <c r="G197" s="226">
        <f>Dat_02!E196</f>
        <v>13.304091817105764</v>
      </c>
      <c r="I197" s="227">
        <f>Dat_02!G196</f>
        <v>0</v>
      </c>
      <c r="J197" s="233" t="str">
        <f>IF(Dat_02!H196=0,"",Dat_02!H196)</f>
        <v/>
      </c>
    </row>
    <row r="198" spans="2:10">
      <c r="B198" s="224"/>
      <c r="C198" s="225">
        <f>Dat_02!B197</f>
        <v>44815</v>
      </c>
      <c r="D198" s="224"/>
      <c r="E198" s="226">
        <f>Dat_02!C197</f>
        <v>3.8972143651076294</v>
      </c>
      <c r="F198" s="226">
        <f>Dat_02!D197</f>
        <v>21.033168040284398</v>
      </c>
      <c r="G198" s="226">
        <f>Dat_02!E197</f>
        <v>3.8972143651076294</v>
      </c>
      <c r="I198" s="227">
        <f>Dat_02!G197</f>
        <v>0</v>
      </c>
      <c r="J198" s="233" t="str">
        <f>IF(Dat_02!H197=0,"",Dat_02!H197)</f>
        <v/>
      </c>
    </row>
    <row r="199" spans="2:10">
      <c r="B199" s="224"/>
      <c r="C199" s="225">
        <f>Dat_02!B198</f>
        <v>44816</v>
      </c>
      <c r="D199" s="224"/>
      <c r="E199" s="226">
        <f>Dat_02!C198</f>
        <v>5.1029455751057649</v>
      </c>
      <c r="F199" s="226">
        <f>Dat_02!D198</f>
        <v>21.033168040284398</v>
      </c>
      <c r="G199" s="226">
        <f>Dat_02!E198</f>
        <v>5.1029455751057649</v>
      </c>
      <c r="I199" s="227">
        <f>Dat_02!G198</f>
        <v>0</v>
      </c>
      <c r="J199" s="233" t="str">
        <f>IF(Dat_02!H198=0,"",Dat_02!H198)</f>
        <v/>
      </c>
    </row>
    <row r="200" spans="2:10">
      <c r="B200" s="224"/>
      <c r="C200" s="225">
        <f>Dat_02!B199</f>
        <v>44817</v>
      </c>
      <c r="D200" s="224"/>
      <c r="E200" s="226">
        <f>Dat_02!C199</f>
        <v>15.392030115107627</v>
      </c>
      <c r="F200" s="226">
        <f>Dat_02!D199</f>
        <v>21.033168040284398</v>
      </c>
      <c r="G200" s="226">
        <f>Dat_02!E199</f>
        <v>15.392030115107627</v>
      </c>
      <c r="I200" s="227">
        <f>Dat_02!G199</f>
        <v>0</v>
      </c>
      <c r="J200" s="233" t="str">
        <f>IF(Dat_02!H199=0,"",Dat_02!H199)</f>
        <v/>
      </c>
    </row>
    <row r="201" spans="2:10">
      <c r="B201" s="224"/>
      <c r="C201" s="225">
        <f>Dat_02!B200</f>
        <v>44818</v>
      </c>
      <c r="D201" s="224"/>
      <c r="E201" s="226">
        <f>Dat_02!C200</f>
        <v>12.323274605496154</v>
      </c>
      <c r="F201" s="226">
        <f>Dat_02!D200</f>
        <v>21.033168040284398</v>
      </c>
      <c r="G201" s="226">
        <f>Dat_02!E200</f>
        <v>12.323274605496154</v>
      </c>
      <c r="I201" s="227">
        <f>Dat_02!G200</f>
        <v>0</v>
      </c>
      <c r="J201" s="233" t="str">
        <f>IF(Dat_02!H200=0,"",Dat_02!H200)</f>
        <v/>
      </c>
    </row>
    <row r="202" spans="2:10">
      <c r="B202" s="224"/>
      <c r="C202" s="225">
        <f>Dat_02!B201</f>
        <v>44819</v>
      </c>
      <c r="D202" s="224"/>
      <c r="E202" s="226">
        <f>Dat_02!C201</f>
        <v>31.926451273495221</v>
      </c>
      <c r="F202" s="226">
        <f>Dat_02!D201</f>
        <v>21.033168040284398</v>
      </c>
      <c r="G202" s="226">
        <f>Dat_02!E201</f>
        <v>21.033168040284398</v>
      </c>
      <c r="I202" s="227">
        <f>Dat_02!G201</f>
        <v>21.033168040284398</v>
      </c>
      <c r="J202" s="233" t="str">
        <f>IF(Dat_02!H201=0,"",Dat_02!H201)</f>
        <v/>
      </c>
    </row>
    <row r="203" spans="2:10">
      <c r="B203" s="224"/>
      <c r="C203" s="225">
        <f>Dat_02!B202</f>
        <v>44820</v>
      </c>
      <c r="D203" s="224"/>
      <c r="E203" s="226">
        <f>Dat_02!C202</f>
        <v>36.880526189495228</v>
      </c>
      <c r="F203" s="226">
        <f>Dat_02!D202</f>
        <v>21.033168040284398</v>
      </c>
      <c r="G203" s="226">
        <f>Dat_02!E202</f>
        <v>21.033168040284398</v>
      </c>
      <c r="I203" s="227">
        <f>Dat_02!G202</f>
        <v>0</v>
      </c>
      <c r="J203" s="233" t="str">
        <f>IF(Dat_02!H202=0,"",Dat_02!H202)</f>
        <v/>
      </c>
    </row>
    <row r="204" spans="2:10">
      <c r="B204" s="224"/>
      <c r="C204" s="225">
        <f>Dat_02!B203</f>
        <v>44821</v>
      </c>
      <c r="D204" s="224"/>
      <c r="E204" s="226">
        <f>Dat_02!C203</f>
        <v>16.045436705495224</v>
      </c>
      <c r="F204" s="226">
        <f>Dat_02!D203</f>
        <v>21.033168040284398</v>
      </c>
      <c r="G204" s="226">
        <f>Dat_02!E203</f>
        <v>16.045436705495224</v>
      </c>
      <c r="I204" s="227">
        <f>Dat_02!G203</f>
        <v>0</v>
      </c>
      <c r="J204" s="233" t="str">
        <f>IF(Dat_02!H203=0,"",Dat_02!H203)</f>
        <v/>
      </c>
    </row>
    <row r="205" spans="2:10">
      <c r="B205" s="224"/>
      <c r="C205" s="225">
        <f>Dat_02!B204</f>
        <v>44822</v>
      </c>
      <c r="D205" s="224"/>
      <c r="E205" s="226">
        <f>Dat_02!C204</f>
        <v>13.812473805496156</v>
      </c>
      <c r="F205" s="226">
        <f>Dat_02!D204</f>
        <v>21.033168040284398</v>
      </c>
      <c r="G205" s="226">
        <f>Dat_02!E204</f>
        <v>13.812473805496156</v>
      </c>
      <c r="I205" s="227">
        <f>Dat_02!G204</f>
        <v>0</v>
      </c>
      <c r="J205" s="233" t="str">
        <f>IF(Dat_02!H204=0,"",Dat_02!H204)</f>
        <v/>
      </c>
    </row>
    <row r="206" spans="2:10">
      <c r="B206" s="224"/>
      <c r="C206" s="225">
        <f>Dat_02!B205</f>
        <v>44823</v>
      </c>
      <c r="D206" s="224"/>
      <c r="E206" s="226">
        <f>Dat_02!C205</f>
        <v>28.333530505496157</v>
      </c>
      <c r="F206" s="226">
        <f>Dat_02!D205</f>
        <v>21.033168040284398</v>
      </c>
      <c r="G206" s="226">
        <f>Dat_02!E205</f>
        <v>21.033168040284398</v>
      </c>
      <c r="I206" s="227">
        <f>Dat_02!G205</f>
        <v>0</v>
      </c>
      <c r="J206" s="233" t="str">
        <f>IF(Dat_02!H205=0,"",Dat_02!H205)</f>
        <v/>
      </c>
    </row>
    <row r="207" spans="2:10">
      <c r="B207" s="224"/>
      <c r="C207" s="225">
        <f>Dat_02!B206</f>
        <v>44824</v>
      </c>
      <c r="D207" s="224"/>
      <c r="E207" s="226">
        <f>Dat_02!C206</f>
        <v>28.85055041349429</v>
      </c>
      <c r="F207" s="226">
        <f>Dat_02!D206</f>
        <v>21.033168040284398</v>
      </c>
      <c r="G207" s="226">
        <f>Dat_02!E206</f>
        <v>21.033168040284398</v>
      </c>
      <c r="I207" s="227">
        <f>Dat_02!G206</f>
        <v>0</v>
      </c>
      <c r="J207" s="233" t="str">
        <f>IF(Dat_02!H206=0,"",Dat_02!H206)</f>
        <v/>
      </c>
    </row>
    <row r="208" spans="2:10">
      <c r="B208" s="224"/>
      <c r="C208" s="225">
        <f>Dat_02!B207</f>
        <v>44825</v>
      </c>
      <c r="D208" s="224"/>
      <c r="E208" s="226">
        <f>Dat_02!C207</f>
        <v>18.883001663328205</v>
      </c>
      <c r="F208" s="226">
        <f>Dat_02!D207</f>
        <v>21.033168040284398</v>
      </c>
      <c r="G208" s="226">
        <f>Dat_02!E207</f>
        <v>18.883001663328205</v>
      </c>
      <c r="I208" s="227">
        <f>Dat_02!G207</f>
        <v>0</v>
      </c>
      <c r="J208" s="233" t="str">
        <f>IF(Dat_02!H207=0,"",Dat_02!H207)</f>
        <v/>
      </c>
    </row>
    <row r="209" spans="2:10">
      <c r="B209" s="224"/>
      <c r="C209" s="225">
        <f>Dat_02!B208</f>
        <v>44826</v>
      </c>
      <c r="D209" s="224"/>
      <c r="E209" s="226">
        <f>Dat_02!C208</f>
        <v>15.002863983329139</v>
      </c>
      <c r="F209" s="226">
        <f>Dat_02!D208</f>
        <v>21.033168040284398</v>
      </c>
      <c r="G209" s="226">
        <f>Dat_02!E208</f>
        <v>15.002863983329139</v>
      </c>
      <c r="I209" s="227">
        <f>Dat_02!G208</f>
        <v>0</v>
      </c>
      <c r="J209" s="233" t="str">
        <f>IF(Dat_02!H208=0,"",Dat_02!H208)</f>
        <v/>
      </c>
    </row>
    <row r="210" spans="2:10">
      <c r="B210" s="224"/>
      <c r="C210" s="225">
        <f>Dat_02!B209</f>
        <v>44827</v>
      </c>
      <c r="D210" s="224"/>
      <c r="E210" s="226">
        <f>Dat_02!C209</f>
        <v>15.342557020327281</v>
      </c>
      <c r="F210" s="226">
        <f>Dat_02!D209</f>
        <v>21.033168040284398</v>
      </c>
      <c r="G210" s="226">
        <f>Dat_02!E209</f>
        <v>15.342557020327281</v>
      </c>
      <c r="I210" s="227">
        <f>Dat_02!G209</f>
        <v>0</v>
      </c>
      <c r="J210" s="233" t="str">
        <f>IF(Dat_02!H209=0,"",Dat_02!H209)</f>
        <v/>
      </c>
    </row>
    <row r="211" spans="2:10">
      <c r="B211" s="224"/>
      <c r="C211" s="225">
        <f>Dat_02!B210</f>
        <v>44828</v>
      </c>
      <c r="D211" s="224"/>
      <c r="E211" s="226">
        <f>Dat_02!C210</f>
        <v>7.3419266263291432</v>
      </c>
      <c r="F211" s="226">
        <f>Dat_02!D210</f>
        <v>21.033168040284398</v>
      </c>
      <c r="G211" s="226">
        <f>Dat_02!E210</f>
        <v>7.3419266263291432</v>
      </c>
      <c r="I211" s="227">
        <f>Dat_02!G210</f>
        <v>0</v>
      </c>
      <c r="J211" s="233" t="str">
        <f>IF(Dat_02!H210=0,"",Dat_02!H210)</f>
        <v/>
      </c>
    </row>
    <row r="212" spans="2:10">
      <c r="B212" s="224"/>
      <c r="C212" s="225">
        <f>Dat_02!B211</f>
        <v>44829</v>
      </c>
      <c r="D212" s="224"/>
      <c r="E212" s="226">
        <f>Dat_02!C211</f>
        <v>1.2835539603282087</v>
      </c>
      <c r="F212" s="226">
        <f>Dat_02!D211</f>
        <v>21.033168040284398</v>
      </c>
      <c r="G212" s="226">
        <f>Dat_02!E211</f>
        <v>1.2835539603282087</v>
      </c>
      <c r="I212" s="227">
        <f>Dat_02!G211</f>
        <v>0</v>
      </c>
      <c r="J212" s="233" t="str">
        <f>IF(Dat_02!H211=0,"",Dat_02!H211)</f>
        <v/>
      </c>
    </row>
    <row r="213" spans="2:10">
      <c r="B213" s="224"/>
      <c r="C213" s="225">
        <f>Dat_02!B212</f>
        <v>44830</v>
      </c>
      <c r="D213" s="224"/>
      <c r="E213" s="226">
        <f>Dat_02!C212</f>
        <v>1.0723605263272766</v>
      </c>
      <c r="F213" s="226">
        <f>Dat_02!D212</f>
        <v>21.033168040284398</v>
      </c>
      <c r="G213" s="226">
        <f>Dat_02!E212</f>
        <v>1.0723605263272766</v>
      </c>
      <c r="I213" s="227">
        <f>Dat_02!G212</f>
        <v>0</v>
      </c>
      <c r="J213" s="233" t="str">
        <f>IF(Dat_02!H212=0,"",Dat_02!H212)</f>
        <v/>
      </c>
    </row>
    <row r="214" spans="2:10">
      <c r="B214" s="224"/>
      <c r="C214" s="225">
        <f>Dat_02!B213</f>
        <v>44831</v>
      </c>
      <c r="D214" s="224"/>
      <c r="E214" s="226">
        <f>Dat_02!C213</f>
        <v>0.7543829633291389</v>
      </c>
      <c r="F214" s="226">
        <f>Dat_02!D213</f>
        <v>21.033168040284398</v>
      </c>
      <c r="G214" s="226">
        <f>Dat_02!E213</f>
        <v>0.7543829633291389</v>
      </c>
      <c r="I214" s="227">
        <f>Dat_02!G213</f>
        <v>0</v>
      </c>
      <c r="J214" s="233" t="str">
        <f>IF(Dat_02!H213=0,"",Dat_02!H213)</f>
        <v/>
      </c>
    </row>
    <row r="215" spans="2:10">
      <c r="B215" s="224"/>
      <c r="C215" s="225">
        <f>Dat_02!B214</f>
        <v>44832</v>
      </c>
      <c r="D215" s="224"/>
      <c r="E215" s="226">
        <f>Dat_02!C214</f>
        <v>0.58730482457556721</v>
      </c>
      <c r="F215" s="226">
        <f>Dat_02!D214</f>
        <v>21.033168040284398</v>
      </c>
      <c r="G215" s="226">
        <f>Dat_02!E214</f>
        <v>0.58730482457556721</v>
      </c>
      <c r="I215" s="227">
        <f>Dat_02!G214</f>
        <v>0</v>
      </c>
      <c r="J215" s="233" t="str">
        <f>IF(Dat_02!H214=0,"",Dat_02!H214)</f>
        <v/>
      </c>
    </row>
    <row r="216" spans="2:10">
      <c r="B216" s="224"/>
      <c r="C216" s="225">
        <f>Dat_02!B215</f>
        <v>44833</v>
      </c>
      <c r="D216" s="224"/>
      <c r="E216" s="226">
        <f>Dat_02!C215</f>
        <v>1.5463534845746363</v>
      </c>
      <c r="F216" s="226">
        <f>Dat_02!D215</f>
        <v>21.033168040284398</v>
      </c>
      <c r="G216" s="226">
        <f>Dat_02!E215</f>
        <v>1.5463534845746363</v>
      </c>
      <c r="I216" s="227">
        <f>Dat_02!G215</f>
        <v>0</v>
      </c>
      <c r="J216" s="233" t="str">
        <f>IF(Dat_02!H215=0,"",Dat_02!H215)</f>
        <v/>
      </c>
    </row>
    <row r="217" spans="2:10">
      <c r="B217" s="224"/>
      <c r="C217" s="225">
        <f>Dat_02!B216</f>
        <v>44834</v>
      </c>
      <c r="D217" s="224"/>
      <c r="E217" s="226">
        <f>Dat_02!C216</f>
        <v>15.887395672575567</v>
      </c>
      <c r="F217" s="226">
        <f>Dat_02!D216</f>
        <v>21.033168040284398</v>
      </c>
      <c r="G217" s="226">
        <f>Dat_02!E216</f>
        <v>15.887395672575567</v>
      </c>
      <c r="I217" s="227">
        <f>Dat_02!G216</f>
        <v>0</v>
      </c>
      <c r="J217" s="233" t="str">
        <f>IF(Dat_02!H216=0,"",Dat_02!H216)</f>
        <v/>
      </c>
    </row>
    <row r="218" spans="2:10">
      <c r="B218" s="224" t="s">
        <v>203</v>
      </c>
      <c r="C218" s="225">
        <f>Dat_02!B217</f>
        <v>44835</v>
      </c>
      <c r="D218" s="224"/>
      <c r="E218" s="226">
        <f>Dat_02!C217</f>
        <v>11.164280907575565</v>
      </c>
      <c r="F218" s="226">
        <f>Dat_02!D217</f>
        <v>41.704179443866899</v>
      </c>
      <c r="G218" s="226">
        <f>Dat_02!E217</f>
        <v>11.164280907575565</v>
      </c>
      <c r="I218" s="227">
        <f>Dat_02!G217</f>
        <v>0</v>
      </c>
      <c r="J218" s="233" t="str">
        <f>IF(Dat_02!H217=0,"",Dat_02!H217)</f>
        <v/>
      </c>
    </row>
    <row r="219" spans="2:10">
      <c r="B219" s="224"/>
      <c r="C219" s="225">
        <f>Dat_02!B218</f>
        <v>44836</v>
      </c>
      <c r="D219" s="224"/>
      <c r="E219" s="226">
        <f>Dat_02!C218</f>
        <v>7.9122592325755665</v>
      </c>
      <c r="F219" s="226">
        <f>Dat_02!D218</f>
        <v>41.704179443866899</v>
      </c>
      <c r="G219" s="226">
        <f>Dat_02!E218</f>
        <v>7.9122592325755665</v>
      </c>
      <c r="I219" s="227">
        <f>Dat_02!G218</f>
        <v>0</v>
      </c>
      <c r="J219" s="233" t="str">
        <f>IF(Dat_02!H218=0,"",Dat_02!H218)</f>
        <v/>
      </c>
    </row>
    <row r="220" spans="2:10">
      <c r="B220" s="224"/>
      <c r="C220" s="225">
        <f>Dat_02!B219</f>
        <v>44837</v>
      </c>
      <c r="D220" s="224"/>
      <c r="E220" s="226">
        <f>Dat_02!C219</f>
        <v>20.836308586575566</v>
      </c>
      <c r="F220" s="226">
        <f>Dat_02!D219</f>
        <v>41.704179443866899</v>
      </c>
      <c r="G220" s="226">
        <f>Dat_02!E219</f>
        <v>20.836308586575566</v>
      </c>
      <c r="I220" s="227">
        <f>Dat_02!G219</f>
        <v>0</v>
      </c>
      <c r="J220" s="233" t="str">
        <f>IF(Dat_02!H219=0,"",Dat_02!H219)</f>
        <v/>
      </c>
    </row>
    <row r="221" spans="2:10">
      <c r="B221" s="224"/>
      <c r="C221" s="225">
        <f>Dat_02!B220</f>
        <v>44838</v>
      </c>
      <c r="D221" s="224"/>
      <c r="E221" s="226">
        <f>Dat_02!C220</f>
        <v>16.374421057575567</v>
      </c>
      <c r="F221" s="226">
        <f>Dat_02!D220</f>
        <v>41.704179443866899</v>
      </c>
      <c r="G221" s="226">
        <f>Dat_02!E220</f>
        <v>16.374421057575567</v>
      </c>
      <c r="I221" s="227">
        <f>Dat_02!G220</f>
        <v>0</v>
      </c>
      <c r="J221" s="233" t="str">
        <f>IF(Dat_02!H220=0,"",Dat_02!H220)</f>
        <v/>
      </c>
    </row>
    <row r="222" spans="2:10">
      <c r="B222" s="224"/>
      <c r="C222" s="225">
        <f>Dat_02!B221</f>
        <v>44839</v>
      </c>
      <c r="D222" s="224"/>
      <c r="E222" s="226">
        <f>Dat_02!C221</f>
        <v>8.6200838880381276</v>
      </c>
      <c r="F222" s="226">
        <f>Dat_02!D221</f>
        <v>41.704179443866899</v>
      </c>
      <c r="G222" s="226">
        <f>Dat_02!E221</f>
        <v>8.6200838880381276</v>
      </c>
      <c r="I222" s="227">
        <f>Dat_02!G221</f>
        <v>0</v>
      </c>
      <c r="J222" s="233" t="str">
        <f>IF(Dat_02!H221=0,"",Dat_02!H221)</f>
        <v/>
      </c>
    </row>
    <row r="223" spans="2:10">
      <c r="B223" s="224"/>
      <c r="C223" s="225">
        <f>Dat_02!B222</f>
        <v>44840</v>
      </c>
      <c r="D223" s="224"/>
      <c r="E223" s="226">
        <f>Dat_02!C222</f>
        <v>9.3206282890390568</v>
      </c>
      <c r="F223" s="226">
        <f>Dat_02!D222</f>
        <v>41.704179443866899</v>
      </c>
      <c r="G223" s="226">
        <f>Dat_02!E222</f>
        <v>9.3206282890390568</v>
      </c>
      <c r="I223" s="227">
        <f>Dat_02!G222</f>
        <v>0</v>
      </c>
      <c r="J223" s="233" t="str">
        <f>IF(Dat_02!H222=0,"",Dat_02!H222)</f>
        <v/>
      </c>
    </row>
    <row r="224" spans="2:10">
      <c r="B224" s="224"/>
      <c r="C224" s="225">
        <f>Dat_02!B223</f>
        <v>44841</v>
      </c>
      <c r="D224" s="224"/>
      <c r="E224" s="226">
        <f>Dat_02!C223</f>
        <v>13.718987029038125</v>
      </c>
      <c r="F224" s="226">
        <f>Dat_02!D223</f>
        <v>41.704179443866899</v>
      </c>
      <c r="G224" s="226">
        <f>Dat_02!E223</f>
        <v>13.718987029038125</v>
      </c>
      <c r="I224" s="227">
        <f>Dat_02!G223</f>
        <v>0</v>
      </c>
      <c r="J224" s="233" t="str">
        <f>IF(Dat_02!H223=0,"",Dat_02!H223)</f>
        <v/>
      </c>
    </row>
    <row r="225" spans="2:10">
      <c r="B225" s="224"/>
      <c r="C225" s="225">
        <f>Dat_02!B224</f>
        <v>44842</v>
      </c>
      <c r="D225" s="224"/>
      <c r="E225" s="226">
        <f>Dat_02!C224</f>
        <v>5.6873968090381259</v>
      </c>
      <c r="F225" s="226">
        <f>Dat_02!D224</f>
        <v>41.704179443866899</v>
      </c>
      <c r="G225" s="226">
        <f>Dat_02!E224</f>
        <v>5.6873968090381259</v>
      </c>
      <c r="I225" s="227">
        <f>Dat_02!G224</f>
        <v>0</v>
      </c>
      <c r="J225" s="233" t="str">
        <f>IF(Dat_02!H224=0,"",Dat_02!H224)</f>
        <v/>
      </c>
    </row>
    <row r="226" spans="2:10">
      <c r="B226" s="224"/>
      <c r="C226" s="225">
        <f>Dat_02!B225</f>
        <v>44843</v>
      </c>
      <c r="D226" s="224"/>
      <c r="E226" s="226">
        <f>Dat_02!C225</f>
        <v>4.7046773290381259</v>
      </c>
      <c r="F226" s="226">
        <f>Dat_02!D225</f>
        <v>41.704179443866899</v>
      </c>
      <c r="G226" s="226">
        <f>Dat_02!E225</f>
        <v>4.7046773290381259</v>
      </c>
      <c r="I226" s="227">
        <f>Dat_02!G225</f>
        <v>0</v>
      </c>
      <c r="J226" s="233" t="str">
        <f>IF(Dat_02!H225=0,"",Dat_02!H225)</f>
        <v/>
      </c>
    </row>
    <row r="227" spans="2:10">
      <c r="B227" s="224"/>
      <c r="C227" s="225">
        <f>Dat_02!B226</f>
        <v>44844</v>
      </c>
      <c r="D227" s="224"/>
      <c r="E227" s="226">
        <f>Dat_02!C226</f>
        <v>14.868684329039057</v>
      </c>
      <c r="F227" s="226">
        <f>Dat_02!D226</f>
        <v>41.704179443866899</v>
      </c>
      <c r="G227" s="226">
        <f>Dat_02!E226</f>
        <v>14.868684329039057</v>
      </c>
      <c r="I227" s="227">
        <f>Dat_02!G226</f>
        <v>0</v>
      </c>
      <c r="J227" s="233" t="str">
        <f>IF(Dat_02!H226=0,"",Dat_02!H226)</f>
        <v/>
      </c>
    </row>
    <row r="228" spans="2:10">
      <c r="B228" s="224"/>
      <c r="C228" s="225">
        <f>Dat_02!B227</f>
        <v>44845</v>
      </c>
      <c r="D228" s="224"/>
      <c r="E228" s="226">
        <f>Dat_02!C227</f>
        <v>11.643986429039058</v>
      </c>
      <c r="F228" s="226">
        <f>Dat_02!D227</f>
        <v>41.704179443866899</v>
      </c>
      <c r="G228" s="226">
        <f>Dat_02!E227</f>
        <v>11.643986429039058</v>
      </c>
      <c r="I228" s="227">
        <f>Dat_02!G227</f>
        <v>0</v>
      </c>
      <c r="J228" s="233" t="str">
        <f>IF(Dat_02!H227=0,"",Dat_02!H227)</f>
        <v/>
      </c>
    </row>
    <row r="229" spans="2:10">
      <c r="B229" s="224"/>
      <c r="C229" s="225">
        <f>Dat_02!B228</f>
        <v>44846</v>
      </c>
      <c r="D229" s="224"/>
      <c r="E229" s="226">
        <f>Dat_02!C228</f>
        <v>8.0045478843297495</v>
      </c>
      <c r="F229" s="226">
        <f>Dat_02!D228</f>
        <v>41.704179443866899</v>
      </c>
      <c r="G229" s="226">
        <f>Dat_02!E228</f>
        <v>8.0045478843297495</v>
      </c>
      <c r="I229" s="227">
        <f>Dat_02!G228</f>
        <v>0</v>
      </c>
      <c r="J229" s="233" t="str">
        <f>IF(Dat_02!H228=0,"",Dat_02!H228)</f>
        <v/>
      </c>
    </row>
    <row r="230" spans="2:10">
      <c r="B230" s="224"/>
      <c r="C230" s="225">
        <f>Dat_02!B229</f>
        <v>44847</v>
      </c>
      <c r="D230" s="224"/>
      <c r="E230" s="226">
        <f>Dat_02!C229</f>
        <v>13.789712744328819</v>
      </c>
      <c r="F230" s="226">
        <f>Dat_02!D229</f>
        <v>41.704179443866899</v>
      </c>
      <c r="G230" s="226">
        <f>Dat_02!E229</f>
        <v>13.789712744328819</v>
      </c>
      <c r="I230" s="227">
        <f>Dat_02!G229</f>
        <v>0</v>
      </c>
      <c r="J230" s="233" t="str">
        <f>IF(Dat_02!H229=0,"",Dat_02!H229)</f>
        <v/>
      </c>
    </row>
    <row r="231" spans="2:10">
      <c r="B231" s="224"/>
      <c r="C231" s="225">
        <f>Dat_02!B230</f>
        <v>44848</v>
      </c>
      <c r="D231" s="224"/>
      <c r="E231" s="226">
        <f>Dat_02!C230</f>
        <v>13.052763888329748</v>
      </c>
      <c r="F231" s="226">
        <f>Dat_02!D230</f>
        <v>41.704179443866899</v>
      </c>
      <c r="G231" s="226">
        <f>Dat_02!E230</f>
        <v>13.052763888329748</v>
      </c>
      <c r="I231" s="227">
        <f>Dat_02!G230</f>
        <v>0</v>
      </c>
      <c r="J231" s="233" t="str">
        <f>IF(Dat_02!H230=0,"",Dat_02!H230)</f>
        <v/>
      </c>
    </row>
    <row r="232" spans="2:10">
      <c r="B232" s="224"/>
      <c r="C232" s="225">
        <f>Dat_02!B231</f>
        <v>44849</v>
      </c>
      <c r="D232" s="224"/>
      <c r="E232" s="226">
        <f>Dat_02!C231</f>
        <v>8.0933909843288188</v>
      </c>
      <c r="F232" s="226">
        <f>Dat_02!D231</f>
        <v>41.704179443866899</v>
      </c>
      <c r="G232" s="226">
        <f>Dat_02!E231</f>
        <v>8.0933909843288188</v>
      </c>
      <c r="I232" s="227">
        <f>Dat_02!G231</f>
        <v>41.704179443866899</v>
      </c>
      <c r="J232" s="233" t="str">
        <f>IF(Dat_02!H231=0,"",Dat_02!H231)</f>
        <v/>
      </c>
    </row>
    <row r="233" spans="2:10">
      <c r="B233" s="224"/>
      <c r="C233" s="225">
        <f>Dat_02!B232</f>
        <v>44850</v>
      </c>
      <c r="D233" s="224"/>
      <c r="E233" s="226">
        <f>Dat_02!C232</f>
        <v>9.3252266443297493</v>
      </c>
      <c r="F233" s="226">
        <f>Dat_02!D232</f>
        <v>41.704179443866899</v>
      </c>
      <c r="G233" s="226">
        <f>Dat_02!E232</f>
        <v>9.3252266443297493</v>
      </c>
      <c r="I233" s="227">
        <f>Dat_02!G232</f>
        <v>0</v>
      </c>
      <c r="J233" s="233" t="str">
        <f>IF(Dat_02!H232=0,"",Dat_02!H232)</f>
        <v/>
      </c>
    </row>
    <row r="234" spans="2:10">
      <c r="B234" s="224"/>
      <c r="C234" s="225">
        <f>Dat_02!B233</f>
        <v>44851</v>
      </c>
      <c r="D234" s="224"/>
      <c r="E234" s="226">
        <f>Dat_02!C233</f>
        <v>13.83965312432975</v>
      </c>
      <c r="F234" s="226">
        <f>Dat_02!D233</f>
        <v>41.704179443866899</v>
      </c>
      <c r="G234" s="226">
        <f>Dat_02!E233</f>
        <v>13.83965312432975</v>
      </c>
      <c r="I234" s="227">
        <f>Dat_02!G233</f>
        <v>0</v>
      </c>
      <c r="J234" s="233" t="str">
        <f>IF(Dat_02!H233=0,"",Dat_02!H233)</f>
        <v/>
      </c>
    </row>
    <row r="235" spans="2:10">
      <c r="B235" s="224"/>
      <c r="C235" s="225">
        <f>Dat_02!B234</f>
        <v>44852</v>
      </c>
      <c r="D235" s="224"/>
      <c r="E235" s="226">
        <f>Dat_02!C234</f>
        <v>13.928123504328818</v>
      </c>
      <c r="F235" s="226">
        <f>Dat_02!D234</f>
        <v>41.704179443866899</v>
      </c>
      <c r="G235" s="226">
        <f>Dat_02!E234</f>
        <v>13.928123504328818</v>
      </c>
      <c r="I235" s="227">
        <f>Dat_02!G234</f>
        <v>0</v>
      </c>
      <c r="J235" s="233" t="str">
        <f>IF(Dat_02!H234=0,"",Dat_02!H234)</f>
        <v/>
      </c>
    </row>
    <row r="236" spans="2:10">
      <c r="B236" s="224"/>
      <c r="C236" s="225">
        <f>Dat_02!B235</f>
        <v>44853</v>
      </c>
      <c r="D236" s="224"/>
      <c r="E236" s="226">
        <f>Dat_02!C235</f>
        <v>35.992593623746593</v>
      </c>
      <c r="F236" s="226">
        <f>Dat_02!D235</f>
        <v>41.704179443866899</v>
      </c>
      <c r="G236" s="226">
        <f>Dat_02!E235</f>
        <v>35.992593623746593</v>
      </c>
      <c r="I236" s="227">
        <f>Dat_02!G235</f>
        <v>0</v>
      </c>
      <c r="J236" s="233" t="str">
        <f>IF(Dat_02!H235=0,"",Dat_02!H235)</f>
        <v/>
      </c>
    </row>
    <row r="237" spans="2:10">
      <c r="B237" s="224"/>
      <c r="C237" s="225">
        <f>Dat_02!B236</f>
        <v>44854</v>
      </c>
      <c r="D237" s="224"/>
      <c r="E237" s="226">
        <f>Dat_02!C236</f>
        <v>41.817164023747523</v>
      </c>
      <c r="F237" s="226">
        <f>Dat_02!D236</f>
        <v>41.704179443866899</v>
      </c>
      <c r="G237" s="226">
        <f>Dat_02!E236</f>
        <v>41.704179443866899</v>
      </c>
      <c r="I237" s="227">
        <f>Dat_02!G236</f>
        <v>0</v>
      </c>
      <c r="J237" s="233" t="str">
        <f>IF(Dat_02!H236=0,"",Dat_02!H236)</f>
        <v/>
      </c>
    </row>
    <row r="238" spans="2:10">
      <c r="B238" s="224"/>
      <c r="C238" s="225">
        <f>Dat_02!B237</f>
        <v>44855</v>
      </c>
      <c r="D238" s="224"/>
      <c r="E238" s="226">
        <f>Dat_02!C237</f>
        <v>48.173908019746591</v>
      </c>
      <c r="F238" s="226">
        <f>Dat_02!D237</f>
        <v>41.704179443866899</v>
      </c>
      <c r="G238" s="226">
        <f>Dat_02!E237</f>
        <v>41.704179443866899</v>
      </c>
      <c r="I238" s="227">
        <f>Dat_02!G237</f>
        <v>0</v>
      </c>
      <c r="J238" s="233" t="str">
        <f>IF(Dat_02!H237=0,"",Dat_02!H237)</f>
        <v/>
      </c>
    </row>
    <row r="239" spans="2:10">
      <c r="B239" s="224"/>
      <c r="C239" s="225">
        <f>Dat_02!B238</f>
        <v>44856</v>
      </c>
      <c r="D239" s="224"/>
      <c r="E239" s="226">
        <f>Dat_02!C238</f>
        <v>42.896840683746589</v>
      </c>
      <c r="F239" s="226">
        <f>Dat_02!D238</f>
        <v>41.704179443866899</v>
      </c>
      <c r="G239" s="226">
        <f>Dat_02!E238</f>
        <v>41.704179443866899</v>
      </c>
      <c r="I239" s="227">
        <f>Dat_02!G238</f>
        <v>0</v>
      </c>
      <c r="J239" s="233" t="str">
        <f>IF(Dat_02!H238=0,"",Dat_02!H238)</f>
        <v/>
      </c>
    </row>
    <row r="240" spans="2:10">
      <c r="B240" s="224"/>
      <c r="C240" s="225">
        <f>Dat_02!B239</f>
        <v>44857</v>
      </c>
      <c r="D240" s="224"/>
      <c r="E240" s="226">
        <f>Dat_02!C239</f>
        <v>43.311794262746588</v>
      </c>
      <c r="F240" s="226">
        <f>Dat_02!D239</f>
        <v>41.704179443866899</v>
      </c>
      <c r="G240" s="226">
        <f>Dat_02!E239</f>
        <v>41.704179443866899</v>
      </c>
      <c r="I240" s="227">
        <f>Dat_02!G239</f>
        <v>0</v>
      </c>
      <c r="J240" s="233" t="str">
        <f>IF(Dat_02!H239=0,"",Dat_02!H239)</f>
        <v/>
      </c>
    </row>
    <row r="241" spans="2:10">
      <c r="B241" s="224"/>
      <c r="C241" s="225">
        <f>Dat_02!B240</f>
        <v>44858</v>
      </c>
      <c r="D241" s="224"/>
      <c r="E241" s="226">
        <f>Dat_02!C240</f>
        <v>55.407811499746586</v>
      </c>
      <c r="F241" s="226">
        <f>Dat_02!D240</f>
        <v>41.704179443866899</v>
      </c>
      <c r="G241" s="226">
        <f>Dat_02!E240</f>
        <v>41.704179443866899</v>
      </c>
      <c r="I241" s="227">
        <f>Dat_02!G240</f>
        <v>0</v>
      </c>
      <c r="J241" s="233" t="str">
        <f>IF(Dat_02!H240=0,"",Dat_02!H240)</f>
        <v/>
      </c>
    </row>
    <row r="242" spans="2:10">
      <c r="B242" s="224"/>
      <c r="C242" s="225">
        <f>Dat_02!B241</f>
        <v>44859</v>
      </c>
      <c r="D242" s="224"/>
      <c r="E242" s="226">
        <f>Dat_02!C241</f>
        <v>44.68847854174566</v>
      </c>
      <c r="F242" s="226">
        <f>Dat_02!D241</f>
        <v>41.704179443866899</v>
      </c>
      <c r="G242" s="226">
        <f>Dat_02!E241</f>
        <v>41.704179443866899</v>
      </c>
      <c r="I242" s="227">
        <f>Dat_02!G241</f>
        <v>0</v>
      </c>
      <c r="J242" s="233" t="str">
        <f>IF(Dat_02!H241=0,"",Dat_02!H241)</f>
        <v/>
      </c>
    </row>
    <row r="243" spans="2:10">
      <c r="B243" s="224"/>
      <c r="C243" s="225">
        <f>Dat_02!B242</f>
        <v>44860</v>
      </c>
      <c r="D243" s="224"/>
      <c r="E243" s="226">
        <f>Dat_02!C242</f>
        <v>65.112371026325349</v>
      </c>
      <c r="F243" s="226">
        <f>Dat_02!D242</f>
        <v>41.704179443866899</v>
      </c>
      <c r="G243" s="226">
        <f>Dat_02!E242</f>
        <v>41.704179443866899</v>
      </c>
      <c r="I243" s="227">
        <f>Dat_02!G242</f>
        <v>0</v>
      </c>
      <c r="J243" s="233" t="str">
        <f>IF(Dat_02!H242=0,"",Dat_02!H242)</f>
        <v/>
      </c>
    </row>
    <row r="244" spans="2:10">
      <c r="B244" s="224"/>
      <c r="C244" s="225">
        <f>Dat_02!B243</f>
        <v>44861</v>
      </c>
      <c r="D244" s="224"/>
      <c r="E244" s="226">
        <f>Dat_02!C243</f>
        <v>50.107547146325345</v>
      </c>
      <c r="F244" s="226">
        <f>Dat_02!D243</f>
        <v>41.704179443866899</v>
      </c>
      <c r="G244" s="226">
        <f>Dat_02!E243</f>
        <v>41.704179443866899</v>
      </c>
      <c r="I244" s="227">
        <f>Dat_02!G243</f>
        <v>0</v>
      </c>
      <c r="J244" s="233" t="str">
        <f>IF(Dat_02!H243=0,"",Dat_02!H243)</f>
        <v/>
      </c>
    </row>
    <row r="245" spans="2:10">
      <c r="B245" s="224"/>
      <c r="C245" s="225">
        <f>Dat_02!B244</f>
        <v>44862</v>
      </c>
      <c r="D245" s="224"/>
      <c r="E245" s="226">
        <f>Dat_02!C244</f>
        <v>52.928805754324408</v>
      </c>
      <c r="F245" s="226">
        <f>Dat_02!D244</f>
        <v>41.704179443866899</v>
      </c>
      <c r="G245" s="226">
        <f>Dat_02!E244</f>
        <v>41.704179443866899</v>
      </c>
      <c r="I245" s="227">
        <f>Dat_02!G244</f>
        <v>0</v>
      </c>
      <c r="J245" s="233" t="str">
        <f>IF(Dat_02!H244=0,"",Dat_02!H244)</f>
        <v/>
      </c>
    </row>
    <row r="246" spans="2:10">
      <c r="B246" s="224"/>
      <c r="C246" s="225">
        <f>Dat_02!B245</f>
        <v>44863</v>
      </c>
      <c r="D246" s="224"/>
      <c r="E246" s="226">
        <f>Dat_02!C245</f>
        <v>54.124593021325346</v>
      </c>
      <c r="F246" s="226">
        <f>Dat_02!D245</f>
        <v>41.704179443866899</v>
      </c>
      <c r="G246" s="226">
        <f>Dat_02!E245</f>
        <v>41.704179443866899</v>
      </c>
      <c r="I246" s="227">
        <f>Dat_02!G245</f>
        <v>0</v>
      </c>
      <c r="J246" s="233" t="str">
        <f>IF(Dat_02!H245=0,"",Dat_02!H245)</f>
        <v/>
      </c>
    </row>
    <row r="247" spans="2:10">
      <c r="B247" s="224"/>
      <c r="C247" s="225">
        <f>Dat_02!B246</f>
        <v>44864</v>
      </c>
      <c r="D247" s="224"/>
      <c r="E247" s="226">
        <f>Dat_02!C246</f>
        <v>56.34280086632441</v>
      </c>
      <c r="F247" s="226">
        <f>Dat_02!D246</f>
        <v>41.704179443866899</v>
      </c>
      <c r="G247" s="226">
        <f>Dat_02!E246</f>
        <v>41.704179443866899</v>
      </c>
      <c r="I247" s="227">
        <f>Dat_02!G246</f>
        <v>0</v>
      </c>
      <c r="J247" s="233" t="str">
        <f>IF(Dat_02!H246=0,"",Dat_02!H246)</f>
        <v/>
      </c>
    </row>
    <row r="248" spans="2:10">
      <c r="B248" s="224"/>
      <c r="C248" s="225">
        <f>Dat_02!B247</f>
        <v>44865</v>
      </c>
      <c r="D248" s="224"/>
      <c r="E248" s="226">
        <f>Dat_02!C247</f>
        <v>56.065740652324415</v>
      </c>
      <c r="F248" s="226">
        <f>Dat_02!D247</f>
        <v>41.704179443866899</v>
      </c>
      <c r="G248" s="226">
        <f>Dat_02!E247</f>
        <v>41.704179443866899</v>
      </c>
      <c r="I248" s="227">
        <f>Dat_02!G247</f>
        <v>0</v>
      </c>
      <c r="J248" s="233" t="str">
        <f>IF(Dat_02!H247=0,"",Dat_02!H247)</f>
        <v/>
      </c>
    </row>
    <row r="249" spans="2:10">
      <c r="B249" s="224" t="s">
        <v>196</v>
      </c>
      <c r="C249" s="225">
        <f>Dat_02!B248</f>
        <v>44866</v>
      </c>
      <c r="D249" s="224"/>
      <c r="E249" s="226">
        <f>Dat_02!C248</f>
        <v>55.076187238325346</v>
      </c>
      <c r="F249" s="226">
        <f>Dat_02!D248</f>
        <v>83.437278222405467</v>
      </c>
      <c r="G249" s="226">
        <f>Dat_02!E248</f>
        <v>55.076187238325346</v>
      </c>
      <c r="I249" s="227">
        <f>Dat_02!G248</f>
        <v>0</v>
      </c>
      <c r="J249" s="233" t="str">
        <f>IF(Dat_02!H248=0,"",Dat_02!H248)</f>
        <v/>
      </c>
    </row>
    <row r="250" spans="2:10">
      <c r="B250" s="224"/>
      <c r="C250" s="225">
        <f>Dat_02!B249</f>
        <v>44867</v>
      </c>
      <c r="D250" s="224"/>
      <c r="E250" s="226">
        <f>Dat_02!C249</f>
        <v>48.425857542046465</v>
      </c>
      <c r="F250" s="226">
        <f>Dat_02!D249</f>
        <v>83.437278222405467</v>
      </c>
      <c r="G250" s="226">
        <f>Dat_02!E249</f>
        <v>48.425857542046465</v>
      </c>
      <c r="I250" s="227">
        <f>Dat_02!G249</f>
        <v>0</v>
      </c>
      <c r="J250" s="233" t="str">
        <f>IF(Dat_02!H249=0,"",Dat_02!H249)</f>
        <v/>
      </c>
    </row>
    <row r="251" spans="2:10">
      <c r="B251" s="224"/>
      <c r="C251" s="225">
        <f>Dat_02!B250</f>
        <v>44868</v>
      </c>
      <c r="D251" s="224"/>
      <c r="E251" s="226">
        <f>Dat_02!C250</f>
        <v>49.6583143780474</v>
      </c>
      <c r="F251" s="226">
        <f>Dat_02!D250</f>
        <v>83.437278222405467</v>
      </c>
      <c r="G251" s="226">
        <f>Dat_02!E250</f>
        <v>49.6583143780474</v>
      </c>
      <c r="I251" s="227">
        <f>Dat_02!G250</f>
        <v>0</v>
      </c>
      <c r="J251" s="233" t="str">
        <f>IF(Dat_02!H250=0,"",Dat_02!H250)</f>
        <v/>
      </c>
    </row>
    <row r="252" spans="2:10">
      <c r="B252" s="224"/>
      <c r="C252" s="225">
        <f>Dat_02!B251</f>
        <v>44869</v>
      </c>
      <c r="D252" s="224"/>
      <c r="E252" s="226">
        <f>Dat_02!C251</f>
        <v>46.57988732604646</v>
      </c>
      <c r="F252" s="226">
        <f>Dat_02!D251</f>
        <v>83.437278222405467</v>
      </c>
      <c r="G252" s="226">
        <f>Dat_02!E251</f>
        <v>46.57988732604646</v>
      </c>
      <c r="I252" s="227">
        <f>Dat_02!G251</f>
        <v>0</v>
      </c>
      <c r="J252" s="233" t="str">
        <f>IF(Dat_02!H251=0,"",Dat_02!H251)</f>
        <v/>
      </c>
    </row>
    <row r="253" spans="2:10">
      <c r="B253" s="224"/>
      <c r="C253" s="225">
        <f>Dat_02!B252</f>
        <v>44870</v>
      </c>
      <c r="D253" s="224"/>
      <c r="E253" s="226">
        <f>Dat_02!C252</f>
        <v>40.598709918047398</v>
      </c>
      <c r="F253" s="226">
        <f>Dat_02!D252</f>
        <v>83.437278222405467</v>
      </c>
      <c r="G253" s="226">
        <f>Dat_02!E252</f>
        <v>40.598709918047398</v>
      </c>
      <c r="I253" s="227">
        <f>Dat_02!G252</f>
        <v>0</v>
      </c>
      <c r="J253" s="233" t="str">
        <f>IF(Dat_02!H252=0,"",Dat_02!H252)</f>
        <v/>
      </c>
    </row>
    <row r="254" spans="2:10">
      <c r="B254" s="224"/>
      <c r="C254" s="225">
        <f>Dat_02!B253</f>
        <v>44871</v>
      </c>
      <c r="D254" s="224"/>
      <c r="E254" s="226">
        <f>Dat_02!C253</f>
        <v>40.303915262046466</v>
      </c>
      <c r="F254" s="226">
        <f>Dat_02!D253</f>
        <v>83.437278222405467</v>
      </c>
      <c r="G254" s="226">
        <f>Dat_02!E253</f>
        <v>40.303915262046466</v>
      </c>
      <c r="I254" s="227">
        <f>Dat_02!G253</f>
        <v>0</v>
      </c>
      <c r="J254" s="233" t="str">
        <f>IF(Dat_02!H253=0,"",Dat_02!H253)</f>
        <v/>
      </c>
    </row>
    <row r="255" spans="2:10">
      <c r="B255" s="224"/>
      <c r="C255" s="225">
        <f>Dat_02!B254</f>
        <v>44872</v>
      </c>
      <c r="D255" s="224"/>
      <c r="E255" s="226">
        <f>Dat_02!C254</f>
        <v>48.816425262047403</v>
      </c>
      <c r="F255" s="226">
        <f>Dat_02!D254</f>
        <v>83.437278222405467</v>
      </c>
      <c r="G255" s="226">
        <f>Dat_02!E254</f>
        <v>48.816425262047403</v>
      </c>
      <c r="I255" s="227">
        <f>Dat_02!G254</f>
        <v>0</v>
      </c>
      <c r="J255" s="233" t="str">
        <f>IF(Dat_02!H254=0,"",Dat_02!H254)</f>
        <v/>
      </c>
    </row>
    <row r="256" spans="2:10">
      <c r="B256" s="224"/>
      <c r="C256" s="225">
        <f>Dat_02!B255</f>
        <v>44873</v>
      </c>
      <c r="D256" s="224"/>
      <c r="E256" s="226">
        <f>Dat_02!C255</f>
        <v>44.846004198047396</v>
      </c>
      <c r="F256" s="226">
        <f>Dat_02!D255</f>
        <v>83.437278222405467</v>
      </c>
      <c r="G256" s="226">
        <f>Dat_02!E255</f>
        <v>44.846004198047396</v>
      </c>
      <c r="I256" s="227">
        <f>Dat_02!G255</f>
        <v>0</v>
      </c>
      <c r="J256" s="233" t="str">
        <f>IF(Dat_02!H255=0,"",Dat_02!H255)</f>
        <v/>
      </c>
    </row>
    <row r="257" spans="2:10">
      <c r="B257" s="224"/>
      <c r="C257" s="225">
        <f>Dat_02!B256</f>
        <v>44874</v>
      </c>
      <c r="D257" s="224"/>
      <c r="E257" s="226">
        <f>Dat_02!C256</f>
        <v>40.210301950567583</v>
      </c>
      <c r="F257" s="226">
        <f>Dat_02!D256</f>
        <v>83.437278222405467</v>
      </c>
      <c r="G257" s="226">
        <f>Dat_02!E256</f>
        <v>40.210301950567583</v>
      </c>
      <c r="I257" s="227">
        <f>Dat_02!G256</f>
        <v>0</v>
      </c>
      <c r="J257" s="233" t="str">
        <f>IF(Dat_02!H256=0,"",Dat_02!H256)</f>
        <v/>
      </c>
    </row>
    <row r="258" spans="2:10">
      <c r="B258" s="224"/>
      <c r="C258" s="225">
        <f>Dat_02!B257</f>
        <v>44875</v>
      </c>
      <c r="D258" s="224"/>
      <c r="E258" s="226">
        <f>Dat_02!C257</f>
        <v>42.183786190569442</v>
      </c>
      <c r="F258" s="226">
        <f>Dat_02!D257</f>
        <v>83.437278222405467</v>
      </c>
      <c r="G258" s="226">
        <f>Dat_02!E257</f>
        <v>42.183786190569442</v>
      </c>
      <c r="I258" s="227">
        <f>Dat_02!G257</f>
        <v>0</v>
      </c>
      <c r="J258" s="233" t="str">
        <f>IF(Dat_02!H257=0,"",Dat_02!H257)</f>
        <v/>
      </c>
    </row>
    <row r="259" spans="2:10">
      <c r="B259" s="224"/>
      <c r="C259" s="225">
        <f>Dat_02!B258</f>
        <v>44876</v>
      </c>
      <c r="D259" s="224"/>
      <c r="E259" s="226">
        <f>Dat_02!C258</f>
        <v>35.259605954567583</v>
      </c>
      <c r="F259" s="226">
        <f>Dat_02!D258</f>
        <v>83.437278222405467</v>
      </c>
      <c r="G259" s="226">
        <f>Dat_02!E258</f>
        <v>35.259605954567583</v>
      </c>
      <c r="I259" s="227">
        <f>Dat_02!G258</f>
        <v>0</v>
      </c>
      <c r="J259" s="233" t="str">
        <f>IF(Dat_02!H258=0,"",Dat_02!H258)</f>
        <v/>
      </c>
    </row>
    <row r="260" spans="2:10">
      <c r="B260" s="224"/>
      <c r="C260" s="225">
        <f>Dat_02!B259</f>
        <v>44877</v>
      </c>
      <c r="D260" s="224"/>
      <c r="E260" s="226">
        <f>Dat_02!C259</f>
        <v>33.117230706570382</v>
      </c>
      <c r="F260" s="226">
        <f>Dat_02!D259</f>
        <v>83.437278222405467</v>
      </c>
      <c r="G260" s="226">
        <f>Dat_02!E259</f>
        <v>33.117230706570382</v>
      </c>
      <c r="I260" s="227">
        <f>Dat_02!G259</f>
        <v>0</v>
      </c>
      <c r="J260" s="233" t="str">
        <f>IF(Dat_02!H259=0,"",Dat_02!H259)</f>
        <v/>
      </c>
    </row>
    <row r="261" spans="2:10">
      <c r="B261" s="224"/>
      <c r="C261" s="225">
        <f>Dat_02!B260</f>
        <v>44878</v>
      </c>
      <c r="D261" s="224"/>
      <c r="E261" s="226">
        <f>Dat_02!C260</f>
        <v>35.898128154565725</v>
      </c>
      <c r="F261" s="226">
        <f>Dat_02!D260</f>
        <v>83.437278222405467</v>
      </c>
      <c r="G261" s="226">
        <f>Dat_02!E260</f>
        <v>35.898128154565725</v>
      </c>
      <c r="I261" s="227">
        <f>Dat_02!G260</f>
        <v>0</v>
      </c>
      <c r="J261" s="233" t="str">
        <f>IF(Dat_02!H260=0,"",Dat_02!H260)</f>
        <v/>
      </c>
    </row>
    <row r="262" spans="2:10">
      <c r="B262" s="224"/>
      <c r="C262" s="225">
        <f>Dat_02!B261</f>
        <v>44879</v>
      </c>
      <c r="D262" s="224"/>
      <c r="E262" s="226">
        <f>Dat_02!C261</f>
        <v>40.284799802569445</v>
      </c>
      <c r="F262" s="226">
        <f>Dat_02!D261</f>
        <v>83.437278222405467</v>
      </c>
      <c r="G262" s="226">
        <f>Dat_02!E261</f>
        <v>40.284799802569445</v>
      </c>
      <c r="I262" s="227">
        <f>Dat_02!G261</f>
        <v>0</v>
      </c>
      <c r="J262" s="233" t="str">
        <f>IF(Dat_02!H261=0,"",Dat_02!H261)</f>
        <v/>
      </c>
    </row>
    <row r="263" spans="2:10">
      <c r="B263" s="224"/>
      <c r="C263" s="225">
        <f>Dat_02!B262</f>
        <v>44880</v>
      </c>
      <c r="D263" s="224"/>
      <c r="E263" s="226">
        <f>Dat_02!C262</f>
        <v>36.520872542569442</v>
      </c>
      <c r="F263" s="226">
        <f>Dat_02!D262</f>
        <v>83.437278222405467</v>
      </c>
      <c r="G263" s="226">
        <f>Dat_02!E262</f>
        <v>36.520872542569442</v>
      </c>
      <c r="I263" s="227">
        <f>Dat_02!G262</f>
        <v>83.437278222405467</v>
      </c>
      <c r="J263" s="233" t="str">
        <f>IF(Dat_02!H262=0,"",Dat_02!H262)</f>
        <v/>
      </c>
    </row>
    <row r="264" spans="2:10">
      <c r="B264" s="224"/>
      <c r="C264" s="225">
        <f>Dat_02!B263</f>
        <v>44881</v>
      </c>
      <c r="D264" s="224"/>
      <c r="E264" s="226">
        <f>Dat_02!C263</f>
        <v>50.810418460735974</v>
      </c>
      <c r="F264" s="226">
        <f>Dat_02!D263</f>
        <v>83.437278222405467</v>
      </c>
      <c r="G264" s="226">
        <f>Dat_02!E263</f>
        <v>50.810418460735974</v>
      </c>
      <c r="I264" s="227">
        <f>Dat_02!G263</f>
        <v>0</v>
      </c>
      <c r="J264" s="233" t="str">
        <f>IF(Dat_02!H263=0,"",Dat_02!H263)</f>
        <v/>
      </c>
    </row>
    <row r="265" spans="2:10">
      <c r="B265" s="224"/>
      <c r="C265" s="225">
        <f>Dat_02!B264</f>
        <v>44882</v>
      </c>
      <c r="D265" s="224"/>
      <c r="E265" s="226">
        <f>Dat_02!C264</f>
        <v>53.929281809736899</v>
      </c>
      <c r="F265" s="226">
        <f>Dat_02!D264</f>
        <v>83.437278222405467</v>
      </c>
      <c r="G265" s="226">
        <f>Dat_02!E264</f>
        <v>53.929281809736899</v>
      </c>
      <c r="I265" s="227">
        <f>Dat_02!G264</f>
        <v>0</v>
      </c>
      <c r="J265" s="233" t="str">
        <f>IF(Dat_02!H264=0,"",Dat_02!H264)</f>
        <v/>
      </c>
    </row>
    <row r="266" spans="2:10">
      <c r="B266" s="224"/>
      <c r="C266" s="225">
        <f>Dat_02!B265</f>
        <v>44883</v>
      </c>
      <c r="D266" s="224"/>
      <c r="E266" s="226">
        <f>Dat_02!C265</f>
        <v>62.131612867738767</v>
      </c>
      <c r="F266" s="226">
        <f>Dat_02!D265</f>
        <v>83.437278222405467</v>
      </c>
      <c r="G266" s="226">
        <f>Dat_02!E265</f>
        <v>62.131612867738767</v>
      </c>
      <c r="I266" s="227">
        <f>Dat_02!G265</f>
        <v>0</v>
      </c>
      <c r="J266" s="233" t="str">
        <f>IF(Dat_02!H265=0,"",Dat_02!H265)</f>
        <v/>
      </c>
    </row>
    <row r="267" spans="2:10">
      <c r="B267" s="224"/>
      <c r="C267" s="225">
        <f>Dat_02!B266</f>
        <v>44884</v>
      </c>
      <c r="D267" s="224"/>
      <c r="E267" s="226">
        <f>Dat_02!C266</f>
        <v>54.420209876736905</v>
      </c>
      <c r="F267" s="226">
        <f>Dat_02!D266</f>
        <v>83.437278222405467</v>
      </c>
      <c r="G267" s="226">
        <f>Dat_02!E266</f>
        <v>54.420209876736905</v>
      </c>
      <c r="I267" s="227">
        <f>Dat_02!G266</f>
        <v>0</v>
      </c>
      <c r="J267" s="233" t="str">
        <f>IF(Dat_02!H266=0,"",Dat_02!H266)</f>
        <v/>
      </c>
    </row>
    <row r="268" spans="2:10">
      <c r="B268" s="224"/>
      <c r="C268" s="225">
        <f>Dat_02!B267</f>
        <v>44885</v>
      </c>
      <c r="D268" s="224"/>
      <c r="E268" s="226">
        <f>Dat_02!C267</f>
        <v>53.518528580737829</v>
      </c>
      <c r="F268" s="226">
        <f>Dat_02!D267</f>
        <v>83.437278222405467</v>
      </c>
      <c r="G268" s="226">
        <f>Dat_02!E267</f>
        <v>53.518528580737829</v>
      </c>
      <c r="I268" s="227">
        <f>Dat_02!G267</f>
        <v>0</v>
      </c>
      <c r="J268" s="233" t="str">
        <f>IF(Dat_02!H267=0,"",Dat_02!H267)</f>
        <v/>
      </c>
    </row>
    <row r="269" spans="2:10">
      <c r="B269" s="224"/>
      <c r="C269" s="225">
        <f>Dat_02!B268</f>
        <v>44886</v>
      </c>
      <c r="D269" s="224"/>
      <c r="E269" s="226">
        <f>Dat_02!C268</f>
        <v>62.131172240737833</v>
      </c>
      <c r="F269" s="226">
        <f>Dat_02!D268</f>
        <v>83.437278222405467</v>
      </c>
      <c r="G269" s="226">
        <f>Dat_02!E268</f>
        <v>62.131172240737833</v>
      </c>
      <c r="I269" s="227">
        <f>Dat_02!G268</f>
        <v>0</v>
      </c>
      <c r="J269" s="233" t="str">
        <f>IF(Dat_02!H268=0,"",Dat_02!H268)</f>
        <v/>
      </c>
    </row>
    <row r="270" spans="2:10">
      <c r="B270" s="224"/>
      <c r="C270" s="225">
        <f>Dat_02!B269</f>
        <v>44887</v>
      </c>
      <c r="D270" s="224"/>
      <c r="E270" s="226">
        <f>Dat_02!C269</f>
        <v>73.563721316736903</v>
      </c>
      <c r="F270" s="226">
        <f>Dat_02!D269</f>
        <v>83.437278222405467</v>
      </c>
      <c r="G270" s="226">
        <f>Dat_02!E269</f>
        <v>73.563721316736903</v>
      </c>
      <c r="I270" s="227">
        <f>Dat_02!G269</f>
        <v>0</v>
      </c>
      <c r="J270" s="233" t="str">
        <f>IF(Dat_02!H269=0,"",Dat_02!H269)</f>
        <v/>
      </c>
    </row>
    <row r="271" spans="2:10">
      <c r="B271" s="224"/>
      <c r="C271" s="225">
        <f>Dat_02!B270</f>
        <v>44888</v>
      </c>
      <c r="D271" s="224"/>
      <c r="E271" s="226">
        <f>Dat_02!C270</f>
        <v>132.91856463312783</v>
      </c>
      <c r="F271" s="226">
        <f>Dat_02!D270</f>
        <v>83.437278222405467</v>
      </c>
      <c r="G271" s="226">
        <f>Dat_02!E270</f>
        <v>83.437278222405467</v>
      </c>
      <c r="I271" s="227">
        <f>Dat_02!G270</f>
        <v>0</v>
      </c>
      <c r="J271" s="233" t="str">
        <f>IF(Dat_02!H270=0,"",Dat_02!H270)</f>
        <v/>
      </c>
    </row>
    <row r="272" spans="2:10">
      <c r="B272" s="224"/>
      <c r="C272" s="225">
        <f>Dat_02!B271</f>
        <v>44889</v>
      </c>
      <c r="D272" s="224"/>
      <c r="E272" s="226">
        <f>Dat_02!C271</f>
        <v>146.27818403312966</v>
      </c>
      <c r="F272" s="226">
        <f>Dat_02!D271</f>
        <v>83.437278222405467</v>
      </c>
      <c r="G272" s="226">
        <f>Dat_02!E271</f>
        <v>83.437278222405467</v>
      </c>
      <c r="I272" s="227">
        <f>Dat_02!G271</f>
        <v>0</v>
      </c>
      <c r="J272" s="233" t="str">
        <f>IF(Dat_02!H271=0,"",Dat_02!H271)</f>
        <v/>
      </c>
    </row>
    <row r="273" spans="2:10">
      <c r="B273" s="224"/>
      <c r="C273" s="225">
        <f>Dat_02!B272</f>
        <v>44890</v>
      </c>
      <c r="D273" s="224"/>
      <c r="E273" s="226">
        <f>Dat_02!C272</f>
        <v>139.25365684112688</v>
      </c>
      <c r="F273" s="226">
        <f>Dat_02!D272</f>
        <v>83.437278222405467</v>
      </c>
      <c r="G273" s="226">
        <f>Dat_02!E272</f>
        <v>83.437278222405467</v>
      </c>
      <c r="I273" s="227">
        <f>Dat_02!G272</f>
        <v>0</v>
      </c>
      <c r="J273" s="233" t="str">
        <f>IF(Dat_02!H272=0,"",Dat_02!H272)</f>
        <v/>
      </c>
    </row>
    <row r="274" spans="2:10">
      <c r="B274" s="224"/>
      <c r="C274" s="225">
        <f>Dat_02!B273</f>
        <v>44891</v>
      </c>
      <c r="D274" s="224"/>
      <c r="E274" s="226">
        <f>Dat_02!C273</f>
        <v>144.99080638912872</v>
      </c>
      <c r="F274" s="226">
        <f>Dat_02!D273</f>
        <v>83.437278222405467</v>
      </c>
      <c r="G274" s="226">
        <f>Dat_02!E273</f>
        <v>83.437278222405467</v>
      </c>
      <c r="I274" s="227">
        <f>Dat_02!G273</f>
        <v>0</v>
      </c>
      <c r="J274" s="233" t="str">
        <f>IF(Dat_02!H273=0,"",Dat_02!H273)</f>
        <v/>
      </c>
    </row>
    <row r="275" spans="2:10">
      <c r="B275" s="224"/>
      <c r="C275" s="225">
        <f>Dat_02!B274</f>
        <v>44892</v>
      </c>
      <c r="D275" s="224"/>
      <c r="E275" s="226">
        <f>Dat_02!C274</f>
        <v>137.60218416912781</v>
      </c>
      <c r="F275" s="226">
        <f>Dat_02!D274</f>
        <v>83.437278222405467</v>
      </c>
      <c r="G275" s="226">
        <f>Dat_02!E274</f>
        <v>83.437278222405467</v>
      </c>
      <c r="I275" s="227">
        <f>Dat_02!G274</f>
        <v>0</v>
      </c>
      <c r="J275" s="233" t="str">
        <f>IF(Dat_02!H274=0,"",Dat_02!H274)</f>
        <v/>
      </c>
    </row>
    <row r="276" spans="2:10">
      <c r="B276" s="224"/>
      <c r="C276" s="225">
        <f>Dat_02!B275</f>
        <v>44893</v>
      </c>
      <c r="D276" s="224"/>
      <c r="E276" s="226">
        <f>Dat_02!C275</f>
        <v>124.6874201251278</v>
      </c>
      <c r="F276" s="226">
        <f>Dat_02!D275</f>
        <v>83.437278222405467</v>
      </c>
      <c r="G276" s="226">
        <f>Dat_02!E275</f>
        <v>83.437278222405467</v>
      </c>
      <c r="I276" s="227">
        <f>Dat_02!G275</f>
        <v>0</v>
      </c>
      <c r="J276" s="233" t="str">
        <f>IF(Dat_02!H275=0,"",Dat_02!H275)</f>
        <v/>
      </c>
    </row>
    <row r="277" spans="2:10">
      <c r="B277" s="224"/>
      <c r="C277" s="225">
        <f>Dat_02!B276</f>
        <v>44894</v>
      </c>
      <c r="D277" s="224"/>
      <c r="E277" s="226">
        <f>Dat_02!C276</f>
        <v>156.9668081931278</v>
      </c>
      <c r="F277" s="226">
        <f>Dat_02!D276</f>
        <v>83.437278222405467</v>
      </c>
      <c r="G277" s="226">
        <f>Dat_02!E276</f>
        <v>83.437278222405467</v>
      </c>
      <c r="I277" s="227">
        <f>Dat_02!G276</f>
        <v>0</v>
      </c>
      <c r="J277" s="233" t="str">
        <f>IF(Dat_02!H276=0,"",Dat_02!H276)</f>
        <v/>
      </c>
    </row>
    <row r="278" spans="2:10">
      <c r="B278" s="224"/>
      <c r="C278" s="225">
        <f>Dat_02!B277</f>
        <v>44895</v>
      </c>
      <c r="D278" s="224"/>
      <c r="E278" s="226">
        <f>Dat_02!C277</f>
        <v>78.008705493811078</v>
      </c>
      <c r="F278" s="226">
        <f>Dat_02!D277</f>
        <v>83.437278222405467</v>
      </c>
      <c r="G278" s="226">
        <f>Dat_02!E277</f>
        <v>78.008705493811078</v>
      </c>
      <c r="I278" s="227">
        <f>Dat_02!G277</f>
        <v>0</v>
      </c>
      <c r="J278" s="233" t="str">
        <f>IF(Dat_02!H277=0,"",Dat_02!H277)</f>
        <v/>
      </c>
    </row>
    <row r="279" spans="2:10">
      <c r="B279" s="224"/>
      <c r="C279" s="225">
        <f>Dat_02!B278</f>
        <v>44896</v>
      </c>
      <c r="D279" s="224"/>
      <c r="E279" s="226">
        <f>Dat_02!C278</f>
        <v>70.797097722812012</v>
      </c>
      <c r="F279" s="226">
        <f>Dat_02!D278</f>
        <v>108.10243370537623</v>
      </c>
      <c r="G279" s="226">
        <f>Dat_02!E278</f>
        <v>70.797097722812012</v>
      </c>
      <c r="I279" s="227">
        <f>Dat_02!G278</f>
        <v>0</v>
      </c>
      <c r="J279" s="233" t="str">
        <f>IF(Dat_02!H278=0,"",Dat_02!H278)</f>
        <v/>
      </c>
    </row>
    <row r="280" spans="2:10">
      <c r="B280" s="224" t="s">
        <v>211</v>
      </c>
      <c r="C280" s="225">
        <f>Dat_02!B279</f>
        <v>44897</v>
      </c>
      <c r="D280" s="224"/>
      <c r="E280" s="226">
        <f>Dat_02!C279</f>
        <v>76.424206708811099</v>
      </c>
      <c r="F280" s="226">
        <f>Dat_02!D279</f>
        <v>108.10243370537623</v>
      </c>
      <c r="G280" s="226">
        <f>Dat_02!E279</f>
        <v>76.424206708811099</v>
      </c>
      <c r="I280" s="227">
        <f>Dat_02!G279</f>
        <v>0</v>
      </c>
      <c r="J280" s="233" t="str">
        <f>IF(Dat_02!H279=0,"",Dat_02!H279)</f>
        <v/>
      </c>
    </row>
    <row r="281" spans="2:10">
      <c r="B281" s="224"/>
      <c r="C281" s="225">
        <f>Dat_02!B280</f>
        <v>44898</v>
      </c>
      <c r="D281" s="224"/>
      <c r="E281" s="226">
        <f>Dat_02!C280</f>
        <v>79.337202661810153</v>
      </c>
      <c r="F281" s="226">
        <f>Dat_02!D280</f>
        <v>108.10243370537623</v>
      </c>
      <c r="G281" s="226">
        <f>Dat_02!E280</f>
        <v>79.337202661810153</v>
      </c>
      <c r="I281" s="227">
        <f>Dat_02!G280</f>
        <v>0</v>
      </c>
      <c r="J281" s="233" t="str">
        <f>IF(Dat_02!H280=0,"",Dat_02!H280)</f>
        <v/>
      </c>
    </row>
    <row r="282" spans="2:10">
      <c r="B282" s="224"/>
      <c r="C282" s="225">
        <f>Dat_02!B281</f>
        <v>44899</v>
      </c>
      <c r="D282" s="224"/>
      <c r="E282" s="226">
        <f>Dat_02!C281</f>
        <v>77.282747661811086</v>
      </c>
      <c r="F282" s="226">
        <f>Dat_02!D281</f>
        <v>108.10243370537623</v>
      </c>
      <c r="G282" s="226">
        <f>Dat_02!E281</f>
        <v>77.282747661811086</v>
      </c>
      <c r="I282" s="227">
        <f>Dat_02!G281</f>
        <v>0</v>
      </c>
      <c r="J282" s="233" t="str">
        <f>IF(Dat_02!H281=0,"",Dat_02!H281)</f>
        <v/>
      </c>
    </row>
    <row r="283" spans="2:10">
      <c r="B283" s="224"/>
      <c r="C283" s="225">
        <f>Dat_02!B282</f>
        <v>44900</v>
      </c>
      <c r="D283" s="224"/>
      <c r="E283" s="226">
        <f>Dat_02!C282</f>
        <v>74.790135021811096</v>
      </c>
      <c r="F283" s="226">
        <f>Dat_02!D282</f>
        <v>108.10243370537623</v>
      </c>
      <c r="G283" s="226">
        <f>Dat_02!E282</f>
        <v>74.790135021811096</v>
      </c>
      <c r="I283" s="227">
        <f>Dat_02!G282</f>
        <v>0</v>
      </c>
      <c r="J283" s="233" t="str">
        <f>IF(Dat_02!H282=0,"",Dat_02!H282)</f>
        <v/>
      </c>
    </row>
    <row r="284" spans="2:10">
      <c r="B284" s="224"/>
      <c r="C284" s="225">
        <f>Dat_02!B283</f>
        <v>44901</v>
      </c>
      <c r="D284" s="224"/>
      <c r="E284" s="226">
        <f>Dat_02!C283</f>
        <v>73.873102701812016</v>
      </c>
      <c r="F284" s="226">
        <f>Dat_02!D283</f>
        <v>108.10243370537623</v>
      </c>
      <c r="G284" s="226">
        <f>Dat_02!E283</f>
        <v>73.873102701812016</v>
      </c>
      <c r="I284" s="227">
        <f>Dat_02!G283</f>
        <v>0</v>
      </c>
      <c r="J284" s="233" t="str">
        <f>IF(Dat_02!H283=0,"",Dat_02!H283)</f>
        <v/>
      </c>
    </row>
    <row r="285" spans="2:10">
      <c r="B285" s="224"/>
      <c r="C285" s="225">
        <f>Dat_02!B284</f>
        <v>44902</v>
      </c>
      <c r="D285" s="224"/>
      <c r="E285" s="226">
        <f>Dat_02!C284</f>
        <v>83.25524646274809</v>
      </c>
      <c r="F285" s="226">
        <f>Dat_02!D284</f>
        <v>108.10243370537623</v>
      </c>
      <c r="G285" s="226">
        <f>Dat_02!E284</f>
        <v>83.25524646274809</v>
      </c>
      <c r="I285" s="227">
        <f>Dat_02!G284</f>
        <v>0</v>
      </c>
      <c r="J285" s="233" t="str">
        <f>IF(Dat_02!H284=0,"",Dat_02!H284)</f>
        <v/>
      </c>
    </row>
    <row r="286" spans="2:10">
      <c r="B286" s="224"/>
      <c r="C286" s="225">
        <f>Dat_02!B285</f>
        <v>44903</v>
      </c>
      <c r="D286" s="224"/>
      <c r="E286" s="226">
        <f>Dat_02!C285</f>
        <v>78.200729502751827</v>
      </c>
      <c r="F286" s="226">
        <f>Dat_02!D285</f>
        <v>108.10243370537623</v>
      </c>
      <c r="G286" s="226">
        <f>Dat_02!E285</f>
        <v>78.200729502751827</v>
      </c>
      <c r="I286" s="227">
        <f>Dat_02!G285</f>
        <v>0</v>
      </c>
      <c r="J286" s="233" t="str">
        <f>IF(Dat_02!H285=0,"",Dat_02!H285)</f>
        <v/>
      </c>
    </row>
    <row r="287" spans="2:10">
      <c r="B287" s="224"/>
      <c r="C287" s="225">
        <f>Dat_02!B286</f>
        <v>44904</v>
      </c>
      <c r="D287" s="224"/>
      <c r="E287" s="226">
        <f>Dat_02!C286</f>
        <v>81.242425742749973</v>
      </c>
      <c r="F287" s="226">
        <f>Dat_02!D286</f>
        <v>108.10243370537623</v>
      </c>
      <c r="G287" s="226">
        <f>Dat_02!E286</f>
        <v>81.242425742749973</v>
      </c>
      <c r="I287" s="227">
        <f>Dat_02!G286</f>
        <v>0</v>
      </c>
      <c r="J287" s="233" t="str">
        <f>IF(Dat_02!H286=0,"",Dat_02!H286)</f>
        <v/>
      </c>
    </row>
    <row r="288" spans="2:10">
      <c r="B288" s="224"/>
      <c r="C288" s="225">
        <f>Dat_02!B287</f>
        <v>44905</v>
      </c>
      <c r="D288" s="224"/>
      <c r="E288" s="226">
        <f>Dat_02!C287</f>
        <v>65.708957131749969</v>
      </c>
      <c r="F288" s="226">
        <f>Dat_02!D287</f>
        <v>108.10243370537623</v>
      </c>
      <c r="G288" s="226">
        <f>Dat_02!E287</f>
        <v>65.708957131749969</v>
      </c>
      <c r="I288" s="227">
        <f>Dat_02!G287</f>
        <v>0</v>
      </c>
      <c r="J288" s="233" t="str">
        <f>IF(Dat_02!H287=0,"",Dat_02!H287)</f>
        <v/>
      </c>
    </row>
    <row r="289" spans="2:10">
      <c r="B289" s="224"/>
      <c r="C289" s="225">
        <f>Dat_02!B288</f>
        <v>44906</v>
      </c>
      <c r="D289" s="224"/>
      <c r="E289" s="226">
        <f>Dat_02!C288</f>
        <v>67.742122181749025</v>
      </c>
      <c r="F289" s="226">
        <f>Dat_02!D288</f>
        <v>108.10243370537623</v>
      </c>
      <c r="G289" s="226">
        <f>Dat_02!E288</f>
        <v>67.742122181749025</v>
      </c>
      <c r="I289" s="227">
        <f>Dat_02!G288</f>
        <v>0</v>
      </c>
      <c r="J289" s="233" t="str">
        <f>IF(Dat_02!H288=0,"",Dat_02!H288)</f>
        <v/>
      </c>
    </row>
    <row r="290" spans="2:10">
      <c r="B290" s="224"/>
      <c r="C290" s="225">
        <f>Dat_02!B289</f>
        <v>44907</v>
      </c>
      <c r="D290" s="224"/>
      <c r="E290" s="226">
        <f>Dat_02!C289</f>
        <v>74.222568034749969</v>
      </c>
      <c r="F290" s="226">
        <f>Dat_02!D289</f>
        <v>108.10243370537623</v>
      </c>
      <c r="G290" s="226">
        <f>Dat_02!E289</f>
        <v>74.222568034749969</v>
      </c>
      <c r="I290" s="227">
        <f>Dat_02!G289</f>
        <v>0</v>
      </c>
      <c r="J290" s="233" t="str">
        <f>IF(Dat_02!H289=0,"",Dat_02!H289)</f>
        <v/>
      </c>
    </row>
    <row r="291" spans="2:10">
      <c r="B291" s="224"/>
      <c r="C291" s="225">
        <f>Dat_02!B290</f>
        <v>44908</v>
      </c>
      <c r="D291" s="224"/>
      <c r="E291" s="226">
        <f>Dat_02!C290</f>
        <v>101.85167531074997</v>
      </c>
      <c r="F291" s="226">
        <f>Dat_02!D290</f>
        <v>108.10243370537623</v>
      </c>
      <c r="G291" s="226">
        <f>Dat_02!E290</f>
        <v>101.85167531074997</v>
      </c>
      <c r="I291" s="227">
        <f>Dat_02!G290</f>
        <v>0</v>
      </c>
      <c r="J291" s="233" t="str">
        <f>IF(Dat_02!H290=0,"",Dat_02!H290)</f>
        <v/>
      </c>
    </row>
    <row r="292" spans="2:10">
      <c r="B292" s="224"/>
      <c r="C292" s="225">
        <f>Dat_02!B291</f>
        <v>44909</v>
      </c>
      <c r="D292" s="224"/>
      <c r="E292" s="226">
        <f>Dat_02!C291</f>
        <v>289.86074061030251</v>
      </c>
      <c r="F292" s="226">
        <f>Dat_02!D291</f>
        <v>108.10243370537623</v>
      </c>
      <c r="G292" s="226">
        <f>Dat_02!E291</f>
        <v>108.10243370537623</v>
      </c>
      <c r="I292" s="227">
        <f>Dat_02!G291</f>
        <v>0</v>
      </c>
      <c r="J292" s="233" t="str">
        <f>IF(Dat_02!H291=0,"",Dat_02!H291)</f>
        <v/>
      </c>
    </row>
    <row r="293" spans="2:10">
      <c r="B293" s="224"/>
      <c r="C293" s="225">
        <f>Dat_02!B292</f>
        <v>44910</v>
      </c>
      <c r="D293" s="224"/>
      <c r="E293" s="226">
        <f>Dat_02!C292</f>
        <v>284.54769954630444</v>
      </c>
      <c r="F293" s="226">
        <f>Dat_02!D292</f>
        <v>108.10243370537623</v>
      </c>
      <c r="G293" s="226">
        <f>Dat_02!E292</f>
        <v>108.10243370537623</v>
      </c>
      <c r="I293" s="227">
        <f>Dat_02!G292</f>
        <v>108.10243370537623</v>
      </c>
      <c r="J293" s="233" t="str">
        <f>IF(Dat_02!H292=0,"",Dat_02!H292)</f>
        <v/>
      </c>
    </row>
    <row r="294" spans="2:10">
      <c r="B294" s="224"/>
      <c r="C294" s="225">
        <f>Dat_02!B293</f>
        <v>44911</v>
      </c>
      <c r="D294" s="224"/>
      <c r="E294" s="226">
        <f>Dat_02!C293</f>
        <v>307.98983931430348</v>
      </c>
      <c r="F294" s="226">
        <f>Dat_02!D293</f>
        <v>108.10243370537623</v>
      </c>
      <c r="G294" s="226">
        <f>Dat_02!E293</f>
        <v>108.10243370537623</v>
      </c>
      <c r="I294" s="227">
        <f>Dat_02!G293</f>
        <v>0</v>
      </c>
      <c r="J294" s="233" t="str">
        <f>IF(Dat_02!H293=0,"",Dat_02!H293)</f>
        <v/>
      </c>
    </row>
    <row r="295" spans="2:10">
      <c r="B295" s="224"/>
      <c r="C295" s="225">
        <f>Dat_02!B294</f>
        <v>44912</v>
      </c>
      <c r="D295" s="224"/>
      <c r="E295" s="226">
        <f>Dat_02!C294</f>
        <v>302.0154462823034</v>
      </c>
      <c r="F295" s="226">
        <f>Dat_02!D294</f>
        <v>108.10243370537623</v>
      </c>
      <c r="G295" s="226">
        <f>Dat_02!E294</f>
        <v>108.10243370537623</v>
      </c>
      <c r="I295" s="227">
        <f>Dat_02!G294</f>
        <v>0</v>
      </c>
      <c r="J295" s="233" t="str">
        <f>IF(Dat_02!H294=0,"",Dat_02!H294)</f>
        <v/>
      </c>
    </row>
    <row r="296" spans="2:10">
      <c r="B296" s="224"/>
      <c r="C296" s="225">
        <f>Dat_02!B295</f>
        <v>44913</v>
      </c>
      <c r="D296" s="224"/>
      <c r="E296" s="226">
        <f>Dat_02!C295</f>
        <v>247.77309099030251</v>
      </c>
      <c r="F296" s="226">
        <f>Dat_02!D295</f>
        <v>108.10243370537623</v>
      </c>
      <c r="G296" s="226">
        <f>Dat_02!E295</f>
        <v>108.10243370537623</v>
      </c>
      <c r="I296" s="227">
        <f>Dat_02!G295</f>
        <v>0</v>
      </c>
      <c r="J296" s="233" t="str">
        <f>IF(Dat_02!H295=0,"",Dat_02!H295)</f>
        <v/>
      </c>
    </row>
    <row r="297" spans="2:10">
      <c r="B297" s="224"/>
      <c r="C297" s="225">
        <f>Dat_02!B296</f>
        <v>44914</v>
      </c>
      <c r="D297" s="224"/>
      <c r="E297" s="226">
        <f>Dat_02!C296</f>
        <v>269.45547892630435</v>
      </c>
      <c r="F297" s="226">
        <f>Dat_02!D296</f>
        <v>108.10243370537623</v>
      </c>
      <c r="G297" s="226">
        <f>Dat_02!E296</f>
        <v>108.10243370537623</v>
      </c>
      <c r="I297" s="227">
        <f>Dat_02!G296</f>
        <v>0</v>
      </c>
      <c r="J297" s="233" t="str">
        <f>IF(Dat_02!H296=0,"",Dat_02!H296)</f>
        <v/>
      </c>
    </row>
    <row r="298" spans="2:10">
      <c r="B298" s="224"/>
      <c r="C298" s="225">
        <f>Dat_02!B297</f>
        <v>44915</v>
      </c>
      <c r="D298" s="224"/>
      <c r="E298" s="226">
        <f>Dat_02!C297</f>
        <v>283.37033685830437</v>
      </c>
      <c r="F298" s="226">
        <f>Dat_02!D297</f>
        <v>108.10243370537623</v>
      </c>
      <c r="G298" s="226">
        <f>Dat_02!E297</f>
        <v>108.10243370537623</v>
      </c>
      <c r="I298" s="227">
        <f>Dat_02!G297</f>
        <v>0</v>
      </c>
      <c r="J298" s="233" t="str">
        <f>IF(Dat_02!H297=0,"",Dat_02!H297)</f>
        <v/>
      </c>
    </row>
    <row r="299" spans="2:10">
      <c r="B299" s="224"/>
      <c r="C299" s="225">
        <f>Dat_02!B298</f>
        <v>44916</v>
      </c>
      <c r="D299" s="224"/>
      <c r="E299" s="226">
        <f>Dat_02!C298</f>
        <v>216.08716630322749</v>
      </c>
      <c r="F299" s="226">
        <f>Dat_02!D298</f>
        <v>108.10243370537623</v>
      </c>
      <c r="G299" s="226">
        <f>Dat_02!E298</f>
        <v>108.10243370537623</v>
      </c>
      <c r="I299" s="227">
        <f>Dat_02!G298</f>
        <v>0</v>
      </c>
      <c r="J299" s="233" t="str">
        <f>IF(Dat_02!H298=0,"",Dat_02!H298)</f>
        <v/>
      </c>
    </row>
    <row r="300" spans="2:10">
      <c r="B300" s="224"/>
      <c r="C300" s="225">
        <f>Dat_02!B299</f>
        <v>44917</v>
      </c>
      <c r="D300" s="224"/>
      <c r="E300" s="226">
        <f>Dat_02!C299</f>
        <v>230.81324102322563</v>
      </c>
      <c r="F300" s="226">
        <f>Dat_02!D299</f>
        <v>108.10243370537623</v>
      </c>
      <c r="G300" s="226">
        <f>Dat_02!E299</f>
        <v>108.10243370537623</v>
      </c>
      <c r="I300" s="227">
        <f>Dat_02!G299</f>
        <v>0</v>
      </c>
      <c r="J300" s="233" t="str">
        <f>IF(Dat_02!H299=0,"",Dat_02!H299)</f>
        <v/>
      </c>
    </row>
    <row r="301" spans="2:10">
      <c r="B301" s="224"/>
      <c r="C301" s="225">
        <f>Dat_02!B300</f>
        <v>44918</v>
      </c>
      <c r="D301" s="224"/>
      <c r="E301" s="226">
        <f>Dat_02!C300</f>
        <v>208.30023159122655</v>
      </c>
      <c r="F301" s="226">
        <f>Dat_02!D300</f>
        <v>108.10243370537623</v>
      </c>
      <c r="G301" s="226">
        <f>Dat_02!E300</f>
        <v>108.10243370537623</v>
      </c>
      <c r="I301" s="227">
        <f>Dat_02!G300</f>
        <v>0</v>
      </c>
      <c r="J301" s="233" t="str">
        <f>IF(Dat_02!H300=0,"",Dat_02!H300)</f>
        <v/>
      </c>
    </row>
    <row r="302" spans="2:10">
      <c r="B302" s="224"/>
      <c r="C302" s="225">
        <f>Dat_02!B301</f>
        <v>44919</v>
      </c>
      <c r="D302" s="224"/>
      <c r="E302" s="226">
        <f>Dat_02!C301</f>
        <v>181.29447120322658</v>
      </c>
      <c r="F302" s="226">
        <f>Dat_02!D301</f>
        <v>108.10243370537623</v>
      </c>
      <c r="G302" s="226">
        <f>Dat_02!E301</f>
        <v>108.10243370537623</v>
      </c>
      <c r="I302" s="227">
        <f>Dat_02!G301</f>
        <v>0</v>
      </c>
      <c r="J302" s="233" t="str">
        <f>IF(Dat_02!H301=0,"",Dat_02!H301)</f>
        <v/>
      </c>
    </row>
    <row r="303" spans="2:10">
      <c r="B303" s="224"/>
      <c r="C303" s="225">
        <f>Dat_02!B302</f>
        <v>44920</v>
      </c>
      <c r="D303" s="224"/>
      <c r="E303" s="226">
        <f>Dat_02!C302</f>
        <v>167.15576251522654</v>
      </c>
      <c r="F303" s="226">
        <f>Dat_02!D302</f>
        <v>108.10243370537623</v>
      </c>
      <c r="G303" s="226">
        <f>Dat_02!E302</f>
        <v>108.10243370537623</v>
      </c>
      <c r="I303" s="227">
        <f>Dat_02!G302</f>
        <v>0</v>
      </c>
      <c r="J303" s="233" t="str">
        <f>IF(Dat_02!H302=0,"",Dat_02!H302)</f>
        <v/>
      </c>
    </row>
    <row r="304" spans="2:10">
      <c r="B304" s="224"/>
      <c r="C304" s="225">
        <f>Dat_02!B303</f>
        <v>44921</v>
      </c>
      <c r="D304" s="224"/>
      <c r="E304" s="226">
        <f>Dat_02!C303</f>
        <v>203.88989757522563</v>
      </c>
      <c r="F304" s="226">
        <f>Dat_02!D303</f>
        <v>108.10243370537623</v>
      </c>
      <c r="G304" s="226">
        <f>Dat_02!E303</f>
        <v>108.10243370537623</v>
      </c>
      <c r="I304" s="227">
        <f>Dat_02!G303</f>
        <v>0</v>
      </c>
      <c r="J304" s="233" t="str">
        <f>IF(Dat_02!H303=0,"",Dat_02!H303)</f>
        <v/>
      </c>
    </row>
    <row r="305" spans="2:10">
      <c r="B305" s="224"/>
      <c r="C305" s="225">
        <f>Dat_02!B304</f>
        <v>44922</v>
      </c>
      <c r="D305" s="224"/>
      <c r="E305" s="226">
        <f>Dat_02!C304</f>
        <v>233.8799983832275</v>
      </c>
      <c r="F305" s="226">
        <f>Dat_02!D304</f>
        <v>108.10243370537623</v>
      </c>
      <c r="G305" s="226">
        <f>Dat_02!E304</f>
        <v>108.10243370537623</v>
      </c>
      <c r="I305" s="227">
        <f>Dat_02!G304</f>
        <v>0</v>
      </c>
      <c r="J305" s="233" t="str">
        <f>IF(Dat_02!H304=0,"",Dat_02!H304)</f>
        <v/>
      </c>
    </row>
    <row r="306" spans="2:10">
      <c r="B306" s="224"/>
      <c r="C306" s="225">
        <f>Dat_02!B305</f>
        <v>44923</v>
      </c>
      <c r="D306" s="224"/>
      <c r="E306" s="226">
        <f>Dat_02!C305</f>
        <v>193.42706543876241</v>
      </c>
      <c r="F306" s="226">
        <f>Dat_02!D305</f>
        <v>108.10243370537623</v>
      </c>
      <c r="G306" s="226">
        <f>Dat_02!E305</f>
        <v>108.10243370537623</v>
      </c>
      <c r="I306" s="227">
        <f>Dat_02!G305</f>
        <v>0</v>
      </c>
      <c r="J306" s="233" t="str">
        <f>IF(Dat_02!H305=0,"",Dat_02!H305)</f>
        <v/>
      </c>
    </row>
    <row r="307" spans="2:10">
      <c r="B307" s="224"/>
      <c r="C307" s="225">
        <f>Dat_02!B306</f>
        <v>44924</v>
      </c>
      <c r="D307" s="224"/>
      <c r="E307" s="226">
        <f>Dat_02!C306</f>
        <v>195.83576991875964</v>
      </c>
      <c r="F307" s="226">
        <f>Dat_02!D306</f>
        <v>108.10243370537623</v>
      </c>
      <c r="G307" s="226">
        <f>Dat_02!E306</f>
        <v>108.10243370537623</v>
      </c>
      <c r="I307" s="227">
        <f>Dat_02!G306</f>
        <v>0</v>
      </c>
      <c r="J307" s="233" t="str">
        <f>IF(Dat_02!H306=0,"",Dat_02!H306)</f>
        <v/>
      </c>
    </row>
    <row r="308" spans="2:10">
      <c r="B308" s="224" t="s">
        <v>212</v>
      </c>
      <c r="C308" s="225">
        <f>Dat_02!B307</f>
        <v>44925</v>
      </c>
      <c r="D308" s="224"/>
      <c r="E308" s="226">
        <f>Dat_02!C307</f>
        <v>180.58791271476244</v>
      </c>
      <c r="F308" s="226">
        <f>Dat_02!D307</f>
        <v>108.10243370537623</v>
      </c>
      <c r="G308" s="226">
        <f>Dat_02!E307</f>
        <v>108.10243370537623</v>
      </c>
      <c r="I308" s="227">
        <f>Dat_02!G307</f>
        <v>0</v>
      </c>
      <c r="J308" s="233" t="str">
        <f>IF(Dat_02!H307=0,"",Dat_02!H307)</f>
        <v/>
      </c>
    </row>
    <row r="309" spans="2:10">
      <c r="B309" s="224"/>
      <c r="C309" s="225">
        <f>Dat_02!B308</f>
        <v>44926</v>
      </c>
      <c r="D309" s="224"/>
      <c r="E309" s="226">
        <f>Dat_02!C308</f>
        <v>180.64716726676147</v>
      </c>
      <c r="F309" s="226">
        <f>Dat_02!D308</f>
        <v>108.10243370537623</v>
      </c>
      <c r="G309" s="226">
        <f>Dat_02!E308</f>
        <v>108.10243370537623</v>
      </c>
      <c r="I309" s="227">
        <f>Dat_02!G308</f>
        <v>0</v>
      </c>
      <c r="J309" s="233" t="str">
        <f>IF(Dat_02!H308=0,"",Dat_02!H308)</f>
        <v/>
      </c>
    </row>
    <row r="310" spans="2:10">
      <c r="B310" s="224"/>
      <c r="C310" s="225">
        <f>Dat_02!B309</f>
        <v>44927</v>
      </c>
      <c r="D310" s="224"/>
      <c r="E310" s="226">
        <f>Dat_02!C309</f>
        <v>184.78891499076244</v>
      </c>
      <c r="F310" s="226">
        <f>Dat_02!D309</f>
        <v>119.44455644829111</v>
      </c>
      <c r="G310" s="226">
        <f>Dat_02!E309</f>
        <v>119.44455644829111</v>
      </c>
      <c r="I310" s="227">
        <f>Dat_02!G309</f>
        <v>0</v>
      </c>
      <c r="J310" s="233" t="str">
        <f>IF(Dat_02!H309=0,"",Dat_02!H309)</f>
        <v/>
      </c>
    </row>
    <row r="311" spans="2:10">
      <c r="B311" s="224"/>
      <c r="C311" s="225">
        <f>Dat_02!B310</f>
        <v>44928</v>
      </c>
      <c r="D311" s="224"/>
      <c r="E311" s="226">
        <f>Dat_02!C310</f>
        <v>244.50320051076056</v>
      </c>
      <c r="F311" s="226">
        <f>Dat_02!D310</f>
        <v>119.44455644829111</v>
      </c>
      <c r="G311" s="226">
        <f>Dat_02!E310</f>
        <v>119.44455644829111</v>
      </c>
      <c r="I311" s="227">
        <f>Dat_02!G310</f>
        <v>0</v>
      </c>
      <c r="J311" s="233" t="str">
        <f>IF(Dat_02!H310=0,"",Dat_02!H310)</f>
        <v/>
      </c>
    </row>
    <row r="312" spans="2:10">
      <c r="B312" s="224"/>
      <c r="C312" s="225">
        <f>Dat_02!B311</f>
        <v>44929</v>
      </c>
      <c r="D312" s="224"/>
      <c r="E312" s="226">
        <f>Dat_02!C311</f>
        <v>261.70456261476147</v>
      </c>
      <c r="F312" s="226">
        <f>Dat_02!D311</f>
        <v>119.44455644829111</v>
      </c>
      <c r="G312" s="226">
        <f>Dat_02!E311</f>
        <v>119.44455644829111</v>
      </c>
      <c r="I312" s="227">
        <f>Dat_02!G311</f>
        <v>0</v>
      </c>
      <c r="J312" s="233" t="str">
        <f>IF(Dat_02!H311=0,"",Dat_02!H311)</f>
        <v/>
      </c>
    </row>
    <row r="313" spans="2:10">
      <c r="B313" s="224"/>
      <c r="C313" s="225">
        <f>Dat_02!B312</f>
        <v>44930</v>
      </c>
      <c r="D313" s="224"/>
      <c r="E313" s="226">
        <f>Dat_02!C312</f>
        <v>209.39474584719699</v>
      </c>
      <c r="F313" s="226">
        <f>Dat_02!D312</f>
        <v>119.44455644829111</v>
      </c>
      <c r="G313" s="226">
        <f>Dat_02!E312</f>
        <v>119.44455644829111</v>
      </c>
      <c r="I313" s="227">
        <f>Dat_02!G312</f>
        <v>0</v>
      </c>
      <c r="J313" s="233" t="str">
        <f>IF(Dat_02!H312=0,"",Dat_02!H312)</f>
        <v/>
      </c>
    </row>
    <row r="314" spans="2:10">
      <c r="B314" s="224"/>
      <c r="C314" s="225">
        <f>Dat_02!B313</f>
        <v>44931</v>
      </c>
      <c r="D314" s="224"/>
      <c r="E314" s="226">
        <f>Dat_02!C313</f>
        <v>214.371626552197</v>
      </c>
      <c r="F314" s="226">
        <f>Dat_02!D313</f>
        <v>119.44455644829111</v>
      </c>
      <c r="G314" s="226">
        <f>Dat_02!E313</f>
        <v>119.44455644829111</v>
      </c>
      <c r="I314" s="227">
        <f>Dat_02!G313</f>
        <v>0</v>
      </c>
      <c r="J314" s="233" t="str">
        <f>IF(Dat_02!H313=0,"",Dat_02!H313)</f>
        <v/>
      </c>
    </row>
    <row r="315" spans="2:10">
      <c r="B315" s="224"/>
      <c r="C315" s="225">
        <f>Dat_02!B314</f>
        <v>44932</v>
      </c>
      <c r="D315" s="224"/>
      <c r="E315" s="226">
        <f>Dat_02!C314</f>
        <v>202.38816227619512</v>
      </c>
      <c r="F315" s="226">
        <f>Dat_02!D314</f>
        <v>119.44455644829111</v>
      </c>
      <c r="G315" s="226">
        <f>Dat_02!E314</f>
        <v>119.44455644829111</v>
      </c>
      <c r="I315" s="227">
        <f>Dat_02!G314</f>
        <v>0</v>
      </c>
      <c r="J315" s="233" t="str">
        <f>IF(Dat_02!H314=0,"",Dat_02!H314)</f>
        <v/>
      </c>
    </row>
    <row r="316" spans="2:10">
      <c r="B316" s="224"/>
      <c r="C316" s="225">
        <f>Dat_02!B315</f>
        <v>44933</v>
      </c>
      <c r="D316" s="224"/>
      <c r="E316" s="226">
        <f>Dat_02!C315</f>
        <v>145.55916480019513</v>
      </c>
      <c r="F316" s="226">
        <f>Dat_02!D315</f>
        <v>119.44455644829111</v>
      </c>
      <c r="G316" s="226">
        <f>Dat_02!E315</f>
        <v>119.44455644829111</v>
      </c>
      <c r="I316" s="227">
        <f>Dat_02!G315</f>
        <v>0</v>
      </c>
      <c r="J316" s="233" t="str">
        <f>IF(Dat_02!H315=0,"",Dat_02!H315)</f>
        <v/>
      </c>
    </row>
    <row r="317" spans="2:10">
      <c r="B317" s="224"/>
      <c r="C317" s="225">
        <f>Dat_02!B316</f>
        <v>44934</v>
      </c>
      <c r="D317" s="224"/>
      <c r="E317" s="226">
        <f>Dat_02!C316</f>
        <v>152.323538516197</v>
      </c>
      <c r="F317" s="226">
        <f>Dat_02!D316</f>
        <v>119.44455644829111</v>
      </c>
      <c r="G317" s="226">
        <f>Dat_02!E316</f>
        <v>119.44455644829111</v>
      </c>
      <c r="I317" s="227">
        <f>Dat_02!G316</f>
        <v>0</v>
      </c>
      <c r="J317" s="233" t="str">
        <f>IF(Dat_02!H316=0,"",Dat_02!H316)</f>
        <v/>
      </c>
    </row>
    <row r="318" spans="2:10">
      <c r="B318" s="224"/>
      <c r="C318" s="225">
        <f>Dat_02!B317</f>
        <v>44935</v>
      </c>
      <c r="D318" s="224"/>
      <c r="E318" s="226">
        <f>Dat_02!C317</f>
        <v>173.53116320419701</v>
      </c>
      <c r="F318" s="226">
        <f>Dat_02!D317</f>
        <v>119.44455644829111</v>
      </c>
      <c r="G318" s="226">
        <f>Dat_02!E317</f>
        <v>119.44455644829111</v>
      </c>
      <c r="I318" s="227">
        <f>Dat_02!G317</f>
        <v>0</v>
      </c>
      <c r="J318" s="233" t="str">
        <f>IF(Dat_02!H317=0,"",Dat_02!H317)</f>
        <v/>
      </c>
    </row>
    <row r="319" spans="2:10">
      <c r="B319" s="224"/>
      <c r="C319" s="225">
        <f>Dat_02!B318</f>
        <v>44936</v>
      </c>
      <c r="D319" s="224"/>
      <c r="E319" s="226">
        <f>Dat_02!C318</f>
        <v>220.26875334819513</v>
      </c>
      <c r="F319" s="226">
        <f>Dat_02!D318</f>
        <v>119.44455644829111</v>
      </c>
      <c r="G319" s="226">
        <f>Dat_02!E318</f>
        <v>119.44455644829111</v>
      </c>
      <c r="I319" s="227">
        <f>Dat_02!G318</f>
        <v>0</v>
      </c>
      <c r="J319" s="233" t="str">
        <f>IF(Dat_02!H318=0,"",Dat_02!H318)</f>
        <v/>
      </c>
    </row>
    <row r="320" spans="2:10">
      <c r="B320" s="224"/>
      <c r="C320" s="225">
        <f>Dat_02!B319</f>
        <v>44937</v>
      </c>
      <c r="D320" s="224"/>
      <c r="E320" s="226">
        <f>Dat_02!C319</f>
        <v>192.5710449574604</v>
      </c>
      <c r="F320" s="226">
        <f>Dat_02!D319</f>
        <v>119.44455644829111</v>
      </c>
      <c r="G320" s="226">
        <f>Dat_02!E319</f>
        <v>119.44455644829111</v>
      </c>
      <c r="I320" s="227">
        <f>Dat_02!G319</f>
        <v>0</v>
      </c>
      <c r="J320" s="233" t="str">
        <f>IF(Dat_02!H319=0,"",Dat_02!H319)</f>
        <v/>
      </c>
    </row>
    <row r="321" spans="2:10">
      <c r="B321" s="224"/>
      <c r="C321" s="225">
        <f>Dat_02!B320</f>
        <v>44938</v>
      </c>
      <c r="D321" s="224"/>
      <c r="E321" s="226">
        <f>Dat_02!C320</f>
        <v>204.5784574534604</v>
      </c>
      <c r="F321" s="226">
        <f>Dat_02!D320</f>
        <v>119.44455644829111</v>
      </c>
      <c r="G321" s="226">
        <f>Dat_02!E320</f>
        <v>119.44455644829111</v>
      </c>
      <c r="I321" s="227">
        <f>Dat_02!G320</f>
        <v>0</v>
      </c>
      <c r="J321" s="233" t="str">
        <f>IF(Dat_02!H320=0,"",Dat_02!H320)</f>
        <v/>
      </c>
    </row>
    <row r="322" spans="2:10">
      <c r="B322" s="224"/>
      <c r="C322" s="225">
        <f>Dat_02!B321</f>
        <v>44939</v>
      </c>
      <c r="D322" s="224"/>
      <c r="E322" s="226">
        <f>Dat_02!C321</f>
        <v>208.32460987346039</v>
      </c>
      <c r="F322" s="226">
        <f>Dat_02!D321</f>
        <v>119.44455644829111</v>
      </c>
      <c r="G322" s="226">
        <f>Dat_02!E321</f>
        <v>119.44455644829111</v>
      </c>
      <c r="I322" s="227">
        <f>Dat_02!G321</f>
        <v>0</v>
      </c>
      <c r="J322" s="233" t="str">
        <f>IF(Dat_02!H321=0,"",Dat_02!H321)</f>
        <v/>
      </c>
    </row>
    <row r="323" spans="2:10">
      <c r="B323" s="224"/>
      <c r="C323" s="225">
        <f>Dat_02!B322</f>
        <v>44940</v>
      </c>
      <c r="D323" s="224"/>
      <c r="E323" s="226">
        <f>Dat_02!C322</f>
        <v>185.10954953746227</v>
      </c>
      <c r="F323" s="226">
        <f>Dat_02!D322</f>
        <v>119.44455644829111</v>
      </c>
      <c r="G323" s="226">
        <f>Dat_02!E322</f>
        <v>119.44455644829111</v>
      </c>
      <c r="I323" s="227">
        <f>Dat_02!G322</f>
        <v>0</v>
      </c>
      <c r="J323" s="233" t="str">
        <f>IF(Dat_02!H322=0,"",Dat_02!H322)</f>
        <v/>
      </c>
    </row>
    <row r="324" spans="2:10">
      <c r="B324" s="224"/>
      <c r="C324" s="225">
        <f>Dat_02!B323</f>
        <v>44941</v>
      </c>
      <c r="D324" s="224"/>
      <c r="E324" s="226">
        <f>Dat_02!C323</f>
        <v>125.00584058545854</v>
      </c>
      <c r="F324" s="226">
        <f>Dat_02!D323</f>
        <v>119.44455644829111</v>
      </c>
      <c r="G324" s="226">
        <f>Dat_02!E323</f>
        <v>119.44455644829111</v>
      </c>
      <c r="I324" s="227">
        <f>Dat_02!G323</f>
        <v>119.44455644829111</v>
      </c>
      <c r="J324" s="233" t="str">
        <f>IF(Dat_02!H323=0,"",Dat_02!H323)</f>
        <v/>
      </c>
    </row>
    <row r="325" spans="2:10">
      <c r="B325" s="224"/>
      <c r="C325" s="225">
        <f>Dat_02!B324</f>
        <v>44942</v>
      </c>
      <c r="D325" s="224"/>
      <c r="E325" s="226">
        <f>Dat_02!C324</f>
        <v>142.93200117346228</v>
      </c>
      <c r="F325" s="226">
        <f>Dat_02!D324</f>
        <v>119.44455644829111</v>
      </c>
      <c r="G325" s="226">
        <f>Dat_02!E324</f>
        <v>119.44455644829111</v>
      </c>
      <c r="I325" s="227">
        <f>Dat_02!G324</f>
        <v>0</v>
      </c>
      <c r="J325" s="233" t="str">
        <f>IF(Dat_02!H324=0,"",Dat_02!H324)</f>
        <v/>
      </c>
    </row>
    <row r="326" spans="2:10">
      <c r="B326" s="224"/>
      <c r="C326" s="225">
        <f>Dat_02!B325</f>
        <v>44943</v>
      </c>
      <c r="D326" s="224"/>
      <c r="E326" s="226">
        <f>Dat_02!C325</f>
        <v>139.53542649845855</v>
      </c>
      <c r="F326" s="226">
        <f>Dat_02!D325</f>
        <v>119.44455644829111</v>
      </c>
      <c r="G326" s="226">
        <f>Dat_02!E325</f>
        <v>119.44455644829111</v>
      </c>
      <c r="I326" s="227">
        <f>Dat_02!G325</f>
        <v>0</v>
      </c>
      <c r="J326" s="233" t="str">
        <f>IF(Dat_02!H325=0,"",Dat_02!H325)</f>
        <v/>
      </c>
    </row>
    <row r="327" spans="2:10">
      <c r="B327" s="224"/>
      <c r="C327" s="225">
        <f>Dat_02!B326</f>
        <v>44944</v>
      </c>
      <c r="D327" s="224"/>
      <c r="E327" s="226">
        <f>Dat_02!C326</f>
        <v>210.03939627556045</v>
      </c>
      <c r="F327" s="226">
        <f>Dat_02!D326</f>
        <v>119.44455644829111</v>
      </c>
      <c r="G327" s="226">
        <f>Dat_02!E326</f>
        <v>119.44455644829111</v>
      </c>
      <c r="I327" s="227">
        <f>Dat_02!G326</f>
        <v>0</v>
      </c>
      <c r="J327" s="233" t="str">
        <f>IF(Dat_02!H326=0,"",Dat_02!H326)</f>
        <v/>
      </c>
    </row>
    <row r="328" spans="2:10">
      <c r="B328" s="224"/>
      <c r="C328" s="225">
        <f>Dat_02!B327</f>
        <v>44945</v>
      </c>
      <c r="D328" s="224"/>
      <c r="E328" s="226">
        <f>Dat_02!C327</f>
        <v>212.57782873355859</v>
      </c>
      <c r="F328" s="226">
        <f>Dat_02!D327</f>
        <v>119.44455644829111</v>
      </c>
      <c r="G328" s="226">
        <f>Dat_02!E327</f>
        <v>119.44455644829111</v>
      </c>
      <c r="I328" s="227">
        <f>Dat_02!G327</f>
        <v>0</v>
      </c>
      <c r="J328" s="233" t="str">
        <f>IF(Dat_02!H327=0,"",Dat_02!H327)</f>
        <v/>
      </c>
    </row>
    <row r="329" spans="2:10">
      <c r="B329" s="224"/>
      <c r="C329" s="225">
        <f>Dat_02!B328</f>
        <v>44946</v>
      </c>
      <c r="D329" s="224"/>
      <c r="E329" s="226">
        <f>Dat_02!C328</f>
        <v>233.41317704555675</v>
      </c>
      <c r="F329" s="226">
        <f>Dat_02!D328</f>
        <v>119.44455644829111</v>
      </c>
      <c r="G329" s="226">
        <f>Dat_02!E328</f>
        <v>119.44455644829111</v>
      </c>
      <c r="I329" s="227">
        <f>Dat_02!G328</f>
        <v>0</v>
      </c>
      <c r="J329" s="233" t="str">
        <f>IF(Dat_02!H328=0,"",Dat_02!H328)</f>
        <v/>
      </c>
    </row>
    <row r="330" spans="2:10">
      <c r="B330" s="224"/>
      <c r="C330" s="225">
        <f>Dat_02!B329</f>
        <v>44947</v>
      </c>
      <c r="D330" s="224"/>
      <c r="E330" s="226">
        <f>Dat_02!C329</f>
        <v>216.84184448956046</v>
      </c>
      <c r="F330" s="226">
        <f>Dat_02!D329</f>
        <v>119.44455644829111</v>
      </c>
      <c r="G330" s="226">
        <f>Dat_02!E329</f>
        <v>119.44455644829111</v>
      </c>
      <c r="I330" s="227">
        <f>Dat_02!G329</f>
        <v>0</v>
      </c>
      <c r="J330" s="233" t="str">
        <f>IF(Dat_02!H329=0,"",Dat_02!H329)</f>
        <v/>
      </c>
    </row>
    <row r="331" spans="2:10">
      <c r="B331" s="224"/>
      <c r="C331" s="225">
        <f>Dat_02!B330</f>
        <v>44948</v>
      </c>
      <c r="D331" s="224"/>
      <c r="E331" s="226">
        <f>Dat_02!C330</f>
        <v>209.10542282955862</v>
      </c>
      <c r="F331" s="226">
        <f>Dat_02!D330</f>
        <v>119.44455644829111</v>
      </c>
      <c r="G331" s="226">
        <f>Dat_02!E330</f>
        <v>119.44455644829111</v>
      </c>
      <c r="I331" s="227">
        <f>Dat_02!G330</f>
        <v>0</v>
      </c>
      <c r="J331" s="233" t="str">
        <f>IF(Dat_02!H330=0,"",Dat_02!H330)</f>
        <v/>
      </c>
    </row>
    <row r="332" spans="2:10">
      <c r="B332" s="224"/>
      <c r="C332" s="225">
        <f>Dat_02!B331</f>
        <v>44949</v>
      </c>
      <c r="D332" s="224"/>
      <c r="E332" s="226">
        <f>Dat_02!C331</f>
        <v>237.83656097755673</v>
      </c>
      <c r="F332" s="226">
        <f>Dat_02!D331</f>
        <v>119.44455644829111</v>
      </c>
      <c r="G332" s="226">
        <f>Dat_02!E331</f>
        <v>119.44455644829111</v>
      </c>
      <c r="I332" s="227">
        <f>Dat_02!G331</f>
        <v>0</v>
      </c>
      <c r="J332" s="233" t="str">
        <f>IF(Dat_02!H331=0,"",Dat_02!H331)</f>
        <v/>
      </c>
    </row>
    <row r="333" spans="2:10">
      <c r="B333" s="224"/>
      <c r="C333" s="225">
        <f>Dat_02!B332</f>
        <v>44950</v>
      </c>
      <c r="D333" s="224"/>
      <c r="E333" s="226">
        <f>Dat_02!C332</f>
        <v>265.54094923356047</v>
      </c>
      <c r="F333" s="226">
        <f>Dat_02!D332</f>
        <v>119.44455644829111</v>
      </c>
      <c r="G333" s="226">
        <f>Dat_02!E332</f>
        <v>119.44455644829111</v>
      </c>
      <c r="I333" s="227">
        <f>Dat_02!G332</f>
        <v>0</v>
      </c>
      <c r="J333" s="233" t="str">
        <f>IF(Dat_02!H332=0,"",Dat_02!H332)</f>
        <v/>
      </c>
    </row>
    <row r="334" spans="2:10">
      <c r="B334" s="224"/>
      <c r="C334" s="225">
        <f>Dat_02!B333</f>
        <v>44951</v>
      </c>
      <c r="D334" s="224"/>
      <c r="E334" s="226">
        <f>Dat_02!C333</f>
        <v>175.17871750291602</v>
      </c>
      <c r="F334" s="226">
        <f>Dat_02!D333</f>
        <v>119.44455644829111</v>
      </c>
      <c r="G334" s="226">
        <f>Dat_02!E333</f>
        <v>119.44455644829111</v>
      </c>
      <c r="I334" s="227">
        <f>Dat_02!G333</f>
        <v>0</v>
      </c>
      <c r="J334" s="233" t="str">
        <f>IF(Dat_02!H333=0,"",Dat_02!H333)</f>
        <v/>
      </c>
    </row>
    <row r="335" spans="2:10">
      <c r="B335" s="224"/>
      <c r="C335" s="225">
        <f>Dat_02!B334</f>
        <v>44952</v>
      </c>
      <c r="D335" s="224"/>
      <c r="E335" s="226">
        <f>Dat_02!C334</f>
        <v>170.86068855092162</v>
      </c>
      <c r="F335" s="226">
        <f>Dat_02!D334</f>
        <v>119.44455644829111</v>
      </c>
      <c r="G335" s="226">
        <f>Dat_02!E334</f>
        <v>119.44455644829111</v>
      </c>
      <c r="I335" s="227">
        <f>Dat_02!G334</f>
        <v>0</v>
      </c>
      <c r="J335" s="233" t="str">
        <f>IF(Dat_02!H334=0,"",Dat_02!H334)</f>
        <v/>
      </c>
    </row>
    <row r="336" spans="2:10">
      <c r="B336" s="224"/>
      <c r="C336" s="225">
        <f>Dat_02!B335</f>
        <v>44953</v>
      </c>
      <c r="D336" s="224"/>
      <c r="E336" s="226">
        <f>Dat_02!C335</f>
        <v>152.21228546691788</v>
      </c>
      <c r="F336" s="226">
        <f>Dat_02!D335</f>
        <v>119.44455644829111</v>
      </c>
      <c r="G336" s="226">
        <f>Dat_02!E335</f>
        <v>119.44455644829111</v>
      </c>
      <c r="I336" s="227">
        <f>Dat_02!G335</f>
        <v>0</v>
      </c>
      <c r="J336" s="233" t="str">
        <f>IF(Dat_02!H335=0,"",Dat_02!H335)</f>
        <v/>
      </c>
    </row>
    <row r="337" spans="2:10">
      <c r="B337" s="224"/>
      <c r="C337" s="225">
        <f>Dat_02!B336</f>
        <v>44954</v>
      </c>
      <c r="D337" s="224"/>
      <c r="E337" s="226">
        <f>Dat_02!C336</f>
        <v>118.46477353891974</v>
      </c>
      <c r="F337" s="226">
        <f>Dat_02!D336</f>
        <v>119.44455644829111</v>
      </c>
      <c r="G337" s="226">
        <f>Dat_02!E336</f>
        <v>118.46477353891974</v>
      </c>
      <c r="I337" s="227">
        <f>Dat_02!G336</f>
        <v>0</v>
      </c>
      <c r="J337" s="233" t="str">
        <f>IF(Dat_02!H336=0,"",Dat_02!H336)</f>
        <v/>
      </c>
    </row>
    <row r="338" spans="2:10">
      <c r="B338" s="224"/>
      <c r="C338" s="225">
        <f>Dat_02!B337</f>
        <v>44955</v>
      </c>
      <c r="D338" s="224"/>
      <c r="E338" s="226">
        <f>Dat_02!C337</f>
        <v>117.16378841892161</v>
      </c>
      <c r="F338" s="226">
        <f>Dat_02!D337</f>
        <v>119.44455644829111</v>
      </c>
      <c r="G338" s="226">
        <f>Dat_02!E337</f>
        <v>117.16378841892161</v>
      </c>
      <c r="I338" s="227">
        <f>Dat_02!G337</f>
        <v>0</v>
      </c>
      <c r="J338" s="233" t="str">
        <f>IF(Dat_02!H337=0,"",Dat_02!H337)</f>
        <v/>
      </c>
    </row>
    <row r="339" spans="2:10">
      <c r="B339" s="224" t="s">
        <v>207</v>
      </c>
      <c r="C339" s="225">
        <f>Dat_02!B338</f>
        <v>44956</v>
      </c>
      <c r="D339" s="224"/>
      <c r="E339" s="226">
        <f>Dat_02!C338</f>
        <v>167.22598204691789</v>
      </c>
      <c r="F339" s="226">
        <f>Dat_02!D338</f>
        <v>119.44455644829111</v>
      </c>
      <c r="G339" s="226">
        <f>Dat_02!E338</f>
        <v>119.44455644829111</v>
      </c>
      <c r="I339" s="227">
        <f>Dat_02!G338</f>
        <v>0</v>
      </c>
      <c r="J339" s="233" t="str">
        <f>IF(Dat_02!H338=0,"",Dat_02!H338)</f>
        <v/>
      </c>
    </row>
    <row r="340" spans="2:10">
      <c r="B340" s="224"/>
      <c r="C340" s="225">
        <f>Dat_02!B339</f>
        <v>44957</v>
      </c>
      <c r="D340" s="224"/>
      <c r="E340" s="226">
        <f>Dat_02!C339</f>
        <v>156.98586410691601</v>
      </c>
      <c r="F340" s="226">
        <f>Dat_02!D339</f>
        <v>119.44455644829111</v>
      </c>
      <c r="G340" s="226">
        <f>Dat_02!E339</f>
        <v>119.44455644829111</v>
      </c>
      <c r="I340" s="227">
        <f>Dat_02!G339</f>
        <v>0</v>
      </c>
      <c r="J340" s="233" t="str">
        <f>IF(Dat_02!H339=0,"",Dat_02!H339)</f>
        <v/>
      </c>
    </row>
    <row r="341" spans="2:10">
      <c r="B341" s="224"/>
      <c r="C341" s="225">
        <f>Dat_02!B340</f>
        <v>44958</v>
      </c>
      <c r="D341" s="224"/>
      <c r="E341" s="226">
        <f>Dat_02!C340</f>
        <v>109.03309077138364</v>
      </c>
      <c r="F341" s="226">
        <f>Dat_02!D340</f>
        <v>127.90897946252304</v>
      </c>
      <c r="G341" s="226">
        <f>Dat_02!E340</f>
        <v>109.03309077138364</v>
      </c>
      <c r="I341" s="227">
        <f>Dat_02!G340</f>
        <v>0</v>
      </c>
      <c r="J341" s="233" t="str">
        <f>IF(Dat_02!H340=0,"",Dat_02!H340)</f>
        <v/>
      </c>
    </row>
    <row r="342" spans="2:10">
      <c r="B342" s="224"/>
      <c r="C342" s="225">
        <f>Dat_02!B341</f>
        <v>44959</v>
      </c>
      <c r="D342" s="224"/>
      <c r="E342" s="226">
        <f>Dat_02!C341</f>
        <v>110.26363983538177</v>
      </c>
      <c r="F342" s="226">
        <f>Dat_02!D341</f>
        <v>127.90897946252304</v>
      </c>
      <c r="G342" s="226">
        <f>Dat_02!E341</f>
        <v>110.26363983538177</v>
      </c>
      <c r="I342" s="227">
        <f>Dat_02!G341</f>
        <v>0</v>
      </c>
      <c r="J342" s="233" t="str">
        <f>IF(Dat_02!H341=0,"",Dat_02!H341)</f>
        <v/>
      </c>
    </row>
    <row r="343" spans="2:10">
      <c r="B343" s="224"/>
      <c r="C343" s="225">
        <f>Dat_02!B342</f>
        <v>44960</v>
      </c>
      <c r="D343" s="224"/>
      <c r="E343" s="226">
        <f>Dat_02!C342</f>
        <v>114.63091317137805</v>
      </c>
      <c r="F343" s="226">
        <f>Dat_02!D342</f>
        <v>127.90897946252304</v>
      </c>
      <c r="G343" s="226">
        <f>Dat_02!E342</f>
        <v>114.63091317137805</v>
      </c>
      <c r="I343" s="227">
        <f>Dat_02!G342</f>
        <v>0</v>
      </c>
      <c r="J343" s="233" t="str">
        <f>IF(Dat_02!H342=0,"",Dat_02!H342)</f>
        <v/>
      </c>
    </row>
    <row r="344" spans="2:10">
      <c r="B344" s="224"/>
      <c r="C344" s="225">
        <f>Dat_02!B343</f>
        <v>44961</v>
      </c>
      <c r="D344" s="224"/>
      <c r="E344" s="226">
        <f>Dat_02!C343</f>
        <v>66.753752903383628</v>
      </c>
      <c r="F344" s="226">
        <f>Dat_02!D343</f>
        <v>127.90897946252304</v>
      </c>
      <c r="G344" s="226">
        <f>Dat_02!E343</f>
        <v>66.753752903383628</v>
      </c>
      <c r="I344" s="227">
        <f>Dat_02!G343</f>
        <v>0</v>
      </c>
      <c r="J344" s="233" t="str">
        <f>IF(Dat_02!H343=0,"",Dat_02!H343)</f>
        <v/>
      </c>
    </row>
    <row r="345" spans="2:10">
      <c r="B345" s="224"/>
      <c r="C345" s="225">
        <f>Dat_02!B344</f>
        <v>44962</v>
      </c>
      <c r="D345" s="224"/>
      <c r="E345" s="226">
        <f>Dat_02!C344</f>
        <v>34.78218156738177</v>
      </c>
      <c r="F345" s="226">
        <f>Dat_02!D344</f>
        <v>127.90897946252304</v>
      </c>
      <c r="G345" s="226">
        <f>Dat_02!E344</f>
        <v>34.78218156738177</v>
      </c>
      <c r="I345" s="227">
        <f>Dat_02!G344</f>
        <v>0</v>
      </c>
      <c r="J345" s="233" t="str">
        <f>IF(Dat_02!H344=0,"",Dat_02!H344)</f>
        <v/>
      </c>
    </row>
    <row r="346" spans="2:10">
      <c r="B346" s="224"/>
      <c r="C346" s="225">
        <f>Dat_02!B345</f>
        <v>44963</v>
      </c>
      <c r="D346" s="224"/>
      <c r="E346" s="226">
        <f>Dat_02!C345</f>
        <v>54.500162847379904</v>
      </c>
      <c r="F346" s="226">
        <f>Dat_02!D345</f>
        <v>127.90897946252304</v>
      </c>
      <c r="G346" s="226">
        <f>Dat_02!E345</f>
        <v>54.500162847379904</v>
      </c>
      <c r="I346" s="227">
        <f>Dat_02!G345</f>
        <v>0</v>
      </c>
      <c r="J346" s="233" t="str">
        <f>IF(Dat_02!H345=0,"",Dat_02!H345)</f>
        <v/>
      </c>
    </row>
    <row r="347" spans="2:10">
      <c r="B347" s="224"/>
      <c r="C347" s="225">
        <f>Dat_02!B346</f>
        <v>44964</v>
      </c>
      <c r="D347" s="224"/>
      <c r="E347" s="226">
        <f>Dat_02!C346</f>
        <v>98.063543611379913</v>
      </c>
      <c r="F347" s="226">
        <f>Dat_02!D346</f>
        <v>127.90897946252304</v>
      </c>
      <c r="G347" s="226">
        <f>Dat_02!E346</f>
        <v>98.063543611379913</v>
      </c>
      <c r="I347" s="227">
        <f>Dat_02!G346</f>
        <v>0</v>
      </c>
      <c r="J347" s="233" t="str">
        <f>IF(Dat_02!H346=0,"",Dat_02!H346)</f>
        <v/>
      </c>
    </row>
    <row r="348" spans="2:10">
      <c r="B348" s="224"/>
      <c r="C348" s="225">
        <f>Dat_02!B347</f>
        <v>44965</v>
      </c>
      <c r="D348" s="224"/>
      <c r="E348" s="226">
        <f>Dat_02!C347</f>
        <v>105.16722153277999</v>
      </c>
      <c r="F348" s="226">
        <f>Dat_02!D347</f>
        <v>127.90897946252304</v>
      </c>
      <c r="G348" s="226">
        <f>Dat_02!E347</f>
        <v>105.16722153277999</v>
      </c>
      <c r="I348" s="227">
        <f>Dat_02!G347</f>
        <v>0</v>
      </c>
      <c r="J348" s="233" t="str">
        <f>IF(Dat_02!H347=0,"",Dat_02!H347)</f>
        <v/>
      </c>
    </row>
    <row r="349" spans="2:10">
      <c r="B349" s="224"/>
      <c r="C349" s="225">
        <f>Dat_02!B348</f>
        <v>44966</v>
      </c>
      <c r="D349" s="224"/>
      <c r="E349" s="226">
        <f>Dat_02!C348</f>
        <v>89.486015136778136</v>
      </c>
      <c r="F349" s="226">
        <f>Dat_02!D348</f>
        <v>127.90897946252304</v>
      </c>
      <c r="G349" s="226">
        <f>Dat_02!E348</f>
        <v>89.486015136778136</v>
      </c>
      <c r="I349" s="227">
        <f>Dat_02!G348</f>
        <v>0</v>
      </c>
      <c r="J349" s="233" t="str">
        <f>IF(Dat_02!H348=0,"",Dat_02!H348)</f>
        <v/>
      </c>
    </row>
    <row r="350" spans="2:10">
      <c r="B350" s="224"/>
      <c r="C350" s="225">
        <f>Dat_02!B349</f>
        <v>44967</v>
      </c>
      <c r="D350" s="224"/>
      <c r="E350" s="226">
        <f>Dat_02!C349</f>
        <v>92.054752980778133</v>
      </c>
      <c r="F350" s="226">
        <f>Dat_02!D349</f>
        <v>127.90897946252304</v>
      </c>
      <c r="G350" s="226">
        <f>Dat_02!E349</f>
        <v>92.054752980778133</v>
      </c>
      <c r="I350" s="227">
        <f>Dat_02!G349</f>
        <v>0</v>
      </c>
      <c r="J350" s="233" t="str">
        <f>IF(Dat_02!H349=0,"",Dat_02!H349)</f>
        <v/>
      </c>
    </row>
    <row r="351" spans="2:10">
      <c r="B351" s="224"/>
      <c r="C351" s="225">
        <f>Dat_02!B350</f>
        <v>44968</v>
      </c>
      <c r="D351" s="224"/>
      <c r="E351" s="226">
        <f>Dat_02!C350</f>
        <v>63.116028124776278</v>
      </c>
      <c r="F351" s="226">
        <f>Dat_02!D350</f>
        <v>127.90897946252304</v>
      </c>
      <c r="G351" s="226">
        <f>Dat_02!E350</f>
        <v>63.116028124776278</v>
      </c>
      <c r="I351" s="227">
        <f>Dat_02!G350</f>
        <v>0</v>
      </c>
      <c r="J351" s="233" t="str">
        <f>IF(Dat_02!H350=0,"",Dat_02!H350)</f>
        <v/>
      </c>
    </row>
    <row r="352" spans="2:10">
      <c r="B352" s="224"/>
      <c r="C352" s="225">
        <f>Dat_02!B351</f>
        <v>44969</v>
      </c>
      <c r="D352" s="224"/>
      <c r="E352" s="226">
        <f>Dat_02!C351</f>
        <v>58.134459388780002</v>
      </c>
      <c r="F352" s="226">
        <f>Dat_02!D351</f>
        <v>127.90897946252304</v>
      </c>
      <c r="G352" s="226">
        <f>Dat_02!E351</f>
        <v>58.134459388780002</v>
      </c>
      <c r="I352" s="227">
        <f>Dat_02!G351</f>
        <v>0</v>
      </c>
      <c r="J352" s="233" t="str">
        <f>IF(Dat_02!H351=0,"",Dat_02!H351)</f>
        <v/>
      </c>
    </row>
    <row r="353" spans="2:10">
      <c r="B353" s="224"/>
      <c r="C353" s="225">
        <f>Dat_02!B352</f>
        <v>44970</v>
      </c>
      <c r="D353" s="224"/>
      <c r="E353" s="226">
        <f>Dat_02!C352</f>
        <v>73.263080304778143</v>
      </c>
      <c r="F353" s="226">
        <f>Dat_02!D352</f>
        <v>127.90897946252304</v>
      </c>
      <c r="G353" s="226">
        <f>Dat_02!E352</f>
        <v>73.263080304778143</v>
      </c>
      <c r="I353" s="227">
        <f>Dat_02!G352</f>
        <v>0</v>
      </c>
      <c r="J353" s="233" t="str">
        <f>IF(Dat_02!H352=0,"",Dat_02!H352)</f>
        <v/>
      </c>
    </row>
    <row r="354" spans="2:10">
      <c r="B354" s="224"/>
      <c r="C354" s="225">
        <f>Dat_02!B353</f>
        <v>44971</v>
      </c>
      <c r="D354" s="224"/>
      <c r="E354" s="226">
        <f>Dat_02!C353</f>
        <v>62.306540532776268</v>
      </c>
      <c r="F354" s="226">
        <f>Dat_02!D353</f>
        <v>127.90897946252304</v>
      </c>
      <c r="G354" s="226">
        <f>Dat_02!E353</f>
        <v>62.306540532776268</v>
      </c>
      <c r="I354" s="227">
        <f>Dat_02!G353</f>
        <v>0</v>
      </c>
      <c r="J354" s="233" t="str">
        <f>IF(Dat_02!H353=0,"",Dat_02!H353)</f>
        <v/>
      </c>
    </row>
    <row r="355" spans="2:10">
      <c r="B355" s="224"/>
      <c r="C355" s="225">
        <f>Dat_02!B354</f>
        <v>44972</v>
      </c>
      <c r="D355" s="224"/>
      <c r="E355" s="226">
        <f>Dat_02!C354</f>
        <v>73.531928758387934</v>
      </c>
      <c r="F355" s="226">
        <f>Dat_02!D354</f>
        <v>127.90897946252304</v>
      </c>
      <c r="G355" s="226">
        <f>Dat_02!E354</f>
        <v>73.531928758387934</v>
      </c>
      <c r="I355" s="227">
        <f>Dat_02!G354</f>
        <v>127.90897946252304</v>
      </c>
      <c r="J355" s="233" t="str">
        <f>IF(Dat_02!H354=0,"",Dat_02!H354)</f>
        <v/>
      </c>
    </row>
    <row r="356" spans="2:10">
      <c r="B356" s="224"/>
      <c r="C356" s="225">
        <f>Dat_02!B355</f>
        <v>44973</v>
      </c>
      <c r="D356" s="224"/>
      <c r="E356" s="226">
        <f>Dat_02!C355</f>
        <v>76.053243566387934</v>
      </c>
      <c r="F356" s="226">
        <f>Dat_02!D355</f>
        <v>127.90897946252304</v>
      </c>
      <c r="G356" s="226">
        <f>Dat_02!E355</f>
        <v>76.053243566387934</v>
      </c>
      <c r="I356" s="227">
        <f>Dat_02!G355</f>
        <v>0</v>
      </c>
      <c r="J356" s="233" t="str">
        <f>IF(Dat_02!H355=0,"",Dat_02!H355)</f>
        <v/>
      </c>
    </row>
    <row r="357" spans="2:10">
      <c r="B357" s="224"/>
      <c r="C357" s="225">
        <f>Dat_02!B356</f>
        <v>44974</v>
      </c>
      <c r="D357" s="224"/>
      <c r="E357" s="226">
        <f>Dat_02!C356</f>
        <v>60.426528206387943</v>
      </c>
      <c r="F357" s="226">
        <f>Dat_02!D356</f>
        <v>127.90897946252304</v>
      </c>
      <c r="G357" s="226">
        <f>Dat_02!E356</f>
        <v>60.426528206387943</v>
      </c>
      <c r="I357" s="227">
        <f>Dat_02!G356</f>
        <v>0</v>
      </c>
      <c r="J357" s="233" t="str">
        <f>IF(Dat_02!H356=0,"",Dat_02!H356)</f>
        <v/>
      </c>
    </row>
    <row r="358" spans="2:10">
      <c r="B358" s="224"/>
      <c r="C358" s="225">
        <f>Dat_02!B357</f>
        <v>44975</v>
      </c>
      <c r="D358" s="224"/>
      <c r="E358" s="226">
        <f>Dat_02!C357</f>
        <v>55.316475114384218</v>
      </c>
      <c r="F358" s="226">
        <f>Dat_02!D357</f>
        <v>127.90897946252304</v>
      </c>
      <c r="G358" s="226">
        <f>Dat_02!E357</f>
        <v>55.316475114384218</v>
      </c>
      <c r="I358" s="227">
        <f>Dat_02!G357</f>
        <v>0</v>
      </c>
      <c r="J358" s="233" t="str">
        <f>IF(Dat_02!H357=0,"",Dat_02!H357)</f>
        <v/>
      </c>
    </row>
    <row r="359" spans="2:10">
      <c r="B359" s="224"/>
      <c r="C359" s="225">
        <f>Dat_02!B358</f>
        <v>44976</v>
      </c>
      <c r="D359" s="224"/>
      <c r="E359" s="226">
        <f>Dat_02!C358</f>
        <v>46.887263002386071</v>
      </c>
      <c r="F359" s="226">
        <f>Dat_02!D358</f>
        <v>127.90897946252304</v>
      </c>
      <c r="G359" s="226">
        <f>Dat_02!E358</f>
        <v>46.887263002386071</v>
      </c>
      <c r="I359" s="227">
        <f>Dat_02!G358</f>
        <v>0</v>
      </c>
      <c r="J359" s="233" t="str">
        <f>IF(Dat_02!H358=0,"",Dat_02!H358)</f>
        <v/>
      </c>
    </row>
    <row r="360" spans="2:10">
      <c r="B360" s="224"/>
      <c r="C360" s="225">
        <f>Dat_02!B359</f>
        <v>44977</v>
      </c>
      <c r="D360" s="224"/>
      <c r="E360" s="226">
        <f>Dat_02!C359</f>
        <v>55.109618946389801</v>
      </c>
      <c r="F360" s="226">
        <f>Dat_02!D359</f>
        <v>127.90897946252304</v>
      </c>
      <c r="G360" s="226">
        <f>Dat_02!E359</f>
        <v>55.109618946389801</v>
      </c>
      <c r="I360" s="227">
        <f>Dat_02!G359</f>
        <v>0</v>
      </c>
      <c r="J360" s="233" t="str">
        <f>IF(Dat_02!H359=0,"",Dat_02!H359)</f>
        <v/>
      </c>
    </row>
    <row r="361" spans="2:10">
      <c r="B361" s="224"/>
      <c r="C361" s="225">
        <f>Dat_02!B360</f>
        <v>44978</v>
      </c>
      <c r="D361" s="224"/>
      <c r="E361" s="226">
        <f>Dat_02!C360</f>
        <v>69.806273530386065</v>
      </c>
      <c r="F361" s="226">
        <f>Dat_02!D360</f>
        <v>127.90897946252304</v>
      </c>
      <c r="G361" s="226">
        <f>Dat_02!E360</f>
        <v>69.806273530386065</v>
      </c>
      <c r="I361" s="227">
        <f>Dat_02!G360</f>
        <v>0</v>
      </c>
      <c r="J361" s="233" t="str">
        <f>IF(Dat_02!H360=0,"",Dat_02!H360)</f>
        <v/>
      </c>
    </row>
    <row r="362" spans="2:10">
      <c r="B362" s="224"/>
      <c r="C362" s="225">
        <f>Dat_02!B361</f>
        <v>44979</v>
      </c>
      <c r="D362" s="224"/>
      <c r="E362" s="226">
        <f>Dat_02!C361</f>
        <v>79.245709382491881</v>
      </c>
      <c r="F362" s="226">
        <f>Dat_02!D361</f>
        <v>127.90897946252304</v>
      </c>
      <c r="G362" s="226">
        <f>Dat_02!E361</f>
        <v>79.245709382491881</v>
      </c>
      <c r="I362" s="227">
        <f>Dat_02!G361</f>
        <v>0</v>
      </c>
      <c r="J362" s="233" t="str">
        <f>IF(Dat_02!H361=0,"",Dat_02!H361)</f>
        <v/>
      </c>
    </row>
    <row r="363" spans="2:10">
      <c r="B363" s="224"/>
      <c r="C363" s="225">
        <f>Dat_02!B362</f>
        <v>44980</v>
      </c>
      <c r="D363" s="224"/>
      <c r="E363" s="226">
        <f>Dat_02!C362</f>
        <v>71.616866294493732</v>
      </c>
      <c r="F363" s="226">
        <f>Dat_02!D362</f>
        <v>127.90897946252304</v>
      </c>
      <c r="G363" s="226">
        <f>Dat_02!E362</f>
        <v>71.616866294493732</v>
      </c>
      <c r="I363" s="227">
        <f>Dat_02!G362</f>
        <v>0</v>
      </c>
      <c r="J363" s="233" t="str">
        <f>IF(Dat_02!H362=0,"",Dat_02!H362)</f>
        <v/>
      </c>
    </row>
    <row r="364" spans="2:10">
      <c r="B364" s="224"/>
      <c r="C364" s="225">
        <f>Dat_02!B363</f>
        <v>44981</v>
      </c>
      <c r="D364" s="224"/>
      <c r="E364" s="226">
        <f>Dat_02!C363</f>
        <v>87.473997022493748</v>
      </c>
      <c r="F364" s="226">
        <f>Dat_02!D363</f>
        <v>127.90897946252304</v>
      </c>
      <c r="G364" s="226">
        <f>Dat_02!E363</f>
        <v>87.473997022493748</v>
      </c>
      <c r="I364" s="227">
        <f>Dat_02!G363</f>
        <v>0</v>
      </c>
      <c r="J364" s="233" t="str">
        <f>IF(Dat_02!H363=0,"",Dat_02!H363)</f>
        <v/>
      </c>
    </row>
    <row r="365" spans="2:10">
      <c r="B365" s="224"/>
      <c r="C365" s="225">
        <f>Dat_02!B364</f>
        <v>44982</v>
      </c>
      <c r="D365" s="224"/>
      <c r="E365" s="226">
        <f>Dat_02!C364</f>
        <v>78.828305238490017</v>
      </c>
      <c r="F365" s="226">
        <f>Dat_02!D364</f>
        <v>127.90897946252304</v>
      </c>
      <c r="G365" s="226">
        <f>Dat_02!E364</f>
        <v>78.828305238490017</v>
      </c>
      <c r="I365" s="227">
        <f>Dat_02!G364</f>
        <v>0</v>
      </c>
      <c r="J365" s="233" t="str">
        <f>IF(Dat_02!H364=0,"",Dat_02!H364)</f>
        <v/>
      </c>
    </row>
    <row r="366" spans="2:10">
      <c r="B366" s="224"/>
      <c r="C366" s="225">
        <f>Dat_02!B365</f>
        <v>44983</v>
      </c>
      <c r="D366" s="224"/>
      <c r="E366" s="226">
        <f>Dat_02!C365</f>
        <v>40.052989714493741</v>
      </c>
      <c r="F366" s="226">
        <f>Dat_02!D365</f>
        <v>127.90897946252304</v>
      </c>
      <c r="G366" s="226">
        <f>Dat_02!E365</f>
        <v>40.052989714493741</v>
      </c>
      <c r="I366" s="227">
        <f>Dat_02!G365</f>
        <v>0</v>
      </c>
      <c r="J366" s="233" t="str">
        <f>IF(Dat_02!H365=0,"",Dat_02!H365)</f>
        <v/>
      </c>
    </row>
    <row r="367" spans="2:10">
      <c r="B367" s="224"/>
      <c r="C367" s="225">
        <f>Dat_02!B366</f>
        <v>44984</v>
      </c>
      <c r="D367" s="224"/>
      <c r="E367" s="226">
        <f>Dat_02!C366</f>
        <v>41.832245766493749</v>
      </c>
      <c r="F367" s="226">
        <f>Dat_02!D366</f>
        <v>127.90897946252304</v>
      </c>
      <c r="G367" s="226">
        <f>Dat_02!E366</f>
        <v>41.832245766493749</v>
      </c>
      <c r="I367" s="227">
        <f>Dat_02!G366</f>
        <v>0</v>
      </c>
      <c r="J367" s="233" t="str">
        <f>IF(Dat_02!H366=0,"",Dat_02!H366)</f>
        <v/>
      </c>
    </row>
    <row r="368" spans="2:10">
      <c r="B368" s="224"/>
      <c r="C368" s="225">
        <f>Dat_02!B367</f>
        <v>44985</v>
      </c>
      <c r="D368" s="224"/>
      <c r="E368" s="226">
        <f>Dat_02!C367</f>
        <v>59.689216074493743</v>
      </c>
      <c r="F368" s="226">
        <f>Dat_02!D367</f>
        <v>127.90897946252304</v>
      </c>
      <c r="G368" s="226">
        <f>Dat_02!E367</f>
        <v>59.689216074493743</v>
      </c>
      <c r="I368" s="227">
        <f>Dat_02!G367</f>
        <v>0</v>
      </c>
      <c r="J368" s="233" t="str">
        <f>IF(Dat_02!H367=0,"",Dat_02!H367)</f>
        <v/>
      </c>
    </row>
    <row r="369" spans="2:10">
      <c r="B369" s="224" t="s">
        <v>210</v>
      </c>
      <c r="C369" s="225">
        <f>Dat_02!B368</f>
        <v>44986</v>
      </c>
      <c r="D369" s="224"/>
      <c r="E369" s="226">
        <f>Dat_02!C368</f>
        <v>63.845889240687391</v>
      </c>
      <c r="F369" s="226">
        <f>Dat_02!D368</f>
        <v>128.17187118314504</v>
      </c>
      <c r="G369" s="226">
        <f>Dat_02!E368</f>
        <v>63.845889240687391</v>
      </c>
      <c r="I369" s="227">
        <f>Dat_02!G368</f>
        <v>0</v>
      </c>
      <c r="J369" s="233" t="str">
        <f>IF(Dat_02!H368=0,"",Dat_02!H368)</f>
        <v/>
      </c>
    </row>
    <row r="370" spans="2:10">
      <c r="B370" s="224"/>
      <c r="C370" s="225">
        <f>Dat_02!B369</f>
        <v>44987</v>
      </c>
      <c r="D370" s="224"/>
      <c r="E370" s="226">
        <f>Dat_02!C369</f>
        <v>65.594713584685536</v>
      </c>
      <c r="F370" s="226">
        <f>Dat_02!D369</f>
        <v>128.17187118314504</v>
      </c>
      <c r="G370" s="226">
        <f>Dat_02!E369</f>
        <v>65.594713584685536</v>
      </c>
      <c r="I370" s="227">
        <f>Dat_02!G369</f>
        <v>0</v>
      </c>
      <c r="J370" s="233" t="str">
        <f>IF(Dat_02!H369=0,"",Dat_02!H369)</f>
        <v/>
      </c>
    </row>
    <row r="371" spans="2:10">
      <c r="B371" s="224"/>
      <c r="C371" s="225">
        <f>Dat_02!B370</f>
        <v>44988</v>
      </c>
      <c r="D371" s="224"/>
      <c r="E371" s="226">
        <f>Dat_02!C370</f>
        <v>63.735669172687395</v>
      </c>
      <c r="F371" s="226">
        <f>Dat_02!D370</f>
        <v>128.17187118314504</v>
      </c>
      <c r="G371" s="226">
        <f>Dat_02!E370</f>
        <v>63.735669172687395</v>
      </c>
      <c r="I371" s="227">
        <f>Dat_02!G370</f>
        <v>0</v>
      </c>
      <c r="J371" s="233" t="str">
        <f>IF(Dat_02!H370=0,"",Dat_02!H370)</f>
        <v/>
      </c>
    </row>
    <row r="372" spans="2:10">
      <c r="B372" s="224"/>
      <c r="C372" s="225">
        <f>Dat_02!B371</f>
        <v>44989</v>
      </c>
      <c r="D372" s="224"/>
      <c r="E372" s="226">
        <f>Dat_02!C371</f>
        <v>68.749519408687391</v>
      </c>
      <c r="F372" s="226">
        <f>Dat_02!D371</f>
        <v>128.17187118314504</v>
      </c>
      <c r="G372" s="226">
        <f>Dat_02!E371</f>
        <v>68.749519408687391</v>
      </c>
      <c r="I372" s="227">
        <f>Dat_02!G371</f>
        <v>0</v>
      </c>
      <c r="J372" s="233" t="str">
        <f>IF(Dat_02!H371=0,"",Dat_02!H371)</f>
        <v/>
      </c>
    </row>
    <row r="373" spans="2:10">
      <c r="B373" s="224"/>
      <c r="C373" s="225">
        <f>Dat_02!B372</f>
        <v>44990</v>
      </c>
      <c r="D373" s="224"/>
      <c r="E373" s="226">
        <f>Dat_02!C372</f>
        <v>73.192417176687385</v>
      </c>
      <c r="F373" s="226">
        <f>Dat_02!D372</f>
        <v>128.17187118314504</v>
      </c>
      <c r="G373" s="226">
        <f>Dat_02!E372</f>
        <v>73.192417176687385</v>
      </c>
      <c r="I373" s="227">
        <f>Dat_02!G372</f>
        <v>0</v>
      </c>
      <c r="J373" s="233" t="str">
        <f>IF(Dat_02!H372=0,"",Dat_02!H372)</f>
        <v/>
      </c>
    </row>
    <row r="374" spans="2:10">
      <c r="B374" s="224"/>
      <c r="C374" s="225">
        <f>Dat_02!B373</f>
        <v>44991</v>
      </c>
      <c r="D374" s="224"/>
      <c r="E374" s="226">
        <f>Dat_02!C373</f>
        <v>65.045856980683681</v>
      </c>
      <c r="F374" s="226">
        <f>Dat_02!D373</f>
        <v>128.17187118314504</v>
      </c>
      <c r="G374" s="226">
        <f>Dat_02!E373</f>
        <v>65.045856980683681</v>
      </c>
      <c r="I374" s="227">
        <f>Dat_02!G373</f>
        <v>0</v>
      </c>
      <c r="J374" s="233" t="str">
        <f>IF(Dat_02!H373=0,"",Dat_02!H373)</f>
        <v/>
      </c>
    </row>
    <row r="375" spans="2:10">
      <c r="B375" s="224"/>
      <c r="C375" s="225">
        <f>Dat_02!B374</f>
        <v>44992</v>
      </c>
      <c r="D375" s="224"/>
      <c r="E375" s="226">
        <f>Dat_02!C374</f>
        <v>29.680922709689256</v>
      </c>
      <c r="F375" s="226">
        <f>Dat_02!D374</f>
        <v>128.17187118314504</v>
      </c>
      <c r="G375" s="226">
        <f>Dat_02!E374</f>
        <v>29.680922709689256</v>
      </c>
      <c r="I375" s="227">
        <f>Dat_02!G374</f>
        <v>0</v>
      </c>
      <c r="J375" s="233" t="str">
        <f>IF(Dat_02!H374=0,"",Dat_02!H374)</f>
        <v/>
      </c>
    </row>
    <row r="376" spans="2:10">
      <c r="B376" s="224"/>
      <c r="C376" s="225">
        <f>Dat_02!B375</f>
        <v>44993</v>
      </c>
      <c r="D376" s="224"/>
      <c r="E376" s="226">
        <f>Dat_02!C375</f>
        <v>84.243647918236263</v>
      </c>
      <c r="F376" s="226">
        <f>Dat_02!D375</f>
        <v>128.17187118314504</v>
      </c>
      <c r="G376" s="226">
        <f>Dat_02!E375</f>
        <v>84.243647918236263</v>
      </c>
      <c r="I376" s="227">
        <f>Dat_02!G375</f>
        <v>0</v>
      </c>
      <c r="J376" s="233" t="str">
        <f>IF(Dat_02!H375=0,"",Dat_02!H375)</f>
        <v/>
      </c>
    </row>
    <row r="377" spans="2:10">
      <c r="B377" s="224"/>
      <c r="C377" s="225">
        <f>Dat_02!B376</f>
        <v>44994</v>
      </c>
      <c r="D377" s="224"/>
      <c r="E377" s="226">
        <f>Dat_02!C376</f>
        <v>81.759938380236278</v>
      </c>
      <c r="F377" s="226">
        <f>Dat_02!D376</f>
        <v>128.17187118314504</v>
      </c>
      <c r="G377" s="226">
        <f>Dat_02!E376</f>
        <v>81.759938380236278</v>
      </c>
      <c r="I377" s="227">
        <f>Dat_02!G376</f>
        <v>0</v>
      </c>
      <c r="J377" s="233" t="str">
        <f>IF(Dat_02!H376=0,"",Dat_02!H376)</f>
        <v/>
      </c>
    </row>
    <row r="378" spans="2:10">
      <c r="B378" s="224"/>
      <c r="C378" s="225">
        <f>Dat_02!B377</f>
        <v>44995</v>
      </c>
      <c r="D378" s="224"/>
      <c r="E378" s="226">
        <f>Dat_02!C377</f>
        <v>75.292607818238125</v>
      </c>
      <c r="F378" s="226">
        <f>Dat_02!D377</f>
        <v>128.17187118314504</v>
      </c>
      <c r="G378" s="226">
        <f>Dat_02!E377</f>
        <v>75.292607818238125</v>
      </c>
      <c r="I378" s="227">
        <f>Dat_02!G377</f>
        <v>0</v>
      </c>
      <c r="J378" s="233" t="str">
        <f>IF(Dat_02!H377=0,"",Dat_02!H377)</f>
        <v/>
      </c>
    </row>
    <row r="379" spans="2:10">
      <c r="B379" s="224"/>
      <c r="C379" s="225">
        <f>Dat_02!B378</f>
        <v>44996</v>
      </c>
      <c r="D379" s="224"/>
      <c r="E379" s="226">
        <f>Dat_02!C378</f>
        <v>73.712334547238129</v>
      </c>
      <c r="F379" s="226">
        <f>Dat_02!D378</f>
        <v>128.17187118314504</v>
      </c>
      <c r="G379" s="226">
        <f>Dat_02!E378</f>
        <v>73.712334547238129</v>
      </c>
      <c r="I379" s="227">
        <f>Dat_02!G378</f>
        <v>0</v>
      </c>
      <c r="J379" s="233" t="str">
        <f>IF(Dat_02!H378=0,"",Dat_02!H378)</f>
        <v/>
      </c>
    </row>
    <row r="380" spans="2:10">
      <c r="B380" s="224"/>
      <c r="C380" s="225">
        <f>Dat_02!B379</f>
        <v>44997</v>
      </c>
      <c r="D380" s="224"/>
      <c r="E380" s="226">
        <f>Dat_02!C379</f>
        <v>92.286320339236269</v>
      </c>
      <c r="F380" s="226">
        <f>Dat_02!D379</f>
        <v>128.17187118314504</v>
      </c>
      <c r="G380" s="226">
        <f>Dat_02!E379</f>
        <v>92.286320339236269</v>
      </c>
      <c r="I380" s="227">
        <f>Dat_02!G379</f>
        <v>0</v>
      </c>
      <c r="J380" s="233" t="str">
        <f>IF(Dat_02!H379=0,"",Dat_02!H379)</f>
        <v/>
      </c>
    </row>
    <row r="381" spans="2:10">
      <c r="B381" s="224"/>
      <c r="C381" s="225">
        <f>Dat_02!B380</f>
        <v>44998</v>
      </c>
      <c r="D381" s="224"/>
      <c r="E381" s="226">
        <f>Dat_02!C380</f>
        <v>82.872276331234403</v>
      </c>
      <c r="F381" s="226">
        <f>Dat_02!D380</f>
        <v>128.17187118314504</v>
      </c>
      <c r="G381" s="226">
        <f>Dat_02!E380</f>
        <v>82.872276331234403</v>
      </c>
      <c r="I381" s="227">
        <f>Dat_02!G380</f>
        <v>0</v>
      </c>
      <c r="J381" s="233" t="str">
        <f>IF(Dat_02!H380=0,"",Dat_02!H380)</f>
        <v/>
      </c>
    </row>
    <row r="382" spans="2:10">
      <c r="B382" s="224"/>
      <c r="C382" s="225">
        <f>Dat_02!B381</f>
        <v>44999</v>
      </c>
      <c r="D382" s="224"/>
      <c r="E382" s="226">
        <f>Dat_02!C381</f>
        <v>92.154447647236253</v>
      </c>
      <c r="F382" s="226">
        <f>Dat_02!D381</f>
        <v>128.17187118314504</v>
      </c>
      <c r="G382" s="226">
        <f>Dat_02!E381</f>
        <v>92.154447647236253</v>
      </c>
      <c r="I382" s="227">
        <f>Dat_02!G381</f>
        <v>0</v>
      </c>
      <c r="J382" s="233" t="str">
        <f>IF(Dat_02!H381=0,"",Dat_02!H381)</f>
        <v/>
      </c>
    </row>
    <row r="383" spans="2:10">
      <c r="B383" s="224"/>
      <c r="C383" s="225">
        <f>Dat_02!B382</f>
        <v>45000</v>
      </c>
      <c r="D383" s="224"/>
      <c r="E383" s="226">
        <f>Dat_02!C382</f>
        <v>124.34518904481936</v>
      </c>
      <c r="F383" s="226">
        <f>Dat_02!D382</f>
        <v>128.17187118314504</v>
      </c>
      <c r="G383" s="226">
        <f>Dat_02!E382</f>
        <v>124.34518904481936</v>
      </c>
      <c r="I383" s="227">
        <f>Dat_02!G382</f>
        <v>128.17187118314504</v>
      </c>
      <c r="J383" s="233" t="str">
        <f>IF(Dat_02!H382=0,"",Dat_02!H382)</f>
        <v/>
      </c>
    </row>
    <row r="384" spans="2:10">
      <c r="B384" s="224"/>
      <c r="C384" s="225">
        <f>Dat_02!B383</f>
        <v>45001</v>
      </c>
      <c r="D384" s="224"/>
      <c r="E384" s="226">
        <f>Dat_02!C383</f>
        <v>95.956148556819358</v>
      </c>
      <c r="F384" s="226">
        <f>Dat_02!D383</f>
        <v>128.17187118314504</v>
      </c>
      <c r="G384" s="226">
        <f>Dat_02!E383</f>
        <v>95.956148556819358</v>
      </c>
      <c r="I384" s="227">
        <f>Dat_02!G383</f>
        <v>0</v>
      </c>
      <c r="J384" s="233" t="str">
        <f>IF(Dat_02!H383=0,"",Dat_02!H383)</f>
        <v/>
      </c>
    </row>
    <row r="385" spans="2:10">
      <c r="B385" s="224"/>
      <c r="C385" s="225">
        <f>Dat_02!B384</f>
        <v>45002</v>
      </c>
      <c r="D385" s="224"/>
      <c r="E385" s="226">
        <f>Dat_02!C384</f>
        <v>91.613632812819361</v>
      </c>
      <c r="F385" s="226">
        <f>Dat_02!D384</f>
        <v>128.17187118314504</v>
      </c>
      <c r="G385" s="226">
        <f>Dat_02!E384</f>
        <v>91.613632812819361</v>
      </c>
      <c r="I385" s="227">
        <f>Dat_02!G384</f>
        <v>0</v>
      </c>
      <c r="J385" s="233" t="str">
        <f>IF(Dat_02!H384=0,"",Dat_02!H384)</f>
        <v/>
      </c>
    </row>
    <row r="386" spans="2:10">
      <c r="B386" s="224"/>
      <c r="C386" s="225">
        <f>Dat_02!B385</f>
        <v>45003</v>
      </c>
      <c r="D386" s="224"/>
      <c r="E386" s="226">
        <f>Dat_02!C385</f>
        <v>103.17959691681936</v>
      </c>
      <c r="F386" s="226">
        <f>Dat_02!D385</f>
        <v>128.17187118314504</v>
      </c>
      <c r="G386" s="226">
        <f>Dat_02!E385</f>
        <v>103.17959691681936</v>
      </c>
      <c r="I386" s="227">
        <f>Dat_02!G385</f>
        <v>0</v>
      </c>
      <c r="J386" s="233" t="str">
        <f>IF(Dat_02!H385=0,"",Dat_02!H385)</f>
        <v/>
      </c>
    </row>
    <row r="387" spans="2:10">
      <c r="B387" s="224"/>
      <c r="C387" s="225">
        <f>Dat_02!B386</f>
        <v>45004</v>
      </c>
      <c r="D387" s="224"/>
      <c r="E387" s="226">
        <f>Dat_02!C386</f>
        <v>95.411051064821223</v>
      </c>
      <c r="F387" s="226">
        <f>Dat_02!D386</f>
        <v>128.17187118314504</v>
      </c>
      <c r="G387" s="226">
        <f>Dat_02!E386</f>
        <v>95.411051064821223</v>
      </c>
      <c r="I387" s="227">
        <f>Dat_02!G386</f>
        <v>0</v>
      </c>
      <c r="J387" s="233" t="str">
        <f>IF(Dat_02!H386=0,"",Dat_02!H386)</f>
        <v/>
      </c>
    </row>
    <row r="388" spans="2:10">
      <c r="B388" s="224"/>
      <c r="C388" s="225">
        <f>Dat_02!B387</f>
        <v>45005</v>
      </c>
      <c r="D388" s="224"/>
      <c r="E388" s="226">
        <f>Dat_02!C387</f>
        <v>113.2834192728175</v>
      </c>
      <c r="F388" s="226">
        <f>Dat_02!D387</f>
        <v>128.17187118314504</v>
      </c>
      <c r="G388" s="226">
        <f>Dat_02!E387</f>
        <v>113.2834192728175</v>
      </c>
      <c r="I388" s="227">
        <f>Dat_02!G387</f>
        <v>0</v>
      </c>
      <c r="J388" s="233" t="str">
        <f>IF(Dat_02!H387=0,"",Dat_02!H387)</f>
        <v/>
      </c>
    </row>
    <row r="389" spans="2:10">
      <c r="B389" s="224"/>
      <c r="C389" s="225">
        <f>Dat_02!B388</f>
        <v>45006</v>
      </c>
      <c r="D389" s="224"/>
      <c r="E389" s="226">
        <f>Dat_02!C388</f>
        <v>112.77105030081937</v>
      </c>
      <c r="F389" s="226">
        <f>Dat_02!D388</f>
        <v>128.17187118314504</v>
      </c>
      <c r="G389" s="226">
        <f>Dat_02!E388</f>
        <v>112.77105030081937</v>
      </c>
      <c r="I389" s="227">
        <f>Dat_02!G388</f>
        <v>0</v>
      </c>
      <c r="J389" s="233" t="str">
        <f>IF(Dat_02!H388=0,"",Dat_02!H388)</f>
        <v/>
      </c>
    </row>
    <row r="390" spans="2:10">
      <c r="B390" s="224"/>
      <c r="C390" s="225">
        <f>Dat_02!B389</f>
        <v>45007</v>
      </c>
      <c r="D390" s="224"/>
      <c r="E390" s="226">
        <f>Dat_02!C389</f>
        <v>85.567416835179571</v>
      </c>
      <c r="F390" s="226">
        <f>Dat_02!D389</f>
        <v>128.17187118314504</v>
      </c>
      <c r="G390" s="226">
        <f>Dat_02!E389</f>
        <v>85.567416835179571</v>
      </c>
      <c r="I390" s="227">
        <f>Dat_02!G389</f>
        <v>0</v>
      </c>
      <c r="J390" s="233" t="str">
        <f>IF(Dat_02!H389=0,"",Dat_02!H389)</f>
        <v/>
      </c>
    </row>
    <row r="391" spans="2:10">
      <c r="B391" s="224"/>
      <c r="C391" s="225">
        <f>Dat_02!B390</f>
        <v>45008</v>
      </c>
      <c r="D391" s="224"/>
      <c r="E391" s="226">
        <f>Dat_02!C390</f>
        <v>75.413188003183294</v>
      </c>
      <c r="F391" s="226">
        <f>Dat_02!D390</f>
        <v>128.17187118314504</v>
      </c>
      <c r="G391" s="226">
        <f>Dat_02!E390</f>
        <v>75.413188003183294</v>
      </c>
      <c r="I391" s="227">
        <f>Dat_02!G390</f>
        <v>0</v>
      </c>
      <c r="J391" s="233" t="str">
        <f>IF(Dat_02!H390=0,"",Dat_02!H390)</f>
        <v/>
      </c>
    </row>
    <row r="392" spans="2:10">
      <c r="B392" s="224"/>
      <c r="C392" s="225">
        <f>Dat_02!B391</f>
        <v>45009</v>
      </c>
      <c r="D392" s="224"/>
      <c r="E392" s="226">
        <f>Dat_02!C391</f>
        <v>72.71037366717772</v>
      </c>
      <c r="F392" s="226">
        <f>Dat_02!D391</f>
        <v>128.17187118314504</v>
      </c>
      <c r="G392" s="226">
        <f>Dat_02!E391</f>
        <v>72.71037366717772</v>
      </c>
      <c r="I392" s="227">
        <f>Dat_02!G391</f>
        <v>0</v>
      </c>
      <c r="J392" s="233" t="str">
        <f>IF(Dat_02!H391=0,"",Dat_02!H391)</f>
        <v/>
      </c>
    </row>
    <row r="393" spans="2:10">
      <c r="B393" s="224"/>
      <c r="C393" s="225">
        <f>Dat_02!B392</f>
        <v>45010</v>
      </c>
      <c r="D393" s="224"/>
      <c r="E393" s="226">
        <f>Dat_02!C392</f>
        <v>62.063371844181432</v>
      </c>
      <c r="F393" s="226">
        <f>Dat_02!D392</f>
        <v>128.17187118314504</v>
      </c>
      <c r="G393" s="226">
        <f>Dat_02!E392</f>
        <v>62.063371844181432</v>
      </c>
      <c r="I393" s="227">
        <f>Dat_02!G392</f>
        <v>0</v>
      </c>
      <c r="J393" s="233" t="str">
        <f>IF(Dat_02!H392=0,"",Dat_02!H392)</f>
        <v/>
      </c>
    </row>
    <row r="394" spans="2:10">
      <c r="B394" s="224"/>
      <c r="C394" s="225">
        <f>Dat_02!B393</f>
        <v>45011</v>
      </c>
      <c r="D394" s="224"/>
      <c r="E394" s="226">
        <f>Dat_02!C393</f>
        <v>47.909107123179574</v>
      </c>
      <c r="F394" s="226">
        <f>Dat_02!D393</f>
        <v>128.17187118314504</v>
      </c>
      <c r="G394" s="226">
        <f>Dat_02!E393</f>
        <v>47.909107123179574</v>
      </c>
      <c r="I394" s="227">
        <f>Dat_02!G393</f>
        <v>0</v>
      </c>
      <c r="J394" s="233" t="str">
        <f>IF(Dat_02!H393=0,"",Dat_02!H393)</f>
        <v/>
      </c>
    </row>
    <row r="395" spans="2:10">
      <c r="B395" s="224"/>
      <c r="C395" s="225">
        <f>Dat_02!B394</f>
        <v>45012</v>
      </c>
      <c r="D395" s="224"/>
      <c r="E395" s="226">
        <f>Dat_02!C394</f>
        <v>85.160162743181445</v>
      </c>
      <c r="F395" s="226">
        <f>Dat_02!D394</f>
        <v>128.17187118314504</v>
      </c>
      <c r="G395" s="226">
        <f>Dat_02!E394</f>
        <v>85.160162743181445</v>
      </c>
      <c r="I395" s="227">
        <f>Dat_02!G394</f>
        <v>0</v>
      </c>
      <c r="J395" s="233" t="str">
        <f>IF(Dat_02!H394=0,"",Dat_02!H394)</f>
        <v/>
      </c>
    </row>
    <row r="396" spans="2:10">
      <c r="B396" s="224"/>
      <c r="C396" s="225">
        <f>Dat_02!B395</f>
        <v>45013</v>
      </c>
      <c r="D396" s="224"/>
      <c r="E396" s="226">
        <f>Dat_02!C395</f>
        <v>98.305163666181443</v>
      </c>
      <c r="F396" s="226">
        <f>Dat_02!D395</f>
        <v>128.17187118314504</v>
      </c>
      <c r="G396" s="226">
        <f>Dat_02!E395</f>
        <v>98.305163666181443</v>
      </c>
      <c r="I396" s="227">
        <f>Dat_02!G395</f>
        <v>0</v>
      </c>
      <c r="J396" s="233" t="str">
        <f>IF(Dat_02!H395=0,"",Dat_02!H395)</f>
        <v/>
      </c>
    </row>
    <row r="397" spans="2:10">
      <c r="B397" s="224"/>
      <c r="C397" s="225">
        <f>Dat_02!B396</f>
        <v>45014</v>
      </c>
      <c r="D397" s="224"/>
      <c r="E397" s="226">
        <f>Dat_02!C396</f>
        <v>64.599935202706135</v>
      </c>
      <c r="F397" s="226">
        <f>Dat_02!D396</f>
        <v>128.17187118314504</v>
      </c>
      <c r="G397" s="226">
        <f>Dat_02!E396</f>
        <v>64.599935202706135</v>
      </c>
      <c r="I397" s="227">
        <f>Dat_02!G396</f>
        <v>0</v>
      </c>
      <c r="J397" s="233" t="str">
        <f>IF(Dat_02!H396=0,"",Dat_02!H396)</f>
        <v/>
      </c>
    </row>
    <row r="398" spans="2:10">
      <c r="B398" s="224"/>
      <c r="C398" s="225">
        <f>Dat_02!B397</f>
        <v>45015</v>
      </c>
      <c r="D398" s="224"/>
      <c r="E398" s="226">
        <f>Dat_02!C397</f>
        <v>58.873206382707991</v>
      </c>
      <c r="F398" s="226">
        <f>Dat_02!D397</f>
        <v>128.17187118314504</v>
      </c>
      <c r="G398" s="226">
        <f>Dat_02!E397</f>
        <v>58.873206382707991</v>
      </c>
      <c r="I398" s="227">
        <f>Dat_02!G397</f>
        <v>0</v>
      </c>
      <c r="J398" s="233" t="str">
        <f>IF(Dat_02!H397=0,"",Dat_02!H397)</f>
        <v/>
      </c>
    </row>
    <row r="399" spans="2:10">
      <c r="B399" s="224"/>
      <c r="C399" s="225">
        <f>Dat_02!B398</f>
        <v>45016</v>
      </c>
      <c r="D399" s="224"/>
      <c r="E399" s="226">
        <f>Dat_02!C398</f>
        <v>53.17528535570986</v>
      </c>
      <c r="F399" s="226">
        <f>Dat_02!D398</f>
        <v>128.17187118314504</v>
      </c>
      <c r="G399" s="226">
        <f>Dat_02!E398</f>
        <v>53.17528535570986</v>
      </c>
      <c r="I399" s="227">
        <f>Dat_02!G398</f>
        <v>0</v>
      </c>
      <c r="J399" s="233" t="str">
        <f>IF(Dat_02!H398=0,"",Dat_02!H398)</f>
        <v/>
      </c>
    </row>
    <row r="400" spans="2:10">
      <c r="B400" s="229"/>
      <c r="C400" s="230"/>
      <c r="D400" s="231"/>
      <c r="E400" s="231"/>
      <c r="F400" s="231"/>
      <c r="G400" s="231"/>
      <c r="I400" s="227">
        <f>Dat_02!G399</f>
        <v>0</v>
      </c>
      <c r="J400" s="148"/>
    </row>
    <row r="401" spans="2:10">
      <c r="B401" s="148"/>
      <c r="C401" s="148"/>
      <c r="D401" s="148"/>
      <c r="E401" s="232"/>
      <c r="F401" s="232"/>
      <c r="G401" s="153"/>
      <c r="H401" s="148"/>
      <c r="I401" s="228"/>
      <c r="J401" s="148"/>
    </row>
    <row r="402" spans="2:10">
      <c r="B402" s="148"/>
      <c r="C402" s="148"/>
      <c r="D402" s="148"/>
      <c r="E402" s="232"/>
      <c r="F402" s="232"/>
      <c r="G402" s="153"/>
      <c r="H402" s="148"/>
      <c r="I402" s="228"/>
      <c r="J402" s="148"/>
    </row>
    <row r="403" spans="2:10">
      <c r="B403" s="148"/>
      <c r="C403" s="148"/>
      <c r="D403" s="148"/>
      <c r="E403" s="232"/>
      <c r="F403" s="232"/>
      <c r="G403" s="153"/>
      <c r="H403" s="148"/>
      <c r="I403" s="228"/>
      <c r="J403" s="148"/>
    </row>
    <row r="404" spans="2:10">
      <c r="B404" s="148"/>
      <c r="C404" s="148"/>
      <c r="D404" s="148"/>
      <c r="E404" s="232"/>
      <c r="F404" s="232"/>
      <c r="G404" s="153"/>
      <c r="H404" s="148"/>
      <c r="I404" s="228"/>
      <c r="J404" s="148"/>
    </row>
    <row r="405" spans="2:10">
      <c r="B405" s="148"/>
      <c r="C405" s="148"/>
      <c r="D405" s="148"/>
      <c r="E405" s="232"/>
      <c r="F405" s="232"/>
      <c r="G405" s="153"/>
      <c r="H405" s="148"/>
      <c r="I405" s="228"/>
      <c r="J405" s="148"/>
    </row>
    <row r="406" spans="2:10">
      <c r="B406" s="148"/>
      <c r="C406" s="148"/>
      <c r="D406" s="148"/>
      <c r="E406" s="232"/>
      <c r="F406" s="232"/>
      <c r="G406" s="153"/>
      <c r="H406" s="148"/>
      <c r="I406" s="228"/>
      <c r="J406" s="148"/>
    </row>
    <row r="407" spans="2:10">
      <c r="B407" s="148"/>
      <c r="C407" s="148"/>
      <c r="D407" s="148"/>
      <c r="E407" s="232"/>
      <c r="F407" s="232"/>
      <c r="G407" s="153"/>
      <c r="H407" s="148"/>
      <c r="I407" s="228"/>
      <c r="J407" s="148"/>
    </row>
    <row r="408" spans="2:10">
      <c r="B408" s="148"/>
      <c r="C408" s="148"/>
      <c r="D408" s="148"/>
      <c r="E408" s="232"/>
      <c r="F408" s="232"/>
      <c r="G408" s="153"/>
      <c r="H408" s="148"/>
      <c r="I408" s="228"/>
      <c r="J408" s="148"/>
    </row>
    <row r="409" spans="2:10">
      <c r="B409" s="148"/>
      <c r="C409" s="148"/>
      <c r="D409" s="148"/>
      <c r="E409" s="232"/>
      <c r="F409" s="232"/>
      <c r="G409" s="153"/>
      <c r="H409" s="148"/>
      <c r="I409" s="228"/>
      <c r="J409" s="148"/>
    </row>
    <row r="410" spans="2:10">
      <c r="B410" s="148"/>
      <c r="C410" s="148"/>
      <c r="D410" s="148"/>
      <c r="E410" s="232"/>
      <c r="F410" s="232"/>
      <c r="G410" s="153"/>
      <c r="H410" s="148"/>
      <c r="I410" s="228"/>
      <c r="J410" s="148"/>
    </row>
    <row r="411" spans="2:10">
      <c r="B411" s="148"/>
      <c r="C411" s="148"/>
      <c r="D411" s="148"/>
      <c r="E411" s="232"/>
      <c r="F411" s="232"/>
      <c r="G411" s="153"/>
      <c r="H411" s="148"/>
      <c r="I411" s="228"/>
      <c r="J411" s="148"/>
    </row>
    <row r="412" spans="2:10">
      <c r="B412" s="148"/>
      <c r="C412" s="148"/>
      <c r="D412" s="148"/>
      <c r="E412" s="232"/>
      <c r="F412" s="232"/>
      <c r="G412" s="153"/>
      <c r="H412" s="148"/>
      <c r="I412" s="228"/>
      <c r="J412" s="148"/>
    </row>
    <row r="413" spans="2:10">
      <c r="B413" s="148"/>
      <c r="C413" s="148"/>
      <c r="D413" s="148"/>
      <c r="E413" s="232"/>
      <c r="F413" s="232"/>
      <c r="G413" s="153"/>
      <c r="H413" s="148"/>
      <c r="I413" s="228"/>
      <c r="J413" s="148"/>
    </row>
    <row r="414" spans="2:10">
      <c r="B414" s="148"/>
      <c r="C414" s="148"/>
      <c r="D414" s="148"/>
      <c r="E414" s="232"/>
      <c r="F414" s="232"/>
      <c r="G414" s="153"/>
      <c r="H414" s="148"/>
      <c r="I414" s="228"/>
      <c r="J414" s="148"/>
    </row>
    <row r="415" spans="2:10">
      <c r="B415" s="148"/>
      <c r="C415" s="148"/>
      <c r="D415" s="148"/>
      <c r="E415" s="232"/>
      <c r="F415" s="232"/>
      <c r="G415" s="153"/>
      <c r="H415" s="148"/>
      <c r="I415" s="228"/>
      <c r="J415" s="148"/>
    </row>
    <row r="416" spans="2:10">
      <c r="B416" s="148"/>
      <c r="C416" s="148"/>
      <c r="D416" s="148"/>
      <c r="E416" s="232"/>
      <c r="F416" s="232"/>
      <c r="G416" s="153"/>
      <c r="H416" s="148"/>
      <c r="I416" s="228"/>
      <c r="J416" s="148"/>
    </row>
    <row r="417" spans="2:10">
      <c r="B417" s="148"/>
      <c r="C417" s="148"/>
      <c r="D417" s="148"/>
      <c r="E417" s="232"/>
      <c r="F417" s="232"/>
      <c r="G417" s="153"/>
      <c r="H417" s="148"/>
      <c r="I417" s="228"/>
      <c r="J417" s="148"/>
    </row>
    <row r="418" spans="2:10">
      <c r="B418" s="148"/>
      <c r="C418" s="148"/>
      <c r="D418" s="148"/>
      <c r="E418" s="232"/>
      <c r="F418" s="232"/>
      <c r="G418" s="153"/>
      <c r="H418" s="148"/>
      <c r="I418" s="228"/>
      <c r="J418" s="148"/>
    </row>
    <row r="419" spans="2:10">
      <c r="B419" s="148"/>
      <c r="C419" s="148"/>
      <c r="D419" s="148"/>
      <c r="E419" s="232"/>
      <c r="F419" s="232"/>
      <c r="G419" s="153"/>
      <c r="H419" s="148"/>
      <c r="I419" s="228"/>
      <c r="J419" s="148"/>
    </row>
    <row r="420" spans="2:10">
      <c r="B420" s="148"/>
      <c r="C420" s="148"/>
      <c r="D420" s="148"/>
      <c r="E420" s="232"/>
      <c r="F420" s="232"/>
      <c r="G420" s="153"/>
      <c r="H420" s="148"/>
      <c r="I420" s="228"/>
      <c r="J420" s="148"/>
    </row>
    <row r="421" spans="2:10">
      <c r="B421" s="148"/>
      <c r="C421" s="148"/>
      <c r="D421" s="148"/>
      <c r="E421" s="232"/>
      <c r="F421" s="232"/>
      <c r="G421" s="153"/>
      <c r="H421" s="148"/>
      <c r="I421" s="228"/>
      <c r="J421" s="148"/>
    </row>
    <row r="422" spans="2:10">
      <c r="B422" s="148"/>
      <c r="C422" s="148"/>
      <c r="D422" s="148"/>
      <c r="E422" s="232"/>
      <c r="F422" s="232"/>
      <c r="G422" s="153"/>
      <c r="H422" s="148"/>
      <c r="I422" s="228"/>
      <c r="J422" s="148"/>
    </row>
    <row r="423" spans="2:10">
      <c r="B423" s="148"/>
      <c r="C423" s="148"/>
      <c r="D423" s="148"/>
      <c r="E423" s="232"/>
      <c r="F423" s="232"/>
      <c r="G423" s="153"/>
      <c r="H423" s="148"/>
      <c r="I423" s="228"/>
      <c r="J423" s="148"/>
    </row>
    <row r="424" spans="2:10">
      <c r="B424" s="148"/>
      <c r="C424" s="148"/>
      <c r="D424" s="148"/>
      <c r="E424" s="232"/>
      <c r="F424" s="232"/>
      <c r="G424" s="153"/>
      <c r="H424" s="148"/>
      <c r="I424" s="228"/>
      <c r="J424" s="148"/>
    </row>
    <row r="425" spans="2:10">
      <c r="B425" s="148"/>
      <c r="C425" s="148"/>
      <c r="D425" s="148"/>
      <c r="E425" s="232"/>
      <c r="F425" s="232"/>
      <c r="G425" s="153"/>
      <c r="H425" s="148"/>
      <c r="I425" s="228"/>
      <c r="J425" s="148"/>
    </row>
    <row r="426" spans="2:10">
      <c r="B426" s="148"/>
      <c r="C426" s="148"/>
      <c r="D426" s="148"/>
      <c r="E426" s="232"/>
      <c r="F426" s="232"/>
      <c r="G426" s="153"/>
      <c r="H426" s="148"/>
      <c r="I426" s="228"/>
      <c r="J426" s="148"/>
    </row>
    <row r="427" spans="2:10">
      <c r="B427" s="148"/>
      <c r="C427" s="148"/>
      <c r="D427" s="148"/>
      <c r="E427" s="232"/>
      <c r="F427" s="232"/>
      <c r="G427" s="153"/>
      <c r="H427" s="148"/>
      <c r="I427" s="228"/>
      <c r="J427" s="148"/>
    </row>
    <row r="428" spans="2:10">
      <c r="B428" s="148"/>
      <c r="C428" s="148"/>
      <c r="D428" s="148"/>
      <c r="E428" s="232"/>
      <c r="F428" s="232"/>
      <c r="G428" s="153"/>
      <c r="H428" s="148"/>
      <c r="I428" s="228"/>
      <c r="J428" s="148"/>
    </row>
    <row r="429" spans="2:10">
      <c r="B429" s="148"/>
      <c r="C429" s="148"/>
      <c r="D429" s="148"/>
      <c r="E429" s="232"/>
      <c r="F429" s="232"/>
      <c r="G429" s="153"/>
      <c r="H429" s="148"/>
      <c r="I429" s="228"/>
      <c r="J429" s="148"/>
    </row>
    <row r="430" spans="2:10">
      <c r="B430" s="148"/>
      <c r="C430" s="148"/>
      <c r="D430" s="148"/>
      <c r="E430" s="232"/>
      <c r="F430" s="232"/>
      <c r="G430" s="153"/>
      <c r="H430" s="148"/>
      <c r="I430" s="228"/>
      <c r="J430" s="148"/>
    </row>
    <row r="431" spans="2:10">
      <c r="B431" s="148"/>
      <c r="C431" s="148"/>
      <c r="D431" s="148"/>
      <c r="E431" s="232"/>
      <c r="F431" s="232"/>
      <c r="G431" s="153"/>
      <c r="H431" s="148"/>
      <c r="I431" s="228"/>
      <c r="J431" s="148"/>
    </row>
    <row r="432" spans="2:10">
      <c r="C432" s="148"/>
      <c r="D432" s="148"/>
      <c r="E432" s="232"/>
      <c r="F432" s="232"/>
      <c r="G432" s="153"/>
    </row>
    <row r="433" spans="3:7">
      <c r="C433" s="148"/>
      <c r="D433" s="148"/>
      <c r="E433" s="232"/>
      <c r="F433" s="232"/>
      <c r="G433" s="153"/>
    </row>
    <row r="434" spans="3:7">
      <c r="C434" s="148"/>
      <c r="D434" s="148"/>
      <c r="E434" s="232"/>
      <c r="F434" s="232"/>
      <c r="G434" s="153"/>
    </row>
    <row r="435" spans="3:7">
      <c r="C435" s="148"/>
      <c r="D435" s="148"/>
      <c r="E435" s="232"/>
      <c r="F435" s="232"/>
      <c r="G435" s="153"/>
    </row>
    <row r="436" spans="3:7">
      <c r="C436" s="148"/>
      <c r="D436" s="148"/>
      <c r="E436" s="232"/>
      <c r="F436" s="232"/>
      <c r="G436" s="153"/>
    </row>
    <row r="437" spans="3:7">
      <c r="C437" s="148"/>
      <c r="D437" s="148"/>
      <c r="E437" s="232"/>
      <c r="F437" s="232"/>
      <c r="G437" s="153"/>
    </row>
    <row r="438" spans="3:7">
      <c r="C438" s="148"/>
      <c r="D438" s="148"/>
      <c r="E438" s="232"/>
      <c r="F438" s="232"/>
      <c r="G438" s="153"/>
    </row>
    <row r="439" spans="3:7">
      <c r="C439" s="148"/>
      <c r="D439" s="148"/>
      <c r="E439" s="232"/>
      <c r="F439" s="232"/>
      <c r="G439" s="153"/>
    </row>
    <row r="440" spans="3:7">
      <c r="C440" s="148"/>
      <c r="D440" s="148"/>
      <c r="E440" s="232"/>
      <c r="F440" s="232"/>
      <c r="G440" s="153"/>
    </row>
    <row r="441" spans="3:7">
      <c r="C441" s="148"/>
      <c r="D441" s="148"/>
      <c r="E441" s="232"/>
      <c r="F441" s="232"/>
      <c r="G441" s="153"/>
    </row>
    <row r="442" spans="3:7">
      <c r="C442" s="148"/>
      <c r="D442" s="148"/>
      <c r="E442" s="232"/>
      <c r="F442" s="232"/>
      <c r="G442" s="153"/>
    </row>
    <row r="443" spans="3:7">
      <c r="C443" s="148"/>
      <c r="D443" s="148"/>
      <c r="E443" s="232"/>
      <c r="F443" s="232"/>
      <c r="G443" s="153"/>
    </row>
    <row r="444" spans="3:7">
      <c r="C444" s="148"/>
      <c r="D444" s="148"/>
      <c r="E444" s="232"/>
      <c r="F444" s="232"/>
      <c r="G444" s="153"/>
    </row>
    <row r="445" spans="3:7">
      <c r="C445" s="148"/>
      <c r="D445" s="148"/>
      <c r="E445" s="232"/>
      <c r="F445" s="232"/>
      <c r="G445" s="153"/>
    </row>
    <row r="446" spans="3:7">
      <c r="C446" s="148"/>
      <c r="D446" s="148"/>
      <c r="E446" s="232"/>
      <c r="F446" s="232"/>
      <c r="G446" s="153"/>
    </row>
    <row r="447" spans="3:7">
      <c r="C447" s="148"/>
      <c r="D447" s="148"/>
      <c r="E447" s="232"/>
      <c r="F447" s="232"/>
      <c r="G447" s="153"/>
    </row>
    <row r="448" spans="3:7">
      <c r="C448" s="148"/>
      <c r="D448" s="148"/>
      <c r="E448" s="232"/>
      <c r="F448" s="232"/>
      <c r="G448" s="153"/>
    </row>
    <row r="449" spans="3:7">
      <c r="C449" s="148"/>
      <c r="D449" s="148"/>
      <c r="E449" s="232"/>
      <c r="F449" s="232"/>
      <c r="G449" s="153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240</v>
      </c>
    </row>
    <row r="2" spans="1:2">
      <c r="A2" t="s">
        <v>232</v>
      </c>
    </row>
    <row r="3" spans="1:2">
      <c r="A3" t="s">
        <v>228</v>
      </c>
    </row>
    <row r="4" spans="1:2">
      <c r="A4" t="s">
        <v>235</v>
      </c>
    </row>
    <row r="5" spans="1:2">
      <c r="A5" t="s">
        <v>238</v>
      </c>
    </row>
    <row r="6" spans="1:2">
      <c r="A6" t="s">
        <v>236</v>
      </c>
    </row>
    <row r="7" spans="1:2">
      <c r="A7" t="s">
        <v>234</v>
      </c>
    </row>
    <row r="8" spans="1:2">
      <c r="A8" t="s">
        <v>227</v>
      </c>
    </row>
    <row r="9" spans="1:2">
      <c r="A9" t="s">
        <v>241</v>
      </c>
    </row>
    <row r="10" spans="1:2">
      <c r="A10" t="s">
        <v>239</v>
      </c>
    </row>
    <row r="11" spans="1:2">
      <c r="A11" t="s">
        <v>180</v>
      </c>
    </row>
    <row r="12" spans="1:2">
      <c r="A12" t="s">
        <v>230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V80"/>
  <sheetViews>
    <sheetView showGridLines="0" topLeftCell="A32" zoomScale="90" zoomScaleNormal="90" workbookViewId="0">
      <selection activeCell="J55" sqref="J55"/>
    </sheetView>
  </sheetViews>
  <sheetFormatPr baseColWidth="10" defaultColWidth="11.42578125" defaultRowHeight="11.25"/>
  <cols>
    <col min="1" max="1" width="11.42578125" style="104"/>
    <col min="2" max="2" width="20" style="104" bestFit="1" customWidth="1"/>
    <col min="3" max="16384" width="11.42578125" style="104"/>
  </cols>
  <sheetData>
    <row r="2" spans="2:22">
      <c r="B2" s="143" t="s">
        <v>41</v>
      </c>
    </row>
    <row r="3" spans="2:22">
      <c r="B3" s="146"/>
      <c r="C3" s="146"/>
      <c r="D3" s="147"/>
      <c r="E3" s="147" t="s">
        <v>35</v>
      </c>
      <c r="F3" s="327" t="s">
        <v>36</v>
      </c>
      <c r="G3" s="327"/>
      <c r="H3" s="327"/>
      <c r="I3" s="148"/>
    </row>
    <row r="4" spans="2:22">
      <c r="B4" s="149"/>
      <c r="C4" s="149"/>
      <c r="D4" s="150" t="s">
        <v>37</v>
      </c>
      <c r="E4" s="150" t="s">
        <v>38</v>
      </c>
      <c r="F4" s="150" t="s">
        <v>21</v>
      </c>
      <c r="G4" s="150" t="s">
        <v>39</v>
      </c>
      <c r="H4" s="150" t="s">
        <v>68</v>
      </c>
      <c r="I4" s="150" t="s">
        <v>40</v>
      </c>
    </row>
    <row r="5" spans="2:22">
      <c r="B5" s="154">
        <v>2019</v>
      </c>
      <c r="C5" s="155" t="s">
        <v>94</v>
      </c>
      <c r="D5" s="151">
        <v>8071.161100088786</v>
      </c>
      <c r="E5" s="152">
        <v>18538.071</v>
      </c>
      <c r="F5" s="152">
        <v>13020.290870750003</v>
      </c>
      <c r="G5" s="152">
        <v>5449.8113076999989</v>
      </c>
      <c r="H5" s="152">
        <v>9388.9296029958969</v>
      </c>
      <c r="I5" s="153">
        <f t="shared" ref="I5:I40" si="0">D5/E5*100</f>
        <v>43.538300722274641</v>
      </c>
      <c r="P5" s="263"/>
      <c r="Q5" s="263"/>
      <c r="R5" s="263"/>
      <c r="S5" s="263"/>
      <c r="T5" s="263"/>
      <c r="U5" s="263"/>
      <c r="V5" s="263"/>
    </row>
    <row r="6" spans="2:22">
      <c r="B6" s="264"/>
      <c r="C6" s="155" t="s">
        <v>86</v>
      </c>
      <c r="D6" s="151">
        <v>8866.4553178437</v>
      </c>
      <c r="E6" s="152">
        <v>18538.071</v>
      </c>
      <c r="F6" s="152">
        <v>13213.723010049996</v>
      </c>
      <c r="G6" s="152">
        <v>5542.2838559499978</v>
      </c>
      <c r="H6" s="152">
        <v>9889.1240943879329</v>
      </c>
      <c r="I6" s="153">
        <f t="shared" si="0"/>
        <v>47.828359907801087</v>
      </c>
      <c r="P6" s="263"/>
      <c r="Q6" s="263"/>
      <c r="R6" s="263"/>
      <c r="S6" s="263"/>
      <c r="T6" s="263"/>
    </row>
    <row r="7" spans="2:22">
      <c r="B7" s="264"/>
      <c r="C7" s="155" t="s">
        <v>87</v>
      </c>
      <c r="D7" s="151">
        <v>8992.1477604144093</v>
      </c>
      <c r="E7" s="152">
        <v>18538.071</v>
      </c>
      <c r="F7" s="152">
        <v>13690.625142599998</v>
      </c>
      <c r="G7" s="152">
        <v>5759.1679040999989</v>
      </c>
      <c r="H7" s="152">
        <v>10570.14772097053</v>
      </c>
      <c r="I7" s="153">
        <f t="shared" si="0"/>
        <v>48.506383217619621</v>
      </c>
      <c r="P7" s="263"/>
      <c r="Q7" s="263"/>
      <c r="R7" s="263"/>
      <c r="S7" s="263"/>
      <c r="T7" s="263"/>
    </row>
    <row r="8" spans="2:22">
      <c r="B8" s="264"/>
      <c r="C8" s="155" t="s">
        <v>88</v>
      </c>
      <c r="D8" s="151">
        <v>9541.0680132165635</v>
      </c>
      <c r="E8" s="152">
        <v>18538.071</v>
      </c>
      <c r="F8" s="152">
        <v>13853.30312085</v>
      </c>
      <c r="G8" s="152">
        <v>7055.2102049999985</v>
      </c>
      <c r="H8" s="152">
        <v>11183.148309133439</v>
      </c>
      <c r="I8" s="153">
        <f t="shared" si="0"/>
        <v>51.467426212881392</v>
      </c>
      <c r="P8" s="263"/>
      <c r="Q8" s="263"/>
      <c r="R8" s="263"/>
      <c r="S8" s="263"/>
      <c r="T8" s="263"/>
    </row>
    <row r="9" spans="2:22">
      <c r="B9" s="264"/>
      <c r="C9" s="155" t="s">
        <v>87</v>
      </c>
      <c r="D9" s="151">
        <v>9882.00640542582</v>
      </c>
      <c r="E9" s="152">
        <v>18538.071</v>
      </c>
      <c r="F9" s="152">
        <v>14075.916087449999</v>
      </c>
      <c r="G9" s="152">
        <v>7043.3783189999976</v>
      </c>
      <c r="H9" s="152">
        <v>11397.034267874862</v>
      </c>
      <c r="I9" s="153">
        <f t="shared" si="0"/>
        <v>53.306551719571146</v>
      </c>
      <c r="P9" s="263"/>
      <c r="Q9" s="263"/>
      <c r="R9" s="263"/>
      <c r="S9" s="263"/>
      <c r="T9" s="263"/>
    </row>
    <row r="10" spans="2:22">
      <c r="B10" s="264"/>
      <c r="C10" s="155" t="s">
        <v>89</v>
      </c>
      <c r="D10" s="151">
        <v>9327.57464738616</v>
      </c>
      <c r="E10" s="152">
        <v>18538.071</v>
      </c>
      <c r="F10" s="152">
        <v>13746.724281450002</v>
      </c>
      <c r="G10" s="152">
        <v>6538.4545967989416</v>
      </c>
      <c r="H10" s="152">
        <v>10842.690741399472</v>
      </c>
      <c r="I10" s="153">
        <f t="shared" si="0"/>
        <v>50.315777986750398</v>
      </c>
      <c r="P10" s="263"/>
      <c r="Q10" s="263"/>
      <c r="R10" s="263"/>
      <c r="S10" s="263"/>
      <c r="T10" s="263"/>
    </row>
    <row r="11" spans="2:22">
      <c r="B11" s="264"/>
      <c r="C11" s="155" t="s">
        <v>89</v>
      </c>
      <c r="D11" s="151">
        <v>8160.8349135743301</v>
      </c>
      <c r="E11" s="152">
        <v>18538.071</v>
      </c>
      <c r="F11" s="152">
        <v>12260.387398049996</v>
      </c>
      <c r="G11" s="152">
        <v>5677.4335971347564</v>
      </c>
      <c r="H11" s="152">
        <v>9738.8161322836859</v>
      </c>
      <c r="I11" s="153">
        <f t="shared" si="0"/>
        <v>44.022028578778936</v>
      </c>
      <c r="P11" s="263"/>
      <c r="Q11" s="263"/>
      <c r="R11" s="263"/>
      <c r="S11" s="263"/>
      <c r="T11" s="263"/>
    </row>
    <row r="12" spans="2:22">
      <c r="B12" s="264"/>
      <c r="C12" s="155" t="s">
        <v>88</v>
      </c>
      <c r="D12" s="151">
        <v>7263.6708853984701</v>
      </c>
      <c r="E12" s="152">
        <v>18538.071</v>
      </c>
      <c r="F12" s="152">
        <v>10934.703078450004</v>
      </c>
      <c r="G12" s="152">
        <v>4963.102723832124</v>
      </c>
      <c r="H12" s="152">
        <v>8674.1946441437685</v>
      </c>
      <c r="I12" s="153">
        <f t="shared" si="0"/>
        <v>39.182452615476933</v>
      </c>
      <c r="P12" s="263"/>
      <c r="Q12" s="263"/>
      <c r="R12" s="263"/>
      <c r="S12" s="263"/>
      <c r="T12" s="263"/>
    </row>
    <row r="13" spans="2:22">
      <c r="B13" s="264"/>
      <c r="C13" s="155" t="s">
        <v>90</v>
      </c>
      <c r="D13" s="151">
        <v>6466.33274064748</v>
      </c>
      <c r="E13" s="152">
        <v>18538.071</v>
      </c>
      <c r="F13" s="152">
        <v>10145.245921199999</v>
      </c>
      <c r="G13" s="152">
        <v>4679.6100847773832</v>
      </c>
      <c r="H13" s="152">
        <v>7914.693031672703</v>
      </c>
      <c r="I13" s="153">
        <f t="shared" si="0"/>
        <v>34.881367865337658</v>
      </c>
      <c r="P13" s="263"/>
      <c r="Q13" s="263"/>
      <c r="R13" s="263"/>
      <c r="S13" s="263"/>
      <c r="T13" s="263"/>
    </row>
    <row r="14" spans="2:22">
      <c r="B14" s="264"/>
      <c r="C14" s="155" t="s">
        <v>91</v>
      </c>
      <c r="D14" s="151">
        <v>6358.0428308198098</v>
      </c>
      <c r="E14" s="152">
        <v>18538.071</v>
      </c>
      <c r="F14" s="152">
        <v>9771.2920444499996</v>
      </c>
      <c r="G14" s="152">
        <v>4419.3227575624023</v>
      </c>
      <c r="H14" s="152">
        <v>7790.0287429473083</v>
      </c>
      <c r="I14" s="153">
        <f t="shared" si="0"/>
        <v>34.29721911637845</v>
      </c>
      <c r="P14" s="263"/>
      <c r="Q14" s="263"/>
      <c r="R14" s="263"/>
      <c r="S14" s="263"/>
      <c r="T14" s="263"/>
    </row>
    <row r="15" spans="2:22">
      <c r="B15" s="264"/>
      <c r="C15" s="155" t="s">
        <v>92</v>
      </c>
      <c r="D15" s="151">
        <v>7808.1870513850999</v>
      </c>
      <c r="E15" s="152">
        <v>18538.071</v>
      </c>
      <c r="F15" s="152">
        <v>11172.260412899997</v>
      </c>
      <c r="G15" s="152">
        <v>4800.2412517000002</v>
      </c>
      <c r="H15" s="152">
        <v>8146.8772984649422</v>
      </c>
      <c r="I15" s="153">
        <f t="shared" si="0"/>
        <v>42.119738625367766</v>
      </c>
      <c r="P15" s="263"/>
      <c r="Q15" s="263"/>
      <c r="R15" s="263"/>
      <c r="S15" s="263"/>
      <c r="T15" s="263"/>
    </row>
    <row r="16" spans="2:22">
      <c r="B16" s="264"/>
      <c r="C16" s="155" t="s">
        <v>93</v>
      </c>
      <c r="D16" s="151">
        <v>9451.9329261671392</v>
      </c>
      <c r="E16" s="152">
        <v>18538.071</v>
      </c>
      <c r="F16" s="152">
        <v>13395.083468899993</v>
      </c>
      <c r="G16" s="152">
        <v>5326.3089624999975</v>
      </c>
      <c r="H16" s="152">
        <v>8613.6806204130498</v>
      </c>
      <c r="I16" s="153">
        <f t="shared" si="0"/>
        <v>50.986604410821059</v>
      </c>
      <c r="P16" s="263"/>
      <c r="Q16" s="263"/>
      <c r="R16" s="263"/>
      <c r="S16" s="263"/>
      <c r="T16" s="263"/>
    </row>
    <row r="17" spans="2:20">
      <c r="B17" s="154">
        <v>2020</v>
      </c>
      <c r="C17" s="155" t="s">
        <v>94</v>
      </c>
      <c r="D17" s="151">
        <v>10203.8438416341</v>
      </c>
      <c r="E17" s="152">
        <v>18538.071</v>
      </c>
      <c r="F17" s="152">
        <v>13025.278086900002</v>
      </c>
      <c r="G17" s="152">
        <v>5458.8831046999985</v>
      </c>
      <c r="H17" s="152">
        <v>9322.7080025003343</v>
      </c>
      <c r="I17" s="153">
        <f t="shared" si="0"/>
        <v>55.042640853161586</v>
      </c>
      <c r="P17" s="263"/>
      <c r="Q17" s="263"/>
      <c r="R17" s="263"/>
      <c r="S17" s="263"/>
      <c r="T17" s="263"/>
    </row>
    <row r="18" spans="2:20">
      <c r="B18" s="264"/>
      <c r="C18" s="155" t="s">
        <v>86</v>
      </c>
      <c r="D18" s="151">
        <v>10293.721620606701</v>
      </c>
      <c r="E18" s="152">
        <v>18538.071</v>
      </c>
      <c r="F18" s="152">
        <v>13282.205454749997</v>
      </c>
      <c r="G18" s="152">
        <v>5560.4723572999983</v>
      </c>
      <c r="H18" s="152">
        <v>9851.4627672801198</v>
      </c>
      <c r="I18" s="153">
        <f t="shared" si="0"/>
        <v>55.52746896161257</v>
      </c>
      <c r="P18" s="263"/>
      <c r="Q18" s="263"/>
      <c r="R18" s="263"/>
      <c r="S18" s="263"/>
      <c r="T18" s="263"/>
    </row>
    <row r="19" spans="2:20">
      <c r="B19" s="264"/>
      <c r="C19" s="155" t="s">
        <v>87</v>
      </c>
      <c r="D19" s="151">
        <v>10922.4629058602</v>
      </c>
      <c r="E19" s="152">
        <v>18538.071</v>
      </c>
      <c r="F19" s="152">
        <v>13779.121679499998</v>
      </c>
      <c r="G19" s="152">
        <v>5822.9730064499981</v>
      </c>
      <c r="H19" s="152">
        <v>10516.451776491249</v>
      </c>
      <c r="I19" s="153">
        <f t="shared" si="0"/>
        <v>58.919090912210883</v>
      </c>
      <c r="P19" s="263"/>
      <c r="Q19" s="263"/>
      <c r="R19" s="263"/>
      <c r="S19" s="263"/>
      <c r="T19" s="263"/>
    </row>
    <row r="20" spans="2:20">
      <c r="B20" s="264"/>
      <c r="C20" s="155" t="s">
        <v>88</v>
      </c>
      <c r="D20" s="151">
        <v>12482.965359777099</v>
      </c>
      <c r="E20" s="152">
        <v>18538.071</v>
      </c>
      <c r="F20" s="152">
        <v>13901.975652950001</v>
      </c>
      <c r="G20" s="152">
        <v>7108.0951499999992</v>
      </c>
      <c r="H20" s="152">
        <v>11159.497806794267</v>
      </c>
      <c r="I20" s="153">
        <f t="shared" si="0"/>
        <v>67.336916337072509</v>
      </c>
      <c r="P20" s="263"/>
      <c r="Q20" s="263"/>
      <c r="R20" s="263"/>
      <c r="S20" s="263"/>
      <c r="T20" s="263"/>
    </row>
    <row r="21" spans="2:20">
      <c r="B21" s="264"/>
      <c r="C21" s="155" t="s">
        <v>87</v>
      </c>
      <c r="D21" s="151">
        <v>12968.344471210001</v>
      </c>
      <c r="E21" s="152">
        <v>18538.071</v>
      </c>
      <c r="F21" s="152">
        <v>14115.337503700002</v>
      </c>
      <c r="G21" s="152">
        <v>7120.6441199999972</v>
      </c>
      <c r="H21" s="152">
        <v>11373.399940146151</v>
      </c>
      <c r="I21" s="153">
        <f t="shared" si="0"/>
        <v>69.955199066882429</v>
      </c>
      <c r="P21" s="263"/>
      <c r="Q21" s="263"/>
      <c r="R21" s="263"/>
      <c r="S21" s="263"/>
      <c r="T21" s="263"/>
    </row>
    <row r="22" spans="2:20">
      <c r="B22" s="264"/>
      <c r="C22" s="155" t="s">
        <v>89</v>
      </c>
      <c r="D22" s="151">
        <v>12284.2351167291</v>
      </c>
      <c r="E22" s="152">
        <v>18538.071</v>
      </c>
      <c r="F22" s="152">
        <v>13804.115890500001</v>
      </c>
      <c r="G22" s="152">
        <v>6599.0676786489421</v>
      </c>
      <c r="H22" s="152">
        <v>10842.247789768779</v>
      </c>
      <c r="I22" s="153">
        <f t="shared" si="0"/>
        <v>66.26490489074672</v>
      </c>
      <c r="P22" s="263"/>
      <c r="Q22" s="263"/>
      <c r="R22" s="263"/>
      <c r="S22" s="263"/>
      <c r="T22" s="263"/>
    </row>
    <row r="23" spans="2:20">
      <c r="B23" s="264"/>
      <c r="C23" s="155" t="s">
        <v>89</v>
      </c>
      <c r="D23" s="151">
        <v>11078.2673362971</v>
      </c>
      <c r="E23" s="152">
        <v>18538.071</v>
      </c>
      <c r="F23" s="152">
        <v>12335.885264499995</v>
      </c>
      <c r="G23" s="152">
        <v>5738.8141714184449</v>
      </c>
      <c r="H23" s="152">
        <v>9747.2628189624047</v>
      </c>
      <c r="I23" s="153">
        <f t="shared" si="0"/>
        <v>59.75954745397781</v>
      </c>
      <c r="P23" s="263"/>
      <c r="Q23" s="263"/>
      <c r="R23" s="263"/>
      <c r="S23" s="263"/>
      <c r="T23" s="263"/>
    </row>
    <row r="24" spans="2:20">
      <c r="B24" s="264"/>
      <c r="C24" s="155" t="s">
        <v>88</v>
      </c>
      <c r="D24" s="151">
        <v>9493.5710276489899</v>
      </c>
      <c r="E24" s="152">
        <v>18538.071</v>
      </c>
      <c r="F24" s="152">
        <v>11008.379514400005</v>
      </c>
      <c r="G24" s="152">
        <v>5016.2080297901548</v>
      </c>
      <c r="H24" s="152">
        <v>8682.152701913692</v>
      </c>
      <c r="I24" s="153">
        <f t="shared" si="0"/>
        <v>51.211213009427951</v>
      </c>
      <c r="P24" s="263"/>
      <c r="Q24" s="263"/>
      <c r="R24" s="263"/>
      <c r="S24" s="263"/>
      <c r="T24" s="263"/>
    </row>
    <row r="25" spans="2:20">
      <c r="B25" s="264"/>
      <c r="C25" s="155" t="s">
        <v>90</v>
      </c>
      <c r="D25" s="151">
        <v>8414.2036093792703</v>
      </c>
      <c r="E25" s="152">
        <v>18538.071</v>
      </c>
      <c r="F25" s="152">
        <v>10216.987657999998</v>
      </c>
      <c r="G25" s="152">
        <v>4709.6077613773832</v>
      </c>
      <c r="H25" s="152">
        <v>7899.635656205076</v>
      </c>
      <c r="I25" s="153">
        <f t="shared" si="0"/>
        <v>45.388776477225008</v>
      </c>
      <c r="P25" s="263"/>
      <c r="Q25" s="263"/>
      <c r="R25" s="263"/>
      <c r="S25" s="263"/>
      <c r="T25" s="263"/>
    </row>
    <row r="26" spans="2:20">
      <c r="B26" s="264"/>
      <c r="C26" s="155" t="s">
        <v>91</v>
      </c>
      <c r="D26" s="151">
        <v>8468.7189392685304</v>
      </c>
      <c r="E26" s="152">
        <v>18538.071</v>
      </c>
      <c r="F26" s="152">
        <v>9860.0850484999992</v>
      </c>
      <c r="G26" s="152">
        <v>4443.1848832624037</v>
      </c>
      <c r="H26" s="152">
        <v>7706.6327509883004</v>
      </c>
      <c r="I26" s="153">
        <f t="shared" si="0"/>
        <v>45.6828487671049</v>
      </c>
      <c r="P26" s="263"/>
      <c r="Q26" s="263"/>
      <c r="R26" s="263"/>
      <c r="S26" s="263"/>
      <c r="T26" s="263"/>
    </row>
    <row r="27" spans="2:20">
      <c r="B27" s="264"/>
      <c r="C27" s="155" t="s">
        <v>92</v>
      </c>
      <c r="D27" s="151">
        <v>8407.9337983359892</v>
      </c>
      <c r="E27" s="152">
        <v>18538.071</v>
      </c>
      <c r="F27" s="152">
        <v>11197.565775799998</v>
      </c>
      <c r="G27" s="152">
        <v>4806.2059127499997</v>
      </c>
      <c r="H27" s="152">
        <v>8149.1649360341953</v>
      </c>
      <c r="I27" s="153">
        <f t="shared" si="0"/>
        <v>45.354955207238064</v>
      </c>
      <c r="P27" s="263"/>
      <c r="Q27" s="263"/>
      <c r="R27" s="263"/>
      <c r="S27" s="263"/>
      <c r="T27" s="263"/>
    </row>
    <row r="28" spans="2:20">
      <c r="B28" s="264"/>
      <c r="C28" s="155" t="s">
        <v>93</v>
      </c>
      <c r="D28" s="151">
        <v>9418.9304168690905</v>
      </c>
      <c r="E28" s="152">
        <v>18538.071</v>
      </c>
      <c r="F28" s="152">
        <v>13334.108503349993</v>
      </c>
      <c r="G28" s="152">
        <v>5321.2928717999985</v>
      </c>
      <c r="H28" s="152">
        <v>8688.9230952214075</v>
      </c>
      <c r="I28" s="153">
        <f t="shared" si="0"/>
        <v>50.808578826076833</v>
      </c>
      <c r="P28" s="263"/>
      <c r="Q28" s="263"/>
      <c r="R28" s="263"/>
      <c r="S28" s="263"/>
      <c r="T28" s="263"/>
    </row>
    <row r="29" spans="2:20">
      <c r="B29" s="154">
        <v>2021</v>
      </c>
      <c r="C29" s="155" t="s">
        <v>94</v>
      </c>
      <c r="D29" s="151">
        <v>9758.5157368181899</v>
      </c>
      <c r="E29" s="152">
        <v>18538.071</v>
      </c>
      <c r="F29" s="152">
        <v>13030.265303050002</v>
      </c>
      <c r="G29" s="152">
        <v>5467.9549016999981</v>
      </c>
      <c r="H29" s="152">
        <v>9460.7335985820428</v>
      </c>
      <c r="I29" s="153">
        <f t="shared" si="0"/>
        <v>52.640405448971414</v>
      </c>
      <c r="P29" s="263"/>
      <c r="Q29" s="263"/>
      <c r="R29" s="263"/>
      <c r="S29" s="263"/>
      <c r="T29" s="263"/>
    </row>
    <row r="30" spans="2:20">
      <c r="B30" s="264"/>
      <c r="C30" s="155" t="s">
        <v>86</v>
      </c>
      <c r="D30" s="151">
        <v>12661.5058106672</v>
      </c>
      <c r="E30" s="152">
        <v>18538.071</v>
      </c>
      <c r="F30" s="152">
        <v>13350.687899449997</v>
      </c>
      <c r="G30" s="152">
        <v>5578.6608586499988</v>
      </c>
      <c r="H30" s="152">
        <v>10003.035437810451</v>
      </c>
      <c r="I30" s="153">
        <f t="shared" si="0"/>
        <v>68.300017896507143</v>
      </c>
      <c r="P30" s="263"/>
      <c r="Q30" s="263"/>
      <c r="R30" s="263"/>
      <c r="S30" s="263"/>
      <c r="T30" s="263"/>
    </row>
    <row r="31" spans="2:20">
      <c r="B31" s="264"/>
      <c r="C31" s="155" t="s">
        <v>87</v>
      </c>
      <c r="D31" s="151">
        <v>12144.926731958538</v>
      </c>
      <c r="E31" s="152">
        <v>18538.071</v>
      </c>
      <c r="F31" s="152">
        <v>13867.618216399997</v>
      </c>
      <c r="G31" s="152">
        <v>5886.7781087999983</v>
      </c>
      <c r="H31" s="152">
        <v>10720.346582784256</v>
      </c>
      <c r="I31" s="153">
        <f t="shared" si="0"/>
        <v>65.513433042513086</v>
      </c>
      <c r="P31" s="263"/>
      <c r="Q31" s="263"/>
      <c r="R31" s="263"/>
      <c r="S31" s="263"/>
      <c r="T31" s="263"/>
    </row>
    <row r="32" spans="2:20">
      <c r="B32" s="264"/>
      <c r="C32" s="155" t="s">
        <v>88</v>
      </c>
      <c r="D32" s="151">
        <v>11299.1892331082</v>
      </c>
      <c r="E32" s="152">
        <v>18538.071</v>
      </c>
      <c r="F32" s="152">
        <v>13950.648185050002</v>
      </c>
      <c r="G32" s="152">
        <v>7160.980094999999</v>
      </c>
      <c r="H32" s="152">
        <v>11307.143756783118</v>
      </c>
      <c r="I32" s="153">
        <f t="shared" si="0"/>
        <v>60.951267438279856</v>
      </c>
      <c r="P32" s="263"/>
      <c r="Q32" s="263"/>
      <c r="R32" s="263"/>
      <c r="S32" s="263"/>
      <c r="T32" s="263"/>
    </row>
    <row r="33" spans="2:20">
      <c r="B33" s="264"/>
      <c r="C33" s="155" t="s">
        <v>87</v>
      </c>
      <c r="D33" s="151">
        <v>11113.845787991901</v>
      </c>
      <c r="E33" s="152">
        <v>18538.071</v>
      </c>
      <c r="F33" s="152">
        <v>14154.758919950002</v>
      </c>
      <c r="G33" s="152">
        <v>7197.9099209999968</v>
      </c>
      <c r="H33" s="152">
        <v>11468.407586706651</v>
      </c>
      <c r="I33" s="153">
        <f t="shared" si="0"/>
        <v>59.951468456410062</v>
      </c>
      <c r="P33" s="263"/>
      <c r="Q33" s="263"/>
      <c r="R33" s="263"/>
      <c r="S33" s="263"/>
      <c r="T33" s="263"/>
    </row>
    <row r="34" spans="2:20">
      <c r="B34" s="264"/>
      <c r="C34" s="155" t="s">
        <v>89</v>
      </c>
      <c r="D34" s="151">
        <v>10415.710777083699</v>
      </c>
      <c r="E34" s="152">
        <v>18538.071</v>
      </c>
      <c r="F34" s="152">
        <v>13861.50749955</v>
      </c>
      <c r="G34" s="152">
        <v>6659.6807604989417</v>
      </c>
      <c r="H34" s="152">
        <v>10927.520460105234</v>
      </c>
      <c r="I34" s="153">
        <f t="shared" si="0"/>
        <v>56.185515618554369</v>
      </c>
      <c r="P34" s="263"/>
      <c r="Q34" s="263"/>
      <c r="R34" s="263"/>
      <c r="S34" s="263"/>
      <c r="T34" s="263"/>
    </row>
    <row r="35" spans="2:20">
      <c r="B35" s="264"/>
      <c r="C35" s="155" t="s">
        <v>89</v>
      </c>
      <c r="D35" s="151">
        <v>8744.6750995529528</v>
      </c>
      <c r="E35" s="152">
        <v>18538.071</v>
      </c>
      <c r="F35" s="152">
        <v>12411.383130949995</v>
      </c>
      <c r="G35" s="152">
        <v>5800.1947457021333</v>
      </c>
      <c r="H35" s="152">
        <v>9824.1360547772583</v>
      </c>
      <c r="I35" s="153">
        <f t="shared" si="0"/>
        <v>47.171440327059663</v>
      </c>
      <c r="P35" s="263"/>
      <c r="Q35" s="263"/>
      <c r="R35" s="263"/>
      <c r="S35" s="263"/>
      <c r="T35" s="263"/>
    </row>
    <row r="36" spans="2:20">
      <c r="B36" s="264"/>
      <c r="C36" s="155" t="s">
        <v>88</v>
      </c>
      <c r="D36" s="151">
        <v>7124.7383119369397</v>
      </c>
      <c r="E36" s="152">
        <v>18538.071</v>
      </c>
      <c r="F36" s="152">
        <v>11082.055950350004</v>
      </c>
      <c r="G36" s="152">
        <v>5069.3133357481856</v>
      </c>
      <c r="H36" s="152">
        <v>8745.5835792961407</v>
      </c>
      <c r="I36" s="153">
        <f t="shared" si="0"/>
        <v>38.433008007882478</v>
      </c>
      <c r="P36" s="263"/>
      <c r="Q36" s="263"/>
      <c r="R36" s="263"/>
      <c r="S36" s="263"/>
      <c r="T36" s="263"/>
    </row>
    <row r="37" spans="2:20">
      <c r="B37" s="264"/>
      <c r="C37" s="155" t="s">
        <v>90</v>
      </c>
      <c r="D37" s="151">
        <v>6314.3165171768396</v>
      </c>
      <c r="E37" s="152">
        <v>18538.071</v>
      </c>
      <c r="F37" s="152">
        <v>10288.729394799997</v>
      </c>
      <c r="G37" s="152">
        <v>4739.6054379773832</v>
      </c>
      <c r="H37" s="152">
        <v>7973.9046291740378</v>
      </c>
      <c r="I37" s="153">
        <f t="shared" si="0"/>
        <v>34.061346065493218</v>
      </c>
      <c r="P37" s="263"/>
      <c r="Q37" s="263"/>
      <c r="R37" s="263"/>
      <c r="S37" s="263"/>
      <c r="T37" s="263"/>
    </row>
    <row r="38" spans="2:20">
      <c r="B38" s="264"/>
      <c r="C38" s="155" t="s">
        <v>91</v>
      </c>
      <c r="D38" s="151">
        <v>5952.5394311548098</v>
      </c>
      <c r="E38" s="152">
        <v>18538.071</v>
      </c>
      <c r="F38" s="152">
        <v>9948.8780525499988</v>
      </c>
      <c r="G38" s="152">
        <v>4467.0470089624023</v>
      </c>
      <c r="H38" s="152">
        <v>7820.7365874517254</v>
      </c>
      <c r="I38" s="153">
        <f t="shared" si="0"/>
        <v>32.109810298788958</v>
      </c>
      <c r="P38" s="263"/>
      <c r="Q38" s="263"/>
      <c r="R38" s="263"/>
      <c r="S38" s="263"/>
      <c r="T38" s="263"/>
    </row>
    <row r="39" spans="2:20">
      <c r="B39" s="264"/>
      <c r="C39" s="155" t="s">
        <v>92</v>
      </c>
      <c r="D39" s="151">
        <v>5955.5060306251098</v>
      </c>
      <c r="E39" s="152">
        <v>18538.071</v>
      </c>
      <c r="F39" s="152">
        <v>11222.871138699997</v>
      </c>
      <c r="G39" s="152">
        <v>4812.1705738000001</v>
      </c>
      <c r="H39" s="152">
        <v>8187.5351249509931</v>
      </c>
      <c r="I39" s="153">
        <f t="shared" si="0"/>
        <v>32.125813039690641</v>
      </c>
      <c r="P39" s="263"/>
      <c r="Q39" s="263"/>
      <c r="R39" s="263"/>
      <c r="S39" s="263"/>
      <c r="T39" s="263"/>
    </row>
    <row r="40" spans="2:20">
      <c r="B40" s="264"/>
      <c r="C40" s="155" t="s">
        <v>93</v>
      </c>
      <c r="D40" s="151">
        <v>6678.5636735501203</v>
      </c>
      <c r="E40" s="152">
        <v>18538.071</v>
      </c>
      <c r="F40" s="152">
        <v>13273.133537799993</v>
      </c>
      <c r="G40" s="152">
        <v>5316.2767810999994</v>
      </c>
      <c r="H40" s="152">
        <v>8633.7092310648623</v>
      </c>
      <c r="I40" s="153">
        <f t="shared" si="0"/>
        <v>36.026206143832987</v>
      </c>
      <c r="P40" s="263"/>
      <c r="Q40" s="263"/>
      <c r="R40" s="263"/>
      <c r="S40" s="263"/>
      <c r="T40" s="263"/>
    </row>
    <row r="41" spans="2:20">
      <c r="C41" s="155" t="s">
        <v>94</v>
      </c>
      <c r="D41" s="151">
        <v>7030.3147235812303</v>
      </c>
      <c r="E41" s="152">
        <v>18538.071</v>
      </c>
      <c r="F41" s="152">
        <v>13035.252519200001</v>
      </c>
      <c r="G41" s="152">
        <v>5477.0266986999977</v>
      </c>
      <c r="H41" s="152">
        <v>9325.0652119229526</v>
      </c>
      <c r="I41" s="153">
        <f>D41/E41*100</f>
        <v>37.923658419375087</v>
      </c>
      <c r="P41" s="263"/>
      <c r="Q41" s="263"/>
      <c r="R41" s="263"/>
      <c r="S41" s="263"/>
      <c r="T41" s="263"/>
    </row>
    <row r="42" spans="2:20">
      <c r="B42" s="154">
        <v>2022</v>
      </c>
      <c r="C42" s="155" t="s">
        <v>86</v>
      </c>
      <c r="D42" s="151">
        <v>6849.7365063100897</v>
      </c>
      <c r="E42" s="152">
        <v>18538.071</v>
      </c>
      <c r="F42" s="152">
        <v>13419.170344149999</v>
      </c>
      <c r="G42" s="152">
        <v>5596.8493599999993</v>
      </c>
      <c r="H42" s="152">
        <v>10034.297981343811</v>
      </c>
      <c r="I42" s="153">
        <f t="shared" ref="I42:I52" si="1">D42/E42*100</f>
        <v>36.949564527561094</v>
      </c>
      <c r="P42" s="263"/>
      <c r="Q42" s="263"/>
      <c r="R42" s="263"/>
      <c r="S42" s="263"/>
      <c r="T42" s="263"/>
    </row>
    <row r="43" spans="2:20">
      <c r="B43" s="154"/>
      <c r="C43" s="155" t="s">
        <v>87</v>
      </c>
      <c r="D43" s="151">
        <v>7242.5224796164302</v>
      </c>
      <c r="E43" s="152">
        <v>18538.071</v>
      </c>
      <c r="F43" s="152">
        <v>13898.837668799999</v>
      </c>
      <c r="G43" s="152">
        <v>5950.5832111499976</v>
      </c>
      <c r="H43" s="152">
        <v>10651.382707382183</v>
      </c>
      <c r="I43" s="153">
        <f t="shared" si="1"/>
        <v>39.068371674789844</v>
      </c>
      <c r="P43" s="263"/>
      <c r="Q43" s="263"/>
      <c r="R43" s="263"/>
      <c r="S43" s="263"/>
      <c r="T43" s="263"/>
    </row>
    <row r="44" spans="2:20">
      <c r="B44" s="154"/>
      <c r="C44" s="155" t="s">
        <v>88</v>
      </c>
      <c r="D44" s="151">
        <v>7896.3920571419603</v>
      </c>
      <c r="E44" s="152">
        <v>18538.071</v>
      </c>
      <c r="F44" s="152">
        <v>13999.32071715</v>
      </c>
      <c r="G44" s="152">
        <v>7213.8650399999988</v>
      </c>
      <c r="H44" s="152">
        <v>11224.845272938524</v>
      </c>
      <c r="I44" s="153">
        <f t="shared" si="1"/>
        <v>42.595543285717049</v>
      </c>
      <c r="P44" s="263"/>
      <c r="Q44" s="263"/>
      <c r="R44" s="263"/>
      <c r="S44" s="263"/>
      <c r="T44" s="263"/>
    </row>
    <row r="45" spans="2:20">
      <c r="B45" s="154"/>
      <c r="C45" s="155" t="s">
        <v>87</v>
      </c>
      <c r="D45" s="151">
        <v>7862.6649207238397</v>
      </c>
      <c r="E45" s="152">
        <v>18538.071</v>
      </c>
      <c r="F45" s="152">
        <v>14194.180336200001</v>
      </c>
      <c r="G45" s="152">
        <v>7275.1757219999972</v>
      </c>
      <c r="H45" s="152">
        <v>11376.573024106245</v>
      </c>
      <c r="I45" s="153">
        <f t="shared" si="1"/>
        <v>42.413608841631039</v>
      </c>
      <c r="P45" s="263"/>
      <c r="Q45" s="263"/>
      <c r="R45" s="263"/>
      <c r="S45" s="263"/>
      <c r="T45" s="263"/>
    </row>
    <row r="46" spans="2:20">
      <c r="B46" s="154"/>
      <c r="C46" s="155" t="s">
        <v>89</v>
      </c>
      <c r="D46" s="151">
        <v>7336.6756913938698</v>
      </c>
      <c r="E46" s="152">
        <v>18538.071</v>
      </c>
      <c r="F46" s="152">
        <v>13918.899108600002</v>
      </c>
      <c r="G46" s="152">
        <v>6720.2938423489422</v>
      </c>
      <c r="H46" s="152">
        <v>10871.053378959414</v>
      </c>
      <c r="I46" s="153">
        <f t="shared" si="1"/>
        <v>39.576262769701714</v>
      </c>
      <c r="P46" s="263"/>
      <c r="Q46" s="263"/>
      <c r="R46" s="263"/>
      <c r="S46" s="263"/>
      <c r="T46" s="263"/>
    </row>
    <row r="47" spans="2:20">
      <c r="B47" s="154"/>
      <c r="C47" s="155" t="s">
        <v>89</v>
      </c>
      <c r="D47" s="151">
        <v>6503.7333101836002</v>
      </c>
      <c r="E47" s="152">
        <v>18538.071</v>
      </c>
      <c r="F47" s="152">
        <v>12486.880997399992</v>
      </c>
      <c r="G47" s="152">
        <v>5861.5753199858218</v>
      </c>
      <c r="H47" s="152">
        <v>9714.3243532549059</v>
      </c>
      <c r="I47" s="153">
        <f t="shared" si="1"/>
        <v>35.083117926258886</v>
      </c>
      <c r="P47" s="263"/>
      <c r="Q47" s="263"/>
      <c r="R47" s="263"/>
      <c r="S47" s="263"/>
      <c r="T47" s="263"/>
    </row>
    <row r="48" spans="2:20">
      <c r="B48" s="154"/>
      <c r="C48" s="155" t="s">
        <v>88</v>
      </c>
      <c r="D48" s="151">
        <v>5663.3995666707096</v>
      </c>
      <c r="E48" s="152">
        <v>18538.071</v>
      </c>
      <c r="F48" s="152">
        <v>11155.732386300004</v>
      </c>
      <c r="G48" s="152">
        <v>5122.4186417062165</v>
      </c>
      <c r="H48" s="152">
        <v>8618.9540563929877</v>
      </c>
      <c r="I48" s="153">
        <f t="shared" si="1"/>
        <v>30.550101823812785</v>
      </c>
      <c r="P48" s="263"/>
      <c r="Q48" s="263"/>
      <c r="R48" s="263"/>
      <c r="S48" s="263"/>
      <c r="T48" s="263"/>
    </row>
    <row r="49" spans="2:20">
      <c r="B49" s="154"/>
      <c r="C49" s="155" t="s">
        <v>90</v>
      </c>
      <c r="D49" s="151">
        <v>4854.8048105114403</v>
      </c>
      <c r="E49" s="152">
        <v>18538.071</v>
      </c>
      <c r="F49" s="152">
        <v>10360.471131599998</v>
      </c>
      <c r="G49" s="152">
        <v>4769.6031145773832</v>
      </c>
      <c r="H49" s="152">
        <v>7853.1852055328782</v>
      </c>
      <c r="I49" s="153">
        <f t="shared" si="1"/>
        <v>26.188295483987741</v>
      </c>
      <c r="P49" s="263"/>
      <c r="Q49" s="263"/>
      <c r="R49" s="263"/>
      <c r="S49" s="263"/>
      <c r="T49" s="263"/>
    </row>
    <row r="50" spans="2:20">
      <c r="B50" s="154"/>
      <c r="C50" s="155" t="s">
        <v>91</v>
      </c>
      <c r="D50" s="151">
        <v>4989.2516276194901</v>
      </c>
      <c r="E50" s="152">
        <v>18538.071</v>
      </c>
      <c r="F50" s="152">
        <v>10037.671056599998</v>
      </c>
      <c r="G50" s="152">
        <v>4490.9091346624027</v>
      </c>
      <c r="H50" s="152">
        <v>7700.931035509464</v>
      </c>
      <c r="I50" s="153">
        <f t="shared" si="1"/>
        <v>26.913542555854331</v>
      </c>
      <c r="P50" s="263"/>
      <c r="Q50" s="263"/>
      <c r="R50" s="263"/>
      <c r="S50" s="263"/>
      <c r="T50" s="263"/>
    </row>
    <row r="51" spans="2:20">
      <c r="B51" s="154"/>
      <c r="C51" s="155" t="s">
        <v>92</v>
      </c>
      <c r="D51" s="151">
        <v>5789.2389871449896</v>
      </c>
      <c r="E51" s="152">
        <v>18538.071</v>
      </c>
      <c r="F51" s="152">
        <v>11248.176501599997</v>
      </c>
      <c r="G51" s="152">
        <v>4818.1352348499995</v>
      </c>
      <c r="H51" s="152">
        <v>8119.3286799822454</v>
      </c>
      <c r="I51" s="153">
        <f t="shared" si="1"/>
        <v>31.228917977199405</v>
      </c>
      <c r="P51" s="263"/>
      <c r="Q51" s="263"/>
      <c r="R51" s="263"/>
      <c r="S51" s="263"/>
      <c r="T51" s="263"/>
    </row>
    <row r="52" spans="2:20">
      <c r="B52" s="154"/>
      <c r="C52" s="155" t="s">
        <v>93</v>
      </c>
      <c r="D52" s="151">
        <v>8226.3793556488708</v>
      </c>
      <c r="E52" s="152">
        <v>18538.071</v>
      </c>
      <c r="F52" s="152">
        <v>13212.158572249993</v>
      </c>
      <c r="G52" s="152">
        <v>5311.2606904000004</v>
      </c>
      <c r="H52" s="152">
        <v>8643.2465402423641</v>
      </c>
      <c r="I52" s="153">
        <f t="shared" si="1"/>
        <v>44.375595258259992</v>
      </c>
      <c r="J52" s="125"/>
      <c r="P52" s="263"/>
      <c r="Q52" s="263"/>
      <c r="R52" s="263"/>
      <c r="S52" s="263"/>
      <c r="T52" s="263"/>
    </row>
    <row r="53" spans="2:20">
      <c r="B53" s="154">
        <v>2023</v>
      </c>
      <c r="C53" s="155" t="s">
        <v>94</v>
      </c>
      <c r="D53" s="151">
        <v>10223.608293560101</v>
      </c>
      <c r="E53" s="152">
        <v>18538.071</v>
      </c>
      <c r="F53" s="152">
        <v>13040.239735350002</v>
      </c>
      <c r="G53" s="152">
        <v>5486.0984956999982</v>
      </c>
      <c r="H53" s="152">
        <v>9345.1985046020109</v>
      </c>
      <c r="I53" s="153">
        <f>D53/E53*100</f>
        <v>55.149256325321552</v>
      </c>
      <c r="J53" s="125"/>
      <c r="K53" s="125"/>
    </row>
    <row r="54" spans="2:20">
      <c r="B54" s="264"/>
      <c r="C54" s="155" t="s">
        <v>86</v>
      </c>
      <c r="D54" s="151">
        <v>9799.5666123993706</v>
      </c>
      <c r="E54" s="152">
        <v>18538.071</v>
      </c>
      <c r="F54" s="152">
        <v>13487.652788849999</v>
      </c>
      <c r="G54" s="152">
        <v>5615.0378613499997</v>
      </c>
      <c r="H54" s="152">
        <v>10020.752600659313</v>
      </c>
      <c r="I54" s="153">
        <f t="shared" ref="I54:I64" si="2">D54/E54*100</f>
        <v>52.861846372253993</v>
      </c>
      <c r="J54" s="125">
        <f>I55-I54</f>
        <v>2.2258295599344109</v>
      </c>
    </row>
    <row r="55" spans="2:20">
      <c r="B55" s="264"/>
      <c r="C55" s="155" t="s">
        <v>87</v>
      </c>
      <c r="D55" s="151">
        <v>10212.192476558999</v>
      </c>
      <c r="E55" s="152">
        <v>18538.071</v>
      </c>
      <c r="F55" s="152">
        <v>13930.057121199998</v>
      </c>
      <c r="G55" s="152">
        <v>6014.3883134999978</v>
      </c>
      <c r="H55" s="152">
        <v>10628.434723363</v>
      </c>
      <c r="I55" s="153">
        <f t="shared" si="2"/>
        <v>55.087675932188404</v>
      </c>
      <c r="J55" s="125">
        <f>I55-I43</f>
        <v>16.019304257398559</v>
      </c>
    </row>
    <row r="56" spans="2:20">
      <c r="B56" s="264"/>
      <c r="C56" s="155" t="s">
        <v>88</v>
      </c>
      <c r="D56" s="151"/>
      <c r="E56" s="152">
        <v>18538.071</v>
      </c>
      <c r="F56" s="152">
        <v>14047.993249249999</v>
      </c>
      <c r="G56" s="152">
        <v>7267.1733878570958</v>
      </c>
      <c r="H56" s="152">
        <v>11226.165030795621</v>
      </c>
      <c r="I56" s="153">
        <f t="shared" si="2"/>
        <v>0</v>
      </c>
      <c r="J56" s="125"/>
    </row>
    <row r="57" spans="2:20">
      <c r="B57" s="264"/>
      <c r="C57" s="155" t="s">
        <v>87</v>
      </c>
      <c r="D57" s="151"/>
      <c r="E57" s="152">
        <v>18538.071</v>
      </c>
      <c r="F57" s="152">
        <v>14233.601752450002</v>
      </c>
      <c r="G57" s="152">
        <v>7325.0050030361872</v>
      </c>
      <c r="H57" s="152">
        <v>11367.959959142432</v>
      </c>
      <c r="I57" s="153">
        <f t="shared" si="2"/>
        <v>0</v>
      </c>
      <c r="J57" s="125"/>
    </row>
    <row r="58" spans="2:20">
      <c r="B58" s="264"/>
      <c r="C58" s="155" t="s">
        <v>89</v>
      </c>
      <c r="D58" s="151"/>
      <c r="E58" s="152">
        <v>18538.071</v>
      </c>
      <c r="F58" s="152">
        <v>13976.290717650001</v>
      </c>
      <c r="G58" s="152">
        <v>6772.5070219186337</v>
      </c>
      <c r="H58" s="152">
        <v>10854.516130029104</v>
      </c>
      <c r="I58" s="153">
        <f t="shared" si="2"/>
        <v>0</v>
      </c>
      <c r="J58" s="125"/>
    </row>
    <row r="59" spans="2:20">
      <c r="B59" s="264"/>
      <c r="C59" s="155" t="s">
        <v>89</v>
      </c>
      <c r="D59" s="151"/>
      <c r="E59" s="152">
        <v>18538.071</v>
      </c>
      <c r="F59" s="152">
        <v>12562.378863849992</v>
      </c>
      <c r="G59" s="152">
        <v>5915.1664204949993</v>
      </c>
      <c r="H59" s="152">
        <v>9688.0502232640847</v>
      </c>
      <c r="I59" s="153">
        <f t="shared" si="2"/>
        <v>0</v>
      </c>
      <c r="J59" s="125"/>
    </row>
    <row r="60" spans="2:20">
      <c r="B60" s="264"/>
      <c r="C60" s="155" t="s">
        <v>88</v>
      </c>
      <c r="D60" s="151"/>
      <c r="E60" s="152">
        <v>18538.071</v>
      </c>
      <c r="F60" s="152">
        <v>11229.408822250003</v>
      </c>
      <c r="G60" s="152">
        <v>5168.0545450397494</v>
      </c>
      <c r="H60" s="152">
        <v>8576.9264407265182</v>
      </c>
      <c r="I60" s="153">
        <f t="shared" si="2"/>
        <v>0</v>
      </c>
      <c r="J60" s="125"/>
    </row>
    <row r="61" spans="2:20">
      <c r="B61" s="264"/>
      <c r="C61" s="155" t="s">
        <v>90</v>
      </c>
      <c r="D61" s="151"/>
      <c r="E61" s="152">
        <v>18538.071</v>
      </c>
      <c r="F61" s="152">
        <v>10432.212868399996</v>
      </c>
      <c r="G61" s="152">
        <v>4785.5655401029526</v>
      </c>
      <c r="H61" s="152">
        <v>7781.2152055584493</v>
      </c>
      <c r="I61" s="153">
        <f t="shared" si="2"/>
        <v>0</v>
      </c>
      <c r="J61" s="125"/>
    </row>
    <row r="62" spans="2:20">
      <c r="B62" s="264"/>
      <c r="C62" s="155" t="s">
        <v>91</v>
      </c>
      <c r="D62" s="151"/>
      <c r="E62" s="152">
        <v>18538.071</v>
      </c>
      <c r="F62" s="152">
        <v>10126.464060649998</v>
      </c>
      <c r="G62" s="152">
        <v>4514.7712603624032</v>
      </c>
      <c r="H62" s="152">
        <v>7613.3641368904337</v>
      </c>
      <c r="I62" s="153">
        <f t="shared" si="2"/>
        <v>0</v>
      </c>
      <c r="J62" s="125"/>
    </row>
    <row r="63" spans="2:20">
      <c r="B63" s="264"/>
      <c r="C63" s="155" t="s">
        <v>92</v>
      </c>
      <c r="D63" s="151"/>
      <c r="E63" s="152">
        <v>18538.071</v>
      </c>
      <c r="F63" s="152">
        <v>11273.481864499998</v>
      </c>
      <c r="G63" s="152">
        <v>4824.0998959000008</v>
      </c>
      <c r="H63" s="152">
        <v>7991.0891993394935</v>
      </c>
      <c r="I63" s="153">
        <f t="shared" si="2"/>
        <v>0</v>
      </c>
      <c r="J63" s="125"/>
    </row>
    <row r="64" spans="2:20">
      <c r="B64" s="264"/>
      <c r="C64" s="155" t="s">
        <v>93</v>
      </c>
      <c r="D64" s="151"/>
      <c r="E64" s="152">
        <v>18538.071</v>
      </c>
      <c r="F64" s="152">
        <v>13151.183606699993</v>
      </c>
      <c r="G64" s="152">
        <v>5306.2445997000004</v>
      </c>
      <c r="H64" s="152">
        <v>8518.007405024804</v>
      </c>
      <c r="I64" s="153">
        <f t="shared" si="2"/>
        <v>0</v>
      </c>
      <c r="J64" s="125"/>
    </row>
    <row r="65" spans="2:11">
      <c r="B65" s="154"/>
      <c r="C65" s="155"/>
      <c r="D65" s="152"/>
      <c r="E65" s="152"/>
      <c r="F65" s="152"/>
      <c r="G65" s="152"/>
      <c r="H65" s="152"/>
      <c r="I65" s="153"/>
      <c r="J65" s="125"/>
    </row>
    <row r="67" spans="2:11">
      <c r="B67" s="238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2023 por cuencas</v>
      </c>
      <c r="C67" s="239"/>
      <c r="D67" s="239"/>
      <c r="E67" s="239"/>
      <c r="F67" s="239"/>
      <c r="G67" s="115"/>
      <c r="H67" s="115"/>
    </row>
    <row r="68" spans="2:11">
      <c r="B68" s="116"/>
      <c r="C68" s="326" t="s">
        <v>53</v>
      </c>
      <c r="D68" s="326" t="s">
        <v>53</v>
      </c>
      <c r="E68" s="116"/>
      <c r="F68" s="326" t="s">
        <v>42</v>
      </c>
      <c r="G68" s="326"/>
      <c r="H68" s="326" t="s">
        <v>43</v>
      </c>
      <c r="I68" s="326"/>
      <c r="J68" s="326" t="s">
        <v>44</v>
      </c>
      <c r="K68" s="326"/>
    </row>
    <row r="69" spans="2:11">
      <c r="B69" s="117"/>
      <c r="C69" s="118" t="s">
        <v>42</v>
      </c>
      <c r="D69" s="118" t="s">
        <v>43</v>
      </c>
      <c r="E69" s="118" t="s">
        <v>80</v>
      </c>
      <c r="F69" s="119" t="s">
        <v>40</v>
      </c>
      <c r="G69" s="118" t="s">
        <v>45</v>
      </c>
      <c r="H69" s="119" t="s">
        <v>40</v>
      </c>
      <c r="I69" s="118" t="s">
        <v>45</v>
      </c>
      <c r="J69" s="119" t="s">
        <v>40</v>
      </c>
      <c r="K69" s="118" t="s">
        <v>45</v>
      </c>
    </row>
    <row r="70" spans="2:11">
      <c r="B70" s="120" t="s">
        <v>46</v>
      </c>
      <c r="C70" s="121">
        <v>2546.8180000000002</v>
      </c>
      <c r="D70" s="121">
        <v>909.476</v>
      </c>
      <c r="E70" s="240">
        <v>5249.5645566666662</v>
      </c>
      <c r="F70" s="241">
        <f>G70/C70</f>
        <v>0.71038320776737474</v>
      </c>
      <c r="G70" s="121">
        <v>1809.2167404396901</v>
      </c>
      <c r="H70" s="241">
        <f>I70/D70</f>
        <v>0.80003272786778434</v>
      </c>
      <c r="I70" s="121">
        <v>727.61056521028104</v>
      </c>
      <c r="J70" s="144">
        <f>K70/SUM(C70:D70)</f>
        <v>0.73397324002239706</v>
      </c>
      <c r="K70" s="121">
        <f t="shared" ref="K70:K75" si="3">SUM(G70,I70)</f>
        <v>2536.8273056499711</v>
      </c>
    </row>
    <row r="71" spans="2:11">
      <c r="B71" s="120" t="s">
        <v>47</v>
      </c>
      <c r="C71" s="121">
        <v>1681</v>
      </c>
      <c r="D71" s="121">
        <v>3120.6</v>
      </c>
      <c r="E71" s="240">
        <v>4077.7992333333332</v>
      </c>
      <c r="F71" s="241">
        <f>G71/C71</f>
        <v>0.71580579130035105</v>
      </c>
      <c r="G71" s="121">
        <v>1203.26953517589</v>
      </c>
      <c r="H71" s="241">
        <f t="shared" ref="H71:H75" si="4">I71/D71</f>
        <v>0.57472930149895862</v>
      </c>
      <c r="I71" s="121">
        <v>1793.5002582576501</v>
      </c>
      <c r="J71" s="144">
        <f t="shared" ref="J71:J75" si="5">K71/SUM(C71:D71)</f>
        <v>0.62411900063177694</v>
      </c>
      <c r="K71" s="121">
        <f t="shared" si="3"/>
        <v>2996.7697934335401</v>
      </c>
    </row>
    <row r="72" spans="2:11">
      <c r="B72" s="120" t="s">
        <v>48</v>
      </c>
      <c r="C72" s="121">
        <v>2424.9229999999998</v>
      </c>
      <c r="D72" s="121">
        <v>3791.8719999999998</v>
      </c>
      <c r="E72" s="240">
        <v>3557.6004000000003</v>
      </c>
      <c r="F72" s="241">
        <f>G72/C72</f>
        <v>0.64078670950556782</v>
      </c>
      <c r="G72" s="121">
        <v>1553.85842997437</v>
      </c>
      <c r="H72" s="241">
        <f t="shared" si="4"/>
        <v>0.43999022387610398</v>
      </c>
      <c r="I72" s="121">
        <v>1668.3866101895301</v>
      </c>
      <c r="J72" s="144">
        <f t="shared" si="5"/>
        <v>0.51831289919707824</v>
      </c>
      <c r="K72" s="121">
        <f t="shared" si="3"/>
        <v>3222.2450401638998</v>
      </c>
    </row>
    <row r="73" spans="2:11">
      <c r="B73" s="120" t="s">
        <v>49</v>
      </c>
      <c r="C73" s="121"/>
      <c r="D73" s="121">
        <v>835.14400000000001</v>
      </c>
      <c r="E73" s="240">
        <v>195.78800000000001</v>
      </c>
      <c r="F73" s="241" t="s">
        <v>18</v>
      </c>
      <c r="G73" s="121" t="s">
        <v>18</v>
      </c>
      <c r="H73" s="241">
        <f t="shared" si="4"/>
        <v>0.11628460396012423</v>
      </c>
      <c r="I73" s="121">
        <v>97.114389289673994</v>
      </c>
      <c r="J73" s="144">
        <f t="shared" si="5"/>
        <v>0.11628460396012423</v>
      </c>
      <c r="K73" s="121">
        <f t="shared" si="3"/>
        <v>97.114389289673994</v>
      </c>
    </row>
    <row r="74" spans="2:11">
      <c r="B74" s="120" t="s">
        <v>50</v>
      </c>
      <c r="C74" s="121">
        <v>180.3</v>
      </c>
      <c r="D74" s="121">
        <v>669.1</v>
      </c>
      <c r="E74" s="240">
        <v>609.78800000000001</v>
      </c>
      <c r="F74" s="241">
        <f>G74/C74</f>
        <v>0.58122503177123119</v>
      </c>
      <c r="G74" s="121">
        <v>104.794873228353</v>
      </c>
      <c r="H74" s="241">
        <f t="shared" si="4"/>
        <v>0.11983112008161979</v>
      </c>
      <c r="I74" s="121">
        <v>80.179002446611804</v>
      </c>
      <c r="J74" s="144">
        <f t="shared" si="5"/>
        <v>0.21777004435479724</v>
      </c>
      <c r="K74" s="121">
        <f t="shared" si="3"/>
        <v>184.9738756749648</v>
      </c>
    </row>
    <row r="75" spans="2:11">
      <c r="B75" s="120" t="s">
        <v>51</v>
      </c>
      <c r="C75" s="121">
        <v>2133.8380000000002</v>
      </c>
      <c r="D75" s="121">
        <v>245</v>
      </c>
      <c r="E75" s="240">
        <v>3402.0628400000001</v>
      </c>
      <c r="F75" s="241">
        <f>G75/C75</f>
        <v>0.50550314677460984</v>
      </c>
      <c r="G75" s="121">
        <v>1078.66182370724</v>
      </c>
      <c r="H75" s="241">
        <f t="shared" si="4"/>
        <v>0.39020509648843016</v>
      </c>
      <c r="I75" s="121">
        <v>95.600248639665395</v>
      </c>
      <c r="J75" s="144">
        <f t="shared" si="5"/>
        <v>0.49362843217861213</v>
      </c>
      <c r="K75" s="121">
        <f t="shared" si="3"/>
        <v>1174.2620723469054</v>
      </c>
    </row>
    <row r="76" spans="2:11">
      <c r="B76" s="117" t="s">
        <v>52</v>
      </c>
      <c r="C76" s="122">
        <f>SUM(C70:C75)</f>
        <v>8966.8790000000008</v>
      </c>
      <c r="D76" s="122">
        <f>SUM(D70:D75)</f>
        <v>9571.1920000000009</v>
      </c>
      <c r="E76" s="122">
        <f>SUM(E70:E75)</f>
        <v>17092.603029999998</v>
      </c>
      <c r="F76" s="242">
        <f>G76/C76</f>
        <v>0.64122660766645134</v>
      </c>
      <c r="G76" s="122">
        <f>SUM(G70:G75)</f>
        <v>5749.8014025255425</v>
      </c>
      <c r="H76" s="242">
        <f>I76/D76</f>
        <v>0.46623148653097884</v>
      </c>
      <c r="I76" s="122">
        <f>SUM(I70:I75)</f>
        <v>4462.3910740334131</v>
      </c>
      <c r="J76" s="145">
        <f>ROUND(K76/SUM(C76:D76),4)</f>
        <v>0.55089999999999995</v>
      </c>
      <c r="K76" s="122">
        <f>SUM(K70:K75)</f>
        <v>10212.192476558957</v>
      </c>
    </row>
    <row r="79" spans="2:11">
      <c r="B79" s="104" t="str">
        <f>TEXT(CONCATENATE(TEXT(Dat_01!B2,"dd de mm de aaaa")),"@")</f>
        <v>31 312023 03 312023 2023</v>
      </c>
    </row>
    <row r="80" spans="2:11">
      <c r="B80" s="218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2023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F336" sqref="F336"/>
    </sheetView>
  </sheetViews>
  <sheetFormatPr baseColWidth="10" defaultColWidth="11.42578125" defaultRowHeight="15"/>
  <cols>
    <col min="1" max="1" width="11.42578125" style="257"/>
    <col min="2" max="2" width="12.7109375" style="257" bestFit="1" customWidth="1"/>
    <col min="3" max="7" width="11.42578125" style="257"/>
    <col min="8" max="8" width="11.7109375" style="257" bestFit="1" customWidth="1"/>
    <col min="9" max="21" width="11.42578125" style="257"/>
    <col min="22" max="22" width="11.42578125" style="257" customWidth="1"/>
    <col min="23" max="28" width="11.42578125" style="257"/>
    <col min="29" max="29" width="11.7109375" style="257" bestFit="1" customWidth="1"/>
    <col min="30" max="16384" width="11.42578125" style="257"/>
  </cols>
  <sheetData>
    <row r="1" spans="1:9" ht="60">
      <c r="B1" s="256" t="s">
        <v>141</v>
      </c>
      <c r="C1" s="256" t="s">
        <v>171</v>
      </c>
      <c r="D1" s="256" t="s">
        <v>172</v>
      </c>
    </row>
    <row r="2" spans="1:9">
      <c r="A2" s="257">
        <v>0</v>
      </c>
      <c r="B2" s="258">
        <v>44621</v>
      </c>
      <c r="C2" s="259">
        <v>123.057188</v>
      </c>
      <c r="D2" s="260">
        <v>207.20888707498128</v>
      </c>
      <c r="E2" s="259">
        <f>IF(C2&gt;D2,D2,C2)</f>
        <v>123.057188</v>
      </c>
      <c r="F2" s="262">
        <f>YEAR(B2)</f>
        <v>2022</v>
      </c>
      <c r="G2" s="190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61" t="str">
        <f>IF(DAY($B2)=15,TEXT(D2,"#,0"),"")</f>
        <v/>
      </c>
      <c r="I2" s="262"/>
    </row>
    <row r="3" spans="1:9">
      <c r="A3" s="257">
        <v>1</v>
      </c>
      <c r="B3" s="258">
        <v>44622</v>
      </c>
      <c r="C3" s="259">
        <v>183.63743299999999</v>
      </c>
      <c r="D3" s="260">
        <v>207.20888707498128</v>
      </c>
      <c r="E3" s="259">
        <f t="shared" ref="E3:E66" si="0">IF(C3&gt;D3,D3,C3)</f>
        <v>183.63743299999999</v>
      </c>
      <c r="F3" s="266"/>
      <c r="G3" s="190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61" t="str">
        <f t="shared" ref="H3:H66" si="2">IF(DAY($B3)=15,TEXT(D3,"#,0"),"")</f>
        <v/>
      </c>
      <c r="I3" s="262"/>
    </row>
    <row r="4" spans="1:9">
      <c r="A4" s="257">
        <v>2</v>
      </c>
      <c r="B4" s="258">
        <v>44623</v>
      </c>
      <c r="C4" s="259">
        <v>179.32466500000001</v>
      </c>
      <c r="D4" s="260">
        <v>207.20888707498128</v>
      </c>
      <c r="E4" s="259">
        <f t="shared" si="0"/>
        <v>179.32466500000001</v>
      </c>
      <c r="F4" s="266"/>
      <c r="G4" s="190" t="str">
        <f t="shared" si="1"/>
        <v/>
      </c>
      <c r="H4" s="261" t="str">
        <f t="shared" si="2"/>
        <v/>
      </c>
      <c r="I4" s="262"/>
    </row>
    <row r="5" spans="1:9">
      <c r="A5" s="257">
        <v>3</v>
      </c>
      <c r="B5" s="258">
        <v>44624</v>
      </c>
      <c r="C5" s="259">
        <v>292.31094100000001</v>
      </c>
      <c r="D5" s="260">
        <v>207.20888707498128</v>
      </c>
      <c r="E5" s="259">
        <f t="shared" si="0"/>
        <v>207.20888707498128</v>
      </c>
      <c r="F5" s="266"/>
      <c r="G5" s="190" t="str">
        <f t="shared" si="1"/>
        <v/>
      </c>
      <c r="H5" s="261" t="str">
        <f t="shared" si="2"/>
        <v/>
      </c>
      <c r="I5" s="262"/>
    </row>
    <row r="6" spans="1:9">
      <c r="A6" s="257">
        <v>4</v>
      </c>
      <c r="B6" s="258">
        <v>44625</v>
      </c>
      <c r="C6" s="259">
        <v>162.934877</v>
      </c>
      <c r="D6" s="260">
        <v>207.20888707498128</v>
      </c>
      <c r="E6" s="259">
        <f t="shared" si="0"/>
        <v>162.934877</v>
      </c>
      <c r="F6" s="266"/>
      <c r="G6" s="190" t="str">
        <f t="shared" si="1"/>
        <v/>
      </c>
      <c r="H6" s="261" t="str">
        <f t="shared" si="2"/>
        <v/>
      </c>
      <c r="I6" s="262"/>
    </row>
    <row r="7" spans="1:9">
      <c r="A7" s="257">
        <v>5</v>
      </c>
      <c r="B7" s="258">
        <v>44626</v>
      </c>
      <c r="C7" s="259">
        <v>130.44913199999999</v>
      </c>
      <c r="D7" s="260">
        <v>207.20888707498128</v>
      </c>
      <c r="E7" s="259">
        <f t="shared" si="0"/>
        <v>130.44913199999999</v>
      </c>
      <c r="F7" s="266"/>
      <c r="G7" s="190" t="str">
        <f t="shared" si="1"/>
        <v/>
      </c>
      <c r="H7" s="261" t="str">
        <f t="shared" si="2"/>
        <v/>
      </c>
      <c r="I7" s="262"/>
    </row>
    <row r="8" spans="1:9">
      <c r="A8" s="257">
        <v>6</v>
      </c>
      <c r="B8" s="258">
        <v>44627</v>
      </c>
      <c r="C8" s="259">
        <v>102.770679</v>
      </c>
      <c r="D8" s="260">
        <v>207.20888707498128</v>
      </c>
      <c r="E8" s="259">
        <f t="shared" si="0"/>
        <v>102.770679</v>
      </c>
      <c r="F8" s="266"/>
      <c r="G8" s="190" t="str">
        <f t="shared" si="1"/>
        <v/>
      </c>
      <c r="H8" s="261" t="str">
        <f t="shared" si="2"/>
        <v/>
      </c>
      <c r="I8" s="262"/>
    </row>
    <row r="9" spans="1:9">
      <c r="A9" s="257">
        <v>7</v>
      </c>
      <c r="B9" s="258">
        <v>44628</v>
      </c>
      <c r="C9" s="259">
        <v>168.05848699999999</v>
      </c>
      <c r="D9" s="260">
        <v>207.20888707498128</v>
      </c>
      <c r="E9" s="259">
        <f t="shared" si="0"/>
        <v>168.05848699999999</v>
      </c>
      <c r="F9" s="266"/>
      <c r="G9" s="190" t="str">
        <f t="shared" si="1"/>
        <v/>
      </c>
      <c r="H9" s="261" t="str">
        <f t="shared" si="2"/>
        <v/>
      </c>
      <c r="I9" s="262"/>
    </row>
    <row r="10" spans="1:9">
      <c r="A10" s="257">
        <v>8</v>
      </c>
      <c r="B10" s="258">
        <v>44629</v>
      </c>
      <c r="C10" s="259">
        <v>159.07691999999997</v>
      </c>
      <c r="D10" s="260">
        <v>207.20888707498128</v>
      </c>
      <c r="E10" s="259">
        <f t="shared" si="0"/>
        <v>159.07691999999997</v>
      </c>
      <c r="F10" s="266"/>
      <c r="G10" s="190" t="str">
        <f t="shared" si="1"/>
        <v/>
      </c>
      <c r="H10" s="261" t="str">
        <f t="shared" si="2"/>
        <v/>
      </c>
      <c r="I10" s="262"/>
    </row>
    <row r="11" spans="1:9">
      <c r="A11" s="257">
        <v>9</v>
      </c>
      <c r="B11" s="258">
        <v>44630</v>
      </c>
      <c r="C11" s="259">
        <v>200.95546599999997</v>
      </c>
      <c r="D11" s="260">
        <v>207.20888707498128</v>
      </c>
      <c r="E11" s="259">
        <f t="shared" si="0"/>
        <v>200.95546599999997</v>
      </c>
      <c r="F11" s="266"/>
      <c r="G11" s="190" t="str">
        <f t="shared" si="1"/>
        <v/>
      </c>
      <c r="H11" s="261" t="str">
        <f t="shared" si="2"/>
        <v/>
      </c>
      <c r="I11" s="262"/>
    </row>
    <row r="12" spans="1:9">
      <c r="A12" s="257">
        <v>10</v>
      </c>
      <c r="B12" s="258">
        <v>44631</v>
      </c>
      <c r="C12" s="259">
        <v>249.45703199999997</v>
      </c>
      <c r="D12" s="260">
        <v>207.20888707498128</v>
      </c>
      <c r="E12" s="259">
        <f t="shared" si="0"/>
        <v>207.20888707498128</v>
      </c>
      <c r="F12" s="266"/>
      <c r="G12" s="190" t="str">
        <f t="shared" si="1"/>
        <v/>
      </c>
      <c r="H12" s="261" t="str">
        <f t="shared" si="2"/>
        <v/>
      </c>
      <c r="I12" s="262"/>
    </row>
    <row r="13" spans="1:9">
      <c r="A13" s="257">
        <v>11</v>
      </c>
      <c r="B13" s="258">
        <v>44632</v>
      </c>
      <c r="C13" s="259">
        <v>232.19109800000001</v>
      </c>
      <c r="D13" s="260">
        <v>207.20888707498128</v>
      </c>
      <c r="E13" s="259">
        <f t="shared" si="0"/>
        <v>207.20888707498128</v>
      </c>
      <c r="F13" s="266"/>
      <c r="G13" s="190" t="str">
        <f t="shared" si="1"/>
        <v/>
      </c>
      <c r="H13" s="261" t="str">
        <f t="shared" si="2"/>
        <v/>
      </c>
      <c r="I13" s="262"/>
    </row>
    <row r="14" spans="1:9">
      <c r="A14" s="257">
        <v>12</v>
      </c>
      <c r="B14" s="258">
        <v>44633</v>
      </c>
      <c r="C14" s="259">
        <v>162.96980499999998</v>
      </c>
      <c r="D14" s="260">
        <v>207.20888707498128</v>
      </c>
      <c r="E14" s="259">
        <f t="shared" si="0"/>
        <v>162.96980499999998</v>
      </c>
      <c r="F14" s="266"/>
      <c r="G14" s="190" t="str">
        <f t="shared" si="1"/>
        <v/>
      </c>
      <c r="H14" s="261" t="str">
        <f t="shared" si="2"/>
        <v/>
      </c>
      <c r="I14" s="262"/>
    </row>
    <row r="15" spans="1:9">
      <c r="A15" s="257">
        <v>13</v>
      </c>
      <c r="B15" s="258">
        <v>44634</v>
      </c>
      <c r="C15" s="259">
        <v>357.43958999999995</v>
      </c>
      <c r="D15" s="260">
        <v>207.20888707498128</v>
      </c>
      <c r="E15" s="259">
        <f t="shared" si="0"/>
        <v>207.20888707498128</v>
      </c>
      <c r="F15" s="266"/>
      <c r="G15" s="190" t="str">
        <f t="shared" si="1"/>
        <v/>
      </c>
      <c r="H15" s="261" t="str">
        <f t="shared" si="2"/>
        <v/>
      </c>
      <c r="I15" s="262"/>
    </row>
    <row r="16" spans="1:9">
      <c r="A16" s="257">
        <v>14</v>
      </c>
      <c r="B16" s="258">
        <v>44635</v>
      </c>
      <c r="C16" s="259">
        <v>324.42632000000003</v>
      </c>
      <c r="D16" s="260">
        <v>207.20888707498128</v>
      </c>
      <c r="E16" s="259">
        <f t="shared" si="0"/>
        <v>207.20888707498128</v>
      </c>
      <c r="F16" s="266"/>
      <c r="G16" s="190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M</v>
      </c>
      <c r="H16" s="261" t="str">
        <f t="shared" si="2"/>
        <v>207,2</v>
      </c>
      <c r="I16" s="262"/>
    </row>
    <row r="17" spans="1:9">
      <c r="A17" s="257">
        <v>15</v>
      </c>
      <c r="B17" s="258">
        <v>44636</v>
      </c>
      <c r="C17" s="259">
        <v>205.35807499999999</v>
      </c>
      <c r="D17" s="260">
        <v>207.20888707498128</v>
      </c>
      <c r="E17" s="259">
        <f t="shared" si="0"/>
        <v>205.35807499999999</v>
      </c>
      <c r="F17" s="266"/>
      <c r="G17" s="190" t="str">
        <f t="shared" si="1"/>
        <v/>
      </c>
      <c r="H17" s="261" t="str">
        <f t="shared" si="2"/>
        <v/>
      </c>
      <c r="I17" s="190"/>
    </row>
    <row r="18" spans="1:9">
      <c r="A18" s="257">
        <v>16</v>
      </c>
      <c r="B18" s="258">
        <v>44637</v>
      </c>
      <c r="C18" s="259">
        <v>392.84091699999999</v>
      </c>
      <c r="D18" s="260">
        <v>207.20888707498128</v>
      </c>
      <c r="E18" s="259">
        <f t="shared" si="0"/>
        <v>207.20888707498128</v>
      </c>
      <c r="F18" s="266"/>
      <c r="G18" s="190" t="str">
        <f t="shared" si="1"/>
        <v/>
      </c>
      <c r="H18" s="261" t="str">
        <f t="shared" si="2"/>
        <v/>
      </c>
      <c r="I18" s="262"/>
    </row>
    <row r="19" spans="1:9">
      <c r="A19" s="257">
        <v>17</v>
      </c>
      <c r="B19" s="258">
        <v>44638</v>
      </c>
      <c r="C19" s="259">
        <v>202.779516</v>
      </c>
      <c r="D19" s="260">
        <v>207.20888707498128</v>
      </c>
      <c r="E19" s="259">
        <f t="shared" si="0"/>
        <v>202.779516</v>
      </c>
      <c r="F19" s="266"/>
      <c r="G19" s="190" t="str">
        <f t="shared" si="1"/>
        <v/>
      </c>
      <c r="H19" s="261" t="str">
        <f t="shared" si="2"/>
        <v/>
      </c>
      <c r="I19" s="262"/>
    </row>
    <row r="20" spans="1:9">
      <c r="A20" s="257">
        <v>18</v>
      </c>
      <c r="B20" s="258">
        <v>44639</v>
      </c>
      <c r="C20" s="259">
        <v>138.54991699999999</v>
      </c>
      <c r="D20" s="260">
        <v>207.20888707498128</v>
      </c>
      <c r="E20" s="259">
        <f t="shared" si="0"/>
        <v>138.54991699999999</v>
      </c>
      <c r="F20" s="266"/>
      <c r="G20" s="190" t="str">
        <f t="shared" si="1"/>
        <v/>
      </c>
      <c r="H20" s="261" t="str">
        <f t="shared" si="2"/>
        <v/>
      </c>
      <c r="I20" s="262"/>
    </row>
    <row r="21" spans="1:9">
      <c r="A21" s="257">
        <v>19</v>
      </c>
      <c r="B21" s="258">
        <v>44640</v>
      </c>
      <c r="C21" s="259">
        <v>238.598704</v>
      </c>
      <c r="D21" s="260">
        <v>207.20888707498128</v>
      </c>
      <c r="E21" s="259">
        <f t="shared" si="0"/>
        <v>207.20888707498128</v>
      </c>
      <c r="F21" s="266"/>
      <c r="G21" s="190" t="str">
        <f t="shared" si="1"/>
        <v/>
      </c>
      <c r="H21" s="261" t="str">
        <f t="shared" si="2"/>
        <v/>
      </c>
      <c r="I21" s="262"/>
    </row>
    <row r="22" spans="1:9">
      <c r="A22" s="257">
        <v>20</v>
      </c>
      <c r="B22" s="258">
        <v>44641</v>
      </c>
      <c r="C22" s="259">
        <v>284.60412500000001</v>
      </c>
      <c r="D22" s="260">
        <v>207.20888707498128</v>
      </c>
      <c r="E22" s="259">
        <f t="shared" si="0"/>
        <v>207.20888707498128</v>
      </c>
      <c r="F22" s="266"/>
      <c r="G22" s="190" t="str">
        <f t="shared" si="1"/>
        <v/>
      </c>
      <c r="H22" s="261" t="str">
        <f t="shared" si="2"/>
        <v/>
      </c>
      <c r="I22" s="262"/>
    </row>
    <row r="23" spans="1:9">
      <c r="A23" s="257">
        <v>21</v>
      </c>
      <c r="B23" s="258">
        <v>44642</v>
      </c>
      <c r="C23" s="259">
        <v>306.63833500000004</v>
      </c>
      <c r="D23" s="260">
        <v>207.20888707498128</v>
      </c>
      <c r="E23" s="259">
        <f t="shared" si="0"/>
        <v>207.20888707498128</v>
      </c>
      <c r="F23" s="266"/>
      <c r="G23" s="190" t="str">
        <f t="shared" si="1"/>
        <v/>
      </c>
      <c r="H23" s="261" t="str">
        <f t="shared" si="2"/>
        <v/>
      </c>
      <c r="I23" s="262"/>
    </row>
    <row r="24" spans="1:9">
      <c r="A24" s="257">
        <v>22</v>
      </c>
      <c r="B24" s="258">
        <v>44643</v>
      </c>
      <c r="C24" s="259">
        <v>278.91939000000002</v>
      </c>
      <c r="D24" s="260">
        <v>207.20888707498128</v>
      </c>
      <c r="E24" s="259">
        <f t="shared" si="0"/>
        <v>207.20888707498128</v>
      </c>
      <c r="F24" s="266"/>
      <c r="G24" s="190" t="str">
        <f t="shared" si="1"/>
        <v/>
      </c>
      <c r="H24" s="261" t="str">
        <f t="shared" si="2"/>
        <v/>
      </c>
      <c r="I24" s="262"/>
    </row>
    <row r="25" spans="1:9">
      <c r="A25" s="257">
        <v>23</v>
      </c>
      <c r="B25" s="258">
        <v>44644</v>
      </c>
      <c r="C25" s="259">
        <v>226.11690900000002</v>
      </c>
      <c r="D25" s="260">
        <v>207.20888707498128</v>
      </c>
      <c r="E25" s="259">
        <f t="shared" si="0"/>
        <v>207.20888707498128</v>
      </c>
      <c r="F25" s="266"/>
      <c r="G25" s="190" t="str">
        <f t="shared" si="1"/>
        <v/>
      </c>
      <c r="H25" s="261" t="str">
        <f t="shared" si="2"/>
        <v/>
      </c>
      <c r="I25" s="262"/>
    </row>
    <row r="26" spans="1:9">
      <c r="A26" s="257">
        <v>24</v>
      </c>
      <c r="B26" s="258">
        <v>44645</v>
      </c>
      <c r="C26" s="259">
        <v>186.887046</v>
      </c>
      <c r="D26" s="260">
        <v>207.20888707498128</v>
      </c>
      <c r="E26" s="259">
        <f t="shared" si="0"/>
        <v>186.887046</v>
      </c>
      <c r="F26" s="266"/>
      <c r="G26" s="190" t="str">
        <f t="shared" si="1"/>
        <v/>
      </c>
      <c r="H26" s="261" t="str">
        <f t="shared" si="2"/>
        <v/>
      </c>
      <c r="I26" s="262"/>
    </row>
    <row r="27" spans="1:9">
      <c r="A27" s="257">
        <v>25</v>
      </c>
      <c r="B27" s="258">
        <v>44646</v>
      </c>
      <c r="C27" s="259">
        <v>115.53608800000001</v>
      </c>
      <c r="D27" s="260">
        <v>207.20888707498128</v>
      </c>
      <c r="E27" s="259">
        <f t="shared" si="0"/>
        <v>115.53608800000001</v>
      </c>
      <c r="F27" s="266"/>
      <c r="G27" s="190" t="str">
        <f t="shared" si="1"/>
        <v/>
      </c>
      <c r="H27" s="261" t="str">
        <f t="shared" si="2"/>
        <v/>
      </c>
      <c r="I27" s="262"/>
    </row>
    <row r="28" spans="1:9">
      <c r="A28" s="257">
        <v>26</v>
      </c>
      <c r="B28" s="258">
        <v>44647</v>
      </c>
      <c r="C28" s="259">
        <v>115.393586</v>
      </c>
      <c r="D28" s="260">
        <v>207.20888707498128</v>
      </c>
      <c r="E28" s="259">
        <f t="shared" si="0"/>
        <v>115.393586</v>
      </c>
      <c r="F28" s="266"/>
      <c r="G28" s="190" t="str">
        <f t="shared" si="1"/>
        <v/>
      </c>
      <c r="H28" s="261" t="str">
        <f t="shared" si="2"/>
        <v/>
      </c>
      <c r="I28" s="262"/>
    </row>
    <row r="29" spans="1:9">
      <c r="A29" s="257">
        <v>27</v>
      </c>
      <c r="B29" s="258">
        <v>44648</v>
      </c>
      <c r="C29" s="259">
        <v>172.72798699999998</v>
      </c>
      <c r="D29" s="260">
        <v>207.20888707498128</v>
      </c>
      <c r="E29" s="259">
        <f t="shared" si="0"/>
        <v>172.72798699999998</v>
      </c>
      <c r="F29" s="266"/>
      <c r="G29" s="190" t="str">
        <f t="shared" si="1"/>
        <v/>
      </c>
      <c r="H29" s="261" t="str">
        <f t="shared" si="2"/>
        <v/>
      </c>
      <c r="I29" s="262"/>
    </row>
    <row r="30" spans="1:9">
      <c r="A30" s="257">
        <v>28</v>
      </c>
      <c r="B30" s="258">
        <v>44649</v>
      </c>
      <c r="C30" s="259">
        <v>64.641690999999994</v>
      </c>
      <c r="D30" s="260">
        <v>207.20888707498128</v>
      </c>
      <c r="E30" s="259">
        <f t="shared" si="0"/>
        <v>64.641690999999994</v>
      </c>
      <c r="F30" s="266"/>
      <c r="G30" s="190" t="str">
        <f t="shared" si="1"/>
        <v/>
      </c>
      <c r="H30" s="261" t="str">
        <f t="shared" si="2"/>
        <v/>
      </c>
      <c r="I30" s="262"/>
    </row>
    <row r="31" spans="1:9">
      <c r="A31" s="257">
        <v>29</v>
      </c>
      <c r="B31" s="258">
        <v>44650</v>
      </c>
      <c r="C31" s="259">
        <v>184.66582099999999</v>
      </c>
      <c r="D31" s="260">
        <v>207.20888707498128</v>
      </c>
      <c r="E31" s="259">
        <f t="shared" si="0"/>
        <v>184.66582099999999</v>
      </c>
      <c r="F31" s="266"/>
      <c r="G31" s="190" t="str">
        <f t="shared" si="1"/>
        <v/>
      </c>
      <c r="H31" s="261" t="str">
        <f t="shared" si="2"/>
        <v/>
      </c>
      <c r="I31" s="262"/>
    </row>
    <row r="32" spans="1:9">
      <c r="A32" s="257">
        <v>30</v>
      </c>
      <c r="B32" s="258">
        <v>44651</v>
      </c>
      <c r="C32" s="259">
        <v>308.63385</v>
      </c>
      <c r="D32" s="260">
        <v>207.20888707498128</v>
      </c>
      <c r="E32" s="259">
        <f t="shared" si="0"/>
        <v>207.20888707498128</v>
      </c>
      <c r="F32" s="266"/>
      <c r="G32" s="190" t="str">
        <f t="shared" si="1"/>
        <v/>
      </c>
      <c r="H32" s="261" t="str">
        <f t="shared" si="2"/>
        <v/>
      </c>
      <c r="I32" s="262"/>
    </row>
    <row r="33" spans="1:9">
      <c r="A33" s="257">
        <v>31</v>
      </c>
      <c r="B33" s="258">
        <v>44652</v>
      </c>
      <c r="C33" s="259">
        <v>327.848207</v>
      </c>
      <c r="D33" s="260">
        <v>173.72968452717382</v>
      </c>
      <c r="E33" s="259">
        <f t="shared" si="0"/>
        <v>173.72968452717382</v>
      </c>
      <c r="F33" s="262"/>
      <c r="G33" s="190" t="str">
        <f t="shared" si="1"/>
        <v/>
      </c>
      <c r="H33" s="261" t="str">
        <f t="shared" si="2"/>
        <v/>
      </c>
      <c r="I33" s="262"/>
    </row>
    <row r="34" spans="1:9">
      <c r="A34" s="257">
        <v>32</v>
      </c>
      <c r="B34" s="258">
        <v>44653</v>
      </c>
      <c r="C34" s="259">
        <v>259.57246299999997</v>
      </c>
      <c r="D34" s="260">
        <v>173.72968452717382</v>
      </c>
      <c r="E34" s="259">
        <f t="shared" si="0"/>
        <v>173.72968452717382</v>
      </c>
      <c r="F34" s="266"/>
      <c r="G34" s="190" t="str">
        <f t="shared" si="1"/>
        <v/>
      </c>
      <c r="H34" s="261" t="str">
        <f t="shared" si="2"/>
        <v/>
      </c>
      <c r="I34" s="262"/>
    </row>
    <row r="35" spans="1:9">
      <c r="A35" s="257">
        <v>33</v>
      </c>
      <c r="B35" s="258">
        <v>44654</v>
      </c>
      <c r="C35" s="259">
        <v>247.549204</v>
      </c>
      <c r="D35" s="260">
        <v>173.72968452717382</v>
      </c>
      <c r="E35" s="259">
        <f t="shared" si="0"/>
        <v>173.72968452717382</v>
      </c>
      <c r="F35" s="266"/>
      <c r="G35" s="190" t="str">
        <f t="shared" si="1"/>
        <v/>
      </c>
      <c r="H35" s="261" t="str">
        <f t="shared" si="2"/>
        <v/>
      </c>
      <c r="I35" s="262"/>
    </row>
    <row r="36" spans="1:9">
      <c r="A36" s="257">
        <v>34</v>
      </c>
      <c r="B36" s="258">
        <v>44655</v>
      </c>
      <c r="C36" s="259">
        <v>298.96183399999995</v>
      </c>
      <c r="D36" s="260">
        <v>173.72968452717382</v>
      </c>
      <c r="E36" s="259">
        <f t="shared" si="0"/>
        <v>173.72968452717382</v>
      </c>
      <c r="F36" s="266"/>
      <c r="G36" s="190" t="str">
        <f t="shared" si="1"/>
        <v/>
      </c>
      <c r="H36" s="261" t="str">
        <f t="shared" si="2"/>
        <v/>
      </c>
      <c r="I36" s="262"/>
    </row>
    <row r="37" spans="1:9">
      <c r="A37" s="257">
        <v>35</v>
      </c>
      <c r="B37" s="258">
        <v>44656</v>
      </c>
      <c r="C37" s="259">
        <v>180.01677100000001</v>
      </c>
      <c r="D37" s="260">
        <v>173.72968452717382</v>
      </c>
      <c r="E37" s="259">
        <f t="shared" si="0"/>
        <v>173.72968452717382</v>
      </c>
      <c r="F37" s="266"/>
      <c r="G37" s="190" t="str">
        <f t="shared" si="1"/>
        <v/>
      </c>
      <c r="H37" s="261" t="str">
        <f t="shared" si="2"/>
        <v/>
      </c>
      <c r="I37" s="262"/>
    </row>
    <row r="38" spans="1:9">
      <c r="A38" s="257">
        <v>36</v>
      </c>
      <c r="B38" s="258">
        <v>44657</v>
      </c>
      <c r="C38" s="259">
        <v>140.25377900000001</v>
      </c>
      <c r="D38" s="260">
        <v>173.72968452717382</v>
      </c>
      <c r="E38" s="259">
        <f t="shared" si="0"/>
        <v>140.25377900000001</v>
      </c>
      <c r="F38" s="266"/>
      <c r="G38" s="190" t="str">
        <f t="shared" si="1"/>
        <v/>
      </c>
      <c r="H38" s="261" t="str">
        <f t="shared" si="2"/>
        <v/>
      </c>
      <c r="I38" s="262"/>
    </row>
    <row r="39" spans="1:9">
      <c r="A39" s="257">
        <v>37</v>
      </c>
      <c r="B39" s="258">
        <v>44658</v>
      </c>
      <c r="C39" s="259">
        <v>291.23127199999999</v>
      </c>
      <c r="D39" s="260">
        <v>173.72968452717382</v>
      </c>
      <c r="E39" s="259">
        <f t="shared" si="0"/>
        <v>173.72968452717382</v>
      </c>
      <c r="F39" s="266"/>
      <c r="G39" s="190" t="str">
        <f t="shared" si="1"/>
        <v/>
      </c>
      <c r="H39" s="261" t="str">
        <f t="shared" si="2"/>
        <v/>
      </c>
      <c r="I39" s="262"/>
    </row>
    <row r="40" spans="1:9">
      <c r="A40" s="257">
        <v>38</v>
      </c>
      <c r="B40" s="258">
        <v>44659</v>
      </c>
      <c r="C40" s="259">
        <v>340.73509499999994</v>
      </c>
      <c r="D40" s="260">
        <v>173.72968452717382</v>
      </c>
      <c r="E40" s="259">
        <f t="shared" si="0"/>
        <v>173.72968452717382</v>
      </c>
      <c r="F40" s="266"/>
      <c r="G40" s="190" t="str">
        <f t="shared" si="1"/>
        <v/>
      </c>
      <c r="H40" s="261" t="str">
        <f t="shared" si="2"/>
        <v/>
      </c>
      <c r="I40" s="262"/>
    </row>
    <row r="41" spans="1:9">
      <c r="A41" s="257">
        <v>39</v>
      </c>
      <c r="B41" s="258">
        <v>44660</v>
      </c>
      <c r="C41" s="259">
        <v>143.24871599999997</v>
      </c>
      <c r="D41" s="260">
        <v>173.72968452717382</v>
      </c>
      <c r="E41" s="259">
        <f t="shared" si="0"/>
        <v>143.24871599999997</v>
      </c>
      <c r="F41" s="266"/>
      <c r="G41" s="190" t="str">
        <f t="shared" si="1"/>
        <v/>
      </c>
      <c r="H41" s="261" t="str">
        <f t="shared" si="2"/>
        <v/>
      </c>
      <c r="I41" s="262"/>
    </row>
    <row r="42" spans="1:9">
      <c r="A42" s="257">
        <v>40</v>
      </c>
      <c r="B42" s="258">
        <v>44661</v>
      </c>
      <c r="C42" s="259">
        <v>188.628028</v>
      </c>
      <c r="D42" s="260">
        <v>173.72968452717382</v>
      </c>
      <c r="E42" s="259">
        <f t="shared" si="0"/>
        <v>173.72968452717382</v>
      </c>
      <c r="F42" s="266"/>
      <c r="G42" s="190" t="str">
        <f t="shared" si="1"/>
        <v/>
      </c>
      <c r="H42" s="261" t="str">
        <f t="shared" si="2"/>
        <v/>
      </c>
      <c r="I42" s="262"/>
    </row>
    <row r="43" spans="1:9">
      <c r="A43" s="257">
        <v>41</v>
      </c>
      <c r="B43" s="258">
        <v>44662</v>
      </c>
      <c r="C43" s="259">
        <v>342.304621</v>
      </c>
      <c r="D43" s="260">
        <v>173.72968452717382</v>
      </c>
      <c r="E43" s="259">
        <f t="shared" si="0"/>
        <v>173.72968452717382</v>
      </c>
      <c r="F43" s="266"/>
      <c r="G43" s="190" t="str">
        <f t="shared" si="1"/>
        <v/>
      </c>
      <c r="H43" s="261" t="str">
        <f t="shared" si="2"/>
        <v/>
      </c>
      <c r="I43" s="262"/>
    </row>
    <row r="44" spans="1:9">
      <c r="A44" s="257">
        <v>42</v>
      </c>
      <c r="B44" s="258">
        <v>44663</v>
      </c>
      <c r="C44" s="259">
        <v>172.513589</v>
      </c>
      <c r="D44" s="260">
        <v>173.72968452717382</v>
      </c>
      <c r="E44" s="259">
        <f t="shared" si="0"/>
        <v>172.513589</v>
      </c>
      <c r="F44" s="266"/>
      <c r="G44" s="190" t="str">
        <f t="shared" si="1"/>
        <v/>
      </c>
      <c r="H44" s="261" t="str">
        <f t="shared" si="2"/>
        <v/>
      </c>
      <c r="I44" s="262"/>
    </row>
    <row r="45" spans="1:9">
      <c r="A45" s="257">
        <v>43</v>
      </c>
      <c r="B45" s="258">
        <v>44664</v>
      </c>
      <c r="C45" s="259">
        <v>115.37458000000001</v>
      </c>
      <c r="D45" s="260">
        <v>173.72968452717382</v>
      </c>
      <c r="E45" s="259">
        <f t="shared" si="0"/>
        <v>115.37458000000001</v>
      </c>
      <c r="F45" s="266"/>
      <c r="G45" s="190" t="str">
        <f t="shared" si="1"/>
        <v/>
      </c>
      <c r="H45" s="261" t="str">
        <f t="shared" si="2"/>
        <v/>
      </c>
      <c r="I45" s="262"/>
    </row>
    <row r="46" spans="1:9">
      <c r="A46" s="257">
        <v>44</v>
      </c>
      <c r="B46" s="258">
        <v>44665</v>
      </c>
      <c r="C46" s="259">
        <v>111.75668899999999</v>
      </c>
      <c r="D46" s="260">
        <v>173.72968452717382</v>
      </c>
      <c r="E46" s="259">
        <f t="shared" si="0"/>
        <v>111.75668899999999</v>
      </c>
      <c r="F46" s="266"/>
      <c r="G46" s="190" t="str">
        <f t="shared" si="1"/>
        <v/>
      </c>
      <c r="H46" s="261" t="str">
        <f t="shared" si="2"/>
        <v/>
      </c>
      <c r="I46" s="262"/>
    </row>
    <row r="47" spans="1:9">
      <c r="A47" s="257">
        <v>45</v>
      </c>
      <c r="B47" s="258">
        <v>44666</v>
      </c>
      <c r="C47" s="259">
        <v>61.966009</v>
      </c>
      <c r="D47" s="260">
        <v>173.72968452717382</v>
      </c>
      <c r="E47" s="259">
        <f t="shared" si="0"/>
        <v>61.966009</v>
      </c>
      <c r="F47" s="266"/>
      <c r="G47" s="190" t="str">
        <f t="shared" si="1"/>
        <v>A</v>
      </c>
      <c r="H47" s="261" t="str">
        <f t="shared" si="2"/>
        <v>173,7</v>
      </c>
      <c r="I47" s="262"/>
    </row>
    <row r="48" spans="1:9">
      <c r="A48" s="257">
        <v>46</v>
      </c>
      <c r="B48" s="258">
        <v>44667</v>
      </c>
      <c r="C48" s="259">
        <v>139.814052</v>
      </c>
      <c r="D48" s="260">
        <v>173.72968452717382</v>
      </c>
      <c r="E48" s="259">
        <f t="shared" si="0"/>
        <v>139.814052</v>
      </c>
      <c r="F48" s="266"/>
      <c r="G48" s="190" t="str">
        <f t="shared" si="1"/>
        <v/>
      </c>
      <c r="H48" s="261" t="str">
        <f t="shared" si="2"/>
        <v/>
      </c>
      <c r="I48" s="262"/>
    </row>
    <row r="49" spans="1:9">
      <c r="A49" s="257">
        <v>47</v>
      </c>
      <c r="B49" s="258">
        <v>44668</v>
      </c>
      <c r="C49" s="259">
        <v>123.50425800000001</v>
      </c>
      <c r="D49" s="260">
        <v>173.72968452717382</v>
      </c>
      <c r="E49" s="259">
        <f t="shared" si="0"/>
        <v>123.50425800000001</v>
      </c>
      <c r="F49" s="266"/>
      <c r="G49" s="190" t="str">
        <f t="shared" si="1"/>
        <v/>
      </c>
      <c r="H49" s="261" t="str">
        <f t="shared" si="2"/>
        <v/>
      </c>
      <c r="I49" s="262"/>
    </row>
    <row r="50" spans="1:9">
      <c r="A50" s="257">
        <v>48</v>
      </c>
      <c r="B50" s="258">
        <v>44669</v>
      </c>
      <c r="C50" s="259">
        <v>169.95030299999999</v>
      </c>
      <c r="D50" s="260">
        <v>173.72968452717382</v>
      </c>
      <c r="E50" s="259">
        <f t="shared" si="0"/>
        <v>169.95030299999999</v>
      </c>
      <c r="F50" s="266"/>
      <c r="G50" s="190" t="str">
        <f t="shared" si="1"/>
        <v/>
      </c>
      <c r="H50" s="261" t="str">
        <f t="shared" si="2"/>
        <v/>
      </c>
      <c r="I50" s="262"/>
    </row>
    <row r="51" spans="1:9">
      <c r="A51" s="257">
        <v>49</v>
      </c>
      <c r="B51" s="258">
        <v>44670</v>
      </c>
      <c r="C51" s="259">
        <v>242.46552300000002</v>
      </c>
      <c r="D51" s="260">
        <v>173.72968452717382</v>
      </c>
      <c r="E51" s="259">
        <f t="shared" si="0"/>
        <v>173.72968452717382</v>
      </c>
      <c r="F51" s="266"/>
      <c r="G51" s="190" t="str">
        <f t="shared" si="1"/>
        <v/>
      </c>
      <c r="H51" s="261" t="str">
        <f t="shared" si="2"/>
        <v/>
      </c>
      <c r="I51" s="262"/>
    </row>
    <row r="52" spans="1:9">
      <c r="A52" s="257">
        <v>50</v>
      </c>
      <c r="B52" s="258">
        <v>44671</v>
      </c>
      <c r="C52" s="259">
        <v>341.66328000000004</v>
      </c>
      <c r="D52" s="260">
        <v>173.72968452717382</v>
      </c>
      <c r="E52" s="259">
        <f t="shared" si="0"/>
        <v>173.72968452717382</v>
      </c>
      <c r="F52" s="266"/>
      <c r="G52" s="190" t="str">
        <f t="shared" si="1"/>
        <v/>
      </c>
      <c r="H52" s="261" t="str">
        <f t="shared" si="2"/>
        <v/>
      </c>
      <c r="I52" s="262"/>
    </row>
    <row r="53" spans="1:9">
      <c r="A53" s="257">
        <v>51</v>
      </c>
      <c r="B53" s="258">
        <v>44672</v>
      </c>
      <c r="C53" s="259">
        <v>218.94234700000001</v>
      </c>
      <c r="D53" s="260">
        <v>173.72968452717382</v>
      </c>
      <c r="E53" s="259">
        <f t="shared" si="0"/>
        <v>173.72968452717382</v>
      </c>
      <c r="F53" s="266"/>
      <c r="G53" s="190" t="str">
        <f t="shared" si="1"/>
        <v/>
      </c>
      <c r="H53" s="261" t="str">
        <f t="shared" si="2"/>
        <v/>
      </c>
      <c r="I53" s="262"/>
    </row>
    <row r="54" spans="1:9">
      <c r="A54" s="257">
        <v>52</v>
      </c>
      <c r="B54" s="258">
        <v>44673</v>
      </c>
      <c r="C54" s="259">
        <v>178.854511</v>
      </c>
      <c r="D54" s="260">
        <v>173.72968452717382</v>
      </c>
      <c r="E54" s="259">
        <f t="shared" si="0"/>
        <v>173.72968452717382</v>
      </c>
      <c r="F54" s="266"/>
      <c r="G54" s="190" t="str">
        <f t="shared" si="1"/>
        <v/>
      </c>
      <c r="H54" s="261" t="str">
        <f t="shared" si="2"/>
        <v/>
      </c>
      <c r="I54" s="262"/>
    </row>
    <row r="55" spans="1:9">
      <c r="A55" s="257">
        <v>53</v>
      </c>
      <c r="B55" s="258">
        <v>44674</v>
      </c>
      <c r="C55" s="259">
        <v>347.51635900000002</v>
      </c>
      <c r="D55" s="260">
        <v>173.72968452717382</v>
      </c>
      <c r="E55" s="259">
        <f t="shared" si="0"/>
        <v>173.72968452717382</v>
      </c>
      <c r="F55" s="266"/>
      <c r="G55" s="190" t="str">
        <f t="shared" si="1"/>
        <v/>
      </c>
      <c r="H55" s="261" t="str">
        <f t="shared" si="2"/>
        <v/>
      </c>
      <c r="I55" s="262"/>
    </row>
    <row r="56" spans="1:9">
      <c r="A56" s="257">
        <v>54</v>
      </c>
      <c r="B56" s="258">
        <v>44675</v>
      </c>
      <c r="C56" s="259">
        <v>169.876394</v>
      </c>
      <c r="D56" s="260">
        <v>173.72968452717382</v>
      </c>
      <c r="E56" s="259">
        <f t="shared" si="0"/>
        <v>169.876394</v>
      </c>
      <c r="F56" s="266"/>
      <c r="G56" s="190" t="str">
        <f t="shared" si="1"/>
        <v/>
      </c>
      <c r="H56" s="261" t="str">
        <f t="shared" si="2"/>
        <v/>
      </c>
      <c r="I56" s="262"/>
    </row>
    <row r="57" spans="1:9">
      <c r="A57" s="257">
        <v>55</v>
      </c>
      <c r="B57" s="258">
        <v>44676</v>
      </c>
      <c r="C57" s="259">
        <v>33.183509000000001</v>
      </c>
      <c r="D57" s="260">
        <v>173.72968452717382</v>
      </c>
      <c r="E57" s="259">
        <f t="shared" si="0"/>
        <v>33.183509000000001</v>
      </c>
      <c r="F57" s="266"/>
      <c r="G57" s="190" t="str">
        <f t="shared" si="1"/>
        <v/>
      </c>
      <c r="H57" s="261" t="str">
        <f t="shared" si="2"/>
        <v/>
      </c>
      <c r="I57" s="262"/>
    </row>
    <row r="58" spans="1:9">
      <c r="A58" s="257">
        <v>56</v>
      </c>
      <c r="B58" s="258">
        <v>44677</v>
      </c>
      <c r="C58" s="259">
        <v>64.831130000000002</v>
      </c>
      <c r="D58" s="260">
        <v>173.72968452717382</v>
      </c>
      <c r="E58" s="259">
        <f t="shared" si="0"/>
        <v>64.831130000000002</v>
      </c>
      <c r="F58" s="266"/>
      <c r="G58" s="190" t="str">
        <f t="shared" si="1"/>
        <v/>
      </c>
      <c r="H58" s="261" t="str">
        <f t="shared" si="2"/>
        <v/>
      </c>
      <c r="I58" s="262"/>
    </row>
    <row r="59" spans="1:9">
      <c r="A59" s="257">
        <v>57</v>
      </c>
      <c r="B59" s="258">
        <v>44678</v>
      </c>
      <c r="C59" s="259">
        <v>42.717091000000003</v>
      </c>
      <c r="D59" s="260">
        <v>173.72968452717382</v>
      </c>
      <c r="E59" s="259">
        <f t="shared" si="0"/>
        <v>42.717091000000003</v>
      </c>
      <c r="F59" s="266"/>
      <c r="G59" s="190" t="str">
        <f t="shared" si="1"/>
        <v/>
      </c>
      <c r="H59" s="261" t="str">
        <f t="shared" si="2"/>
        <v/>
      </c>
      <c r="I59" s="262"/>
    </row>
    <row r="60" spans="1:9">
      <c r="A60" s="257">
        <v>58</v>
      </c>
      <c r="B60" s="258">
        <v>44679</v>
      </c>
      <c r="C60" s="259">
        <v>83.537083999999993</v>
      </c>
      <c r="D60" s="260">
        <v>173.72968452717382</v>
      </c>
      <c r="E60" s="259">
        <f t="shared" si="0"/>
        <v>83.537083999999993</v>
      </c>
      <c r="F60" s="266"/>
      <c r="G60" s="190" t="str">
        <f t="shared" si="1"/>
        <v/>
      </c>
      <c r="H60" s="261" t="str">
        <f t="shared" si="2"/>
        <v/>
      </c>
      <c r="I60" s="262"/>
    </row>
    <row r="61" spans="1:9">
      <c r="A61" s="257">
        <v>59</v>
      </c>
      <c r="B61" s="258">
        <v>44680</v>
      </c>
      <c r="C61" s="259">
        <v>76.722093000000001</v>
      </c>
      <c r="D61" s="260">
        <v>173.72968452717382</v>
      </c>
      <c r="E61" s="259">
        <f t="shared" si="0"/>
        <v>76.722093000000001</v>
      </c>
      <c r="F61" s="266"/>
      <c r="G61" s="190" t="str">
        <f t="shared" si="1"/>
        <v/>
      </c>
      <c r="H61" s="261" t="str">
        <f t="shared" si="2"/>
        <v/>
      </c>
      <c r="I61" s="262"/>
    </row>
    <row r="62" spans="1:9">
      <c r="A62" s="257">
        <v>60</v>
      </c>
      <c r="B62" s="258">
        <v>44681</v>
      </c>
      <c r="C62" s="259">
        <v>120.190377</v>
      </c>
      <c r="D62" s="260">
        <v>173.72968452717382</v>
      </c>
      <c r="E62" s="259">
        <f t="shared" si="0"/>
        <v>120.190377</v>
      </c>
      <c r="F62" s="266"/>
      <c r="G62" s="190" t="str">
        <f t="shared" si="1"/>
        <v/>
      </c>
      <c r="H62" s="261" t="str">
        <f t="shared" si="2"/>
        <v/>
      </c>
      <c r="I62" s="262"/>
    </row>
    <row r="63" spans="1:9">
      <c r="A63" s="257">
        <v>61</v>
      </c>
      <c r="B63" s="258">
        <v>44682</v>
      </c>
      <c r="C63" s="259">
        <v>96.096043000000009</v>
      </c>
      <c r="D63" s="260">
        <v>155.4601248026691</v>
      </c>
      <c r="E63" s="259">
        <f t="shared" si="0"/>
        <v>96.096043000000009</v>
      </c>
      <c r="F63" s="262"/>
      <c r="G63" s="190" t="str">
        <f t="shared" si="1"/>
        <v/>
      </c>
      <c r="H63" s="261" t="str">
        <f t="shared" si="2"/>
        <v/>
      </c>
      <c r="I63" s="262"/>
    </row>
    <row r="64" spans="1:9">
      <c r="A64" s="257">
        <v>62</v>
      </c>
      <c r="B64" s="258">
        <v>44683</v>
      </c>
      <c r="C64" s="259">
        <v>153.68695399999999</v>
      </c>
      <c r="D64" s="260">
        <v>155.4601248026691</v>
      </c>
      <c r="E64" s="259">
        <f t="shared" si="0"/>
        <v>153.68695399999999</v>
      </c>
      <c r="F64" s="266"/>
      <c r="G64" s="190" t="str">
        <f t="shared" si="1"/>
        <v/>
      </c>
      <c r="H64" s="261" t="str">
        <f t="shared" si="2"/>
        <v/>
      </c>
      <c r="I64" s="262"/>
    </row>
    <row r="65" spans="1:9">
      <c r="A65" s="257">
        <v>63</v>
      </c>
      <c r="B65" s="258">
        <v>44684</v>
      </c>
      <c r="C65" s="259">
        <v>180.77779100000001</v>
      </c>
      <c r="D65" s="260">
        <v>155.4601248026691</v>
      </c>
      <c r="E65" s="259">
        <f t="shared" si="0"/>
        <v>155.4601248026691</v>
      </c>
      <c r="F65" s="266"/>
      <c r="G65" s="190" t="str">
        <f t="shared" si="1"/>
        <v/>
      </c>
      <c r="H65" s="261" t="str">
        <f t="shared" si="2"/>
        <v/>
      </c>
      <c r="I65" s="262"/>
    </row>
    <row r="66" spans="1:9">
      <c r="A66" s="257">
        <v>64</v>
      </c>
      <c r="B66" s="258">
        <v>44685</v>
      </c>
      <c r="C66" s="259">
        <v>173.42337899999998</v>
      </c>
      <c r="D66" s="260">
        <v>155.4601248026691</v>
      </c>
      <c r="E66" s="259">
        <f t="shared" si="0"/>
        <v>155.4601248026691</v>
      </c>
      <c r="F66" s="266"/>
      <c r="G66" s="190" t="str">
        <f t="shared" si="1"/>
        <v/>
      </c>
      <c r="H66" s="261" t="str">
        <f t="shared" si="2"/>
        <v/>
      </c>
      <c r="I66" s="262"/>
    </row>
    <row r="67" spans="1:9">
      <c r="A67" s="257">
        <v>65</v>
      </c>
      <c r="B67" s="258">
        <v>44686</v>
      </c>
      <c r="C67" s="259">
        <v>199.22137399999997</v>
      </c>
      <c r="D67" s="260">
        <v>155.4601248026691</v>
      </c>
      <c r="E67" s="259">
        <f t="shared" ref="E67:E130" si="3">IF(C67&gt;D67,D67,C67)</f>
        <v>155.4601248026691</v>
      </c>
      <c r="F67" s="266"/>
      <c r="G67" s="190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61" t="str">
        <f t="shared" ref="H67:H130" si="5">IF(DAY($B67)=15,TEXT(D67,"#,0"),"")</f>
        <v/>
      </c>
      <c r="I67" s="262"/>
    </row>
    <row r="68" spans="1:9">
      <c r="A68" s="257">
        <v>66</v>
      </c>
      <c r="B68" s="258">
        <v>44687</v>
      </c>
      <c r="C68" s="259">
        <v>227.35883799999999</v>
      </c>
      <c r="D68" s="260">
        <v>155.4601248026691</v>
      </c>
      <c r="E68" s="259">
        <f t="shared" si="3"/>
        <v>155.4601248026691</v>
      </c>
      <c r="F68" s="266"/>
      <c r="G68" s="190" t="str">
        <f t="shared" si="4"/>
        <v/>
      </c>
      <c r="H68" s="261" t="str">
        <f t="shared" si="5"/>
        <v/>
      </c>
      <c r="I68" s="262"/>
    </row>
    <row r="69" spans="1:9">
      <c r="A69" s="257">
        <v>67</v>
      </c>
      <c r="B69" s="258">
        <v>44688</v>
      </c>
      <c r="C69" s="259">
        <v>149.83393599999999</v>
      </c>
      <c r="D69" s="260">
        <v>155.4601248026691</v>
      </c>
      <c r="E69" s="259">
        <f t="shared" si="3"/>
        <v>149.83393599999999</v>
      </c>
      <c r="F69" s="266"/>
      <c r="G69" s="190" t="str">
        <f t="shared" si="4"/>
        <v/>
      </c>
      <c r="H69" s="261" t="str">
        <f t="shared" si="5"/>
        <v/>
      </c>
      <c r="I69" s="262"/>
    </row>
    <row r="70" spans="1:9">
      <c r="A70" s="257">
        <v>68</v>
      </c>
      <c r="B70" s="258">
        <v>44689</v>
      </c>
      <c r="C70" s="259">
        <v>96.709090000000018</v>
      </c>
      <c r="D70" s="260">
        <v>155.4601248026691</v>
      </c>
      <c r="E70" s="259">
        <f t="shared" si="3"/>
        <v>96.709090000000018</v>
      </c>
      <c r="F70" s="266"/>
      <c r="G70" s="190" t="str">
        <f t="shared" si="4"/>
        <v/>
      </c>
      <c r="H70" s="261" t="str">
        <f t="shared" si="5"/>
        <v/>
      </c>
      <c r="I70" s="262"/>
    </row>
    <row r="71" spans="1:9">
      <c r="A71" s="257">
        <v>69</v>
      </c>
      <c r="B71" s="258">
        <v>44690</v>
      </c>
      <c r="C71" s="259">
        <v>59.726545000000002</v>
      </c>
      <c r="D71" s="260">
        <v>155.4601248026691</v>
      </c>
      <c r="E71" s="259">
        <f t="shared" si="3"/>
        <v>59.726545000000002</v>
      </c>
      <c r="F71" s="266"/>
      <c r="G71" s="190" t="str">
        <f t="shared" si="4"/>
        <v/>
      </c>
      <c r="H71" s="261" t="str">
        <f t="shared" si="5"/>
        <v/>
      </c>
      <c r="I71" s="262"/>
    </row>
    <row r="72" spans="1:9">
      <c r="A72" s="257">
        <v>70</v>
      </c>
      <c r="B72" s="258">
        <v>44691</v>
      </c>
      <c r="C72" s="259">
        <v>78.450383000000002</v>
      </c>
      <c r="D72" s="260">
        <v>155.4601248026691</v>
      </c>
      <c r="E72" s="259">
        <f t="shared" si="3"/>
        <v>78.450383000000002</v>
      </c>
      <c r="F72" s="266"/>
      <c r="G72" s="190" t="str">
        <f t="shared" si="4"/>
        <v/>
      </c>
      <c r="H72" s="261" t="str">
        <f t="shared" si="5"/>
        <v/>
      </c>
      <c r="I72" s="262"/>
    </row>
    <row r="73" spans="1:9">
      <c r="A73" s="257">
        <v>71</v>
      </c>
      <c r="B73" s="258">
        <v>44692</v>
      </c>
      <c r="C73" s="259">
        <v>124.94933900000001</v>
      </c>
      <c r="D73" s="260">
        <v>155.4601248026691</v>
      </c>
      <c r="E73" s="259">
        <f t="shared" si="3"/>
        <v>124.94933900000001</v>
      </c>
      <c r="F73" s="266"/>
      <c r="G73" s="190" t="str">
        <f t="shared" si="4"/>
        <v/>
      </c>
      <c r="H73" s="261" t="str">
        <f t="shared" si="5"/>
        <v/>
      </c>
      <c r="I73" s="262"/>
    </row>
    <row r="74" spans="1:9">
      <c r="A74" s="257">
        <v>72</v>
      </c>
      <c r="B74" s="258">
        <v>44693</v>
      </c>
      <c r="C74" s="259">
        <v>131.41055</v>
      </c>
      <c r="D74" s="260">
        <v>155.4601248026691</v>
      </c>
      <c r="E74" s="259">
        <f t="shared" si="3"/>
        <v>131.41055</v>
      </c>
      <c r="F74" s="266"/>
      <c r="G74" s="190" t="str">
        <f t="shared" si="4"/>
        <v/>
      </c>
      <c r="H74" s="261" t="str">
        <f t="shared" si="5"/>
        <v/>
      </c>
      <c r="I74" s="262"/>
    </row>
    <row r="75" spans="1:9">
      <c r="A75" s="257">
        <v>73</v>
      </c>
      <c r="B75" s="258">
        <v>44694</v>
      </c>
      <c r="C75" s="259">
        <v>50.087851999999998</v>
      </c>
      <c r="D75" s="260">
        <v>155.4601248026691</v>
      </c>
      <c r="E75" s="259">
        <f t="shared" si="3"/>
        <v>50.087851999999998</v>
      </c>
      <c r="F75" s="266"/>
      <c r="G75" s="190" t="str">
        <f t="shared" si="4"/>
        <v/>
      </c>
      <c r="H75" s="261" t="str">
        <f t="shared" si="5"/>
        <v/>
      </c>
      <c r="I75" s="262"/>
    </row>
    <row r="76" spans="1:9">
      <c r="A76" s="257">
        <v>74</v>
      </c>
      <c r="B76" s="258">
        <v>44695</v>
      </c>
      <c r="C76" s="259">
        <v>107.47035799999999</v>
      </c>
      <c r="D76" s="260">
        <v>155.4601248026691</v>
      </c>
      <c r="E76" s="259">
        <f t="shared" si="3"/>
        <v>107.47035799999999</v>
      </c>
      <c r="F76" s="266"/>
      <c r="G76" s="190" t="str">
        <f t="shared" si="4"/>
        <v/>
      </c>
      <c r="H76" s="261" t="str">
        <f t="shared" si="5"/>
        <v/>
      </c>
      <c r="I76" s="262"/>
    </row>
    <row r="77" spans="1:9">
      <c r="A77" s="257">
        <v>75</v>
      </c>
      <c r="B77" s="258">
        <v>44696</v>
      </c>
      <c r="C77" s="259">
        <v>199.488371</v>
      </c>
      <c r="D77" s="260">
        <v>155.4601248026691</v>
      </c>
      <c r="E77" s="259">
        <f t="shared" si="3"/>
        <v>155.4601248026691</v>
      </c>
      <c r="F77" s="266"/>
      <c r="G77" s="190" t="str">
        <f t="shared" si="4"/>
        <v>M</v>
      </c>
      <c r="H77" s="261" t="str">
        <f t="shared" si="5"/>
        <v>155,5</v>
      </c>
      <c r="I77" s="262"/>
    </row>
    <row r="78" spans="1:9">
      <c r="A78" s="257">
        <v>76</v>
      </c>
      <c r="B78" s="258">
        <v>44697</v>
      </c>
      <c r="C78" s="259">
        <v>122.860922</v>
      </c>
      <c r="D78" s="260">
        <v>155.4601248026691</v>
      </c>
      <c r="E78" s="259">
        <f t="shared" si="3"/>
        <v>122.860922</v>
      </c>
      <c r="F78" s="266"/>
      <c r="G78" s="190" t="str">
        <f t="shared" si="4"/>
        <v/>
      </c>
      <c r="H78" s="261" t="str">
        <f t="shared" si="5"/>
        <v/>
      </c>
      <c r="I78" s="262"/>
    </row>
    <row r="79" spans="1:9">
      <c r="A79" s="257">
        <v>77</v>
      </c>
      <c r="B79" s="258">
        <v>44698</v>
      </c>
      <c r="C79" s="259">
        <v>106.023805</v>
      </c>
      <c r="D79" s="260">
        <v>155.4601248026691</v>
      </c>
      <c r="E79" s="259">
        <f t="shared" si="3"/>
        <v>106.023805</v>
      </c>
      <c r="F79" s="266"/>
      <c r="G79" s="190" t="str">
        <f t="shared" si="4"/>
        <v/>
      </c>
      <c r="H79" s="261" t="str">
        <f t="shared" si="5"/>
        <v/>
      </c>
      <c r="I79" s="262"/>
    </row>
    <row r="80" spans="1:9">
      <c r="A80" s="257">
        <v>78</v>
      </c>
      <c r="B80" s="258">
        <v>44699</v>
      </c>
      <c r="C80" s="259">
        <v>111.492901</v>
      </c>
      <c r="D80" s="260">
        <v>155.4601248026691</v>
      </c>
      <c r="E80" s="259">
        <f t="shared" si="3"/>
        <v>111.492901</v>
      </c>
      <c r="F80" s="266"/>
      <c r="G80" s="190" t="str">
        <f t="shared" si="4"/>
        <v/>
      </c>
      <c r="H80" s="261" t="str">
        <f t="shared" si="5"/>
        <v/>
      </c>
      <c r="I80" s="262"/>
    </row>
    <row r="81" spans="1:9">
      <c r="A81" s="257">
        <v>79</v>
      </c>
      <c r="B81" s="258">
        <v>44700</v>
      </c>
      <c r="C81" s="259">
        <v>188.84224700000001</v>
      </c>
      <c r="D81" s="260">
        <v>155.4601248026691</v>
      </c>
      <c r="E81" s="259">
        <f t="shared" si="3"/>
        <v>155.4601248026691</v>
      </c>
      <c r="F81" s="266"/>
      <c r="G81" s="190" t="str">
        <f t="shared" si="4"/>
        <v/>
      </c>
      <c r="H81" s="261" t="str">
        <f t="shared" si="5"/>
        <v/>
      </c>
      <c r="I81" s="262"/>
    </row>
    <row r="82" spans="1:9">
      <c r="A82" s="257">
        <v>80</v>
      </c>
      <c r="B82" s="258">
        <v>44701</v>
      </c>
      <c r="C82" s="259">
        <v>205.51184000000001</v>
      </c>
      <c r="D82" s="260">
        <v>155.4601248026691</v>
      </c>
      <c r="E82" s="259">
        <f t="shared" si="3"/>
        <v>155.4601248026691</v>
      </c>
      <c r="F82" s="266"/>
      <c r="G82" s="190" t="str">
        <f t="shared" si="4"/>
        <v/>
      </c>
      <c r="H82" s="261" t="str">
        <f t="shared" si="5"/>
        <v/>
      </c>
      <c r="I82" s="262"/>
    </row>
    <row r="83" spans="1:9">
      <c r="A83" s="257">
        <v>81</v>
      </c>
      <c r="B83" s="258">
        <v>44702</v>
      </c>
      <c r="C83" s="259">
        <v>170.17882799999998</v>
      </c>
      <c r="D83" s="260">
        <v>155.4601248026691</v>
      </c>
      <c r="E83" s="259">
        <f t="shared" si="3"/>
        <v>155.4601248026691</v>
      </c>
      <c r="F83" s="266"/>
      <c r="G83" s="190" t="str">
        <f t="shared" si="4"/>
        <v/>
      </c>
      <c r="H83" s="261" t="str">
        <f t="shared" si="5"/>
        <v/>
      </c>
      <c r="I83" s="262"/>
    </row>
    <row r="84" spans="1:9">
      <c r="A84" s="257">
        <v>82</v>
      </c>
      <c r="B84" s="258">
        <v>44703</v>
      </c>
      <c r="C84" s="259">
        <v>151.68245899999999</v>
      </c>
      <c r="D84" s="260">
        <v>155.4601248026691</v>
      </c>
      <c r="E84" s="259">
        <f t="shared" si="3"/>
        <v>151.68245899999999</v>
      </c>
      <c r="F84" s="266"/>
      <c r="G84" s="190" t="str">
        <f t="shared" si="4"/>
        <v/>
      </c>
      <c r="H84" s="261" t="str">
        <f t="shared" si="5"/>
        <v/>
      </c>
      <c r="I84" s="262"/>
    </row>
    <row r="85" spans="1:9">
      <c r="A85" s="257">
        <v>83</v>
      </c>
      <c r="B85" s="258">
        <v>44704</v>
      </c>
      <c r="C85" s="259">
        <v>167.328675</v>
      </c>
      <c r="D85" s="260">
        <v>155.4601248026691</v>
      </c>
      <c r="E85" s="259">
        <f t="shared" si="3"/>
        <v>155.4601248026691</v>
      </c>
      <c r="F85" s="266"/>
      <c r="G85" s="190" t="str">
        <f t="shared" si="4"/>
        <v/>
      </c>
      <c r="H85" s="261" t="str">
        <f t="shared" si="5"/>
        <v/>
      </c>
      <c r="I85" s="262"/>
    </row>
    <row r="86" spans="1:9">
      <c r="A86" s="257">
        <v>84</v>
      </c>
      <c r="B86" s="258">
        <v>44705</v>
      </c>
      <c r="C86" s="259">
        <v>194.85888699999998</v>
      </c>
      <c r="D86" s="260">
        <v>155.4601248026691</v>
      </c>
      <c r="E86" s="259">
        <f t="shared" si="3"/>
        <v>155.4601248026691</v>
      </c>
      <c r="F86" s="266"/>
      <c r="G86" s="190" t="str">
        <f t="shared" si="4"/>
        <v/>
      </c>
      <c r="H86" s="261" t="str">
        <f t="shared" si="5"/>
        <v/>
      </c>
      <c r="I86" s="262"/>
    </row>
    <row r="87" spans="1:9">
      <c r="A87" s="257">
        <v>85</v>
      </c>
      <c r="B87" s="258">
        <v>44706</v>
      </c>
      <c r="C87" s="259">
        <v>233.46403899999999</v>
      </c>
      <c r="D87" s="260">
        <v>155.4601248026691</v>
      </c>
      <c r="E87" s="259">
        <f t="shared" si="3"/>
        <v>155.4601248026691</v>
      </c>
      <c r="F87" s="266"/>
      <c r="G87" s="190" t="str">
        <f t="shared" si="4"/>
        <v/>
      </c>
      <c r="H87" s="261" t="str">
        <f t="shared" si="5"/>
        <v/>
      </c>
      <c r="I87" s="262"/>
    </row>
    <row r="88" spans="1:9">
      <c r="A88" s="257">
        <v>86</v>
      </c>
      <c r="B88" s="258">
        <v>44707</v>
      </c>
      <c r="C88" s="259">
        <v>251.71131899999997</v>
      </c>
      <c r="D88" s="260">
        <v>155.4601248026691</v>
      </c>
      <c r="E88" s="259">
        <f t="shared" si="3"/>
        <v>155.4601248026691</v>
      </c>
      <c r="F88" s="266"/>
      <c r="G88" s="190" t="str">
        <f t="shared" si="4"/>
        <v/>
      </c>
      <c r="H88" s="261" t="str">
        <f t="shared" si="5"/>
        <v/>
      </c>
      <c r="I88" s="262"/>
    </row>
    <row r="89" spans="1:9">
      <c r="A89" s="257">
        <v>87</v>
      </c>
      <c r="B89" s="258">
        <v>44708</v>
      </c>
      <c r="C89" s="259">
        <v>223.382599</v>
      </c>
      <c r="D89" s="260">
        <v>155.4601248026691</v>
      </c>
      <c r="E89" s="259">
        <f t="shared" si="3"/>
        <v>155.4601248026691</v>
      </c>
      <c r="F89" s="266"/>
      <c r="G89" s="190" t="str">
        <f t="shared" si="4"/>
        <v/>
      </c>
      <c r="H89" s="261" t="str">
        <f t="shared" si="5"/>
        <v/>
      </c>
      <c r="I89" s="262"/>
    </row>
    <row r="90" spans="1:9">
      <c r="A90" s="257">
        <v>88</v>
      </c>
      <c r="B90" s="258">
        <v>44709</v>
      </c>
      <c r="C90" s="259">
        <v>142.279313</v>
      </c>
      <c r="D90" s="260">
        <v>155.4601248026691</v>
      </c>
      <c r="E90" s="259">
        <f t="shared" si="3"/>
        <v>142.279313</v>
      </c>
      <c r="F90" s="266"/>
      <c r="G90" s="190" t="str">
        <f t="shared" si="4"/>
        <v/>
      </c>
      <c r="H90" s="261" t="str">
        <f t="shared" si="5"/>
        <v/>
      </c>
      <c r="I90" s="262"/>
    </row>
    <row r="91" spans="1:9">
      <c r="A91" s="257">
        <v>89</v>
      </c>
      <c r="B91" s="258">
        <v>44710</v>
      </c>
      <c r="C91" s="259">
        <v>146.91013100000004</v>
      </c>
      <c r="D91" s="260">
        <v>155.4601248026691</v>
      </c>
      <c r="E91" s="259">
        <f t="shared" si="3"/>
        <v>146.91013100000004</v>
      </c>
      <c r="F91" s="266"/>
      <c r="G91" s="190" t="str">
        <f t="shared" si="4"/>
        <v/>
      </c>
      <c r="H91" s="261" t="str">
        <f t="shared" si="5"/>
        <v/>
      </c>
      <c r="I91" s="262"/>
    </row>
    <row r="92" spans="1:9">
      <c r="A92" s="257">
        <v>90</v>
      </c>
      <c r="B92" s="258">
        <v>44711</v>
      </c>
      <c r="C92" s="259">
        <v>102.34970799999999</v>
      </c>
      <c r="D92" s="260">
        <v>155.4601248026691</v>
      </c>
      <c r="E92" s="259">
        <f t="shared" si="3"/>
        <v>102.34970799999999</v>
      </c>
      <c r="F92" s="266"/>
      <c r="G92" s="190" t="str">
        <f t="shared" si="4"/>
        <v/>
      </c>
      <c r="H92" s="261" t="str">
        <f t="shared" si="5"/>
        <v/>
      </c>
      <c r="I92" s="262"/>
    </row>
    <row r="93" spans="1:9">
      <c r="A93" s="257">
        <v>91</v>
      </c>
      <c r="B93" s="258">
        <v>44712</v>
      </c>
      <c r="C93" s="259">
        <v>50.245027999999998</v>
      </c>
      <c r="D93" s="260">
        <v>155.4601248026691</v>
      </c>
      <c r="E93" s="259">
        <f t="shared" si="3"/>
        <v>50.245027999999998</v>
      </c>
      <c r="F93" s="266"/>
      <c r="G93" s="190" t="str">
        <f t="shared" si="4"/>
        <v/>
      </c>
      <c r="H93" s="261" t="str">
        <f t="shared" si="5"/>
        <v/>
      </c>
      <c r="I93" s="262"/>
    </row>
    <row r="94" spans="1:9">
      <c r="A94" s="257">
        <v>92</v>
      </c>
      <c r="B94" s="258">
        <v>44713</v>
      </c>
      <c r="C94" s="259">
        <v>114.469402</v>
      </c>
      <c r="D94" s="260">
        <v>160.64212896275805</v>
      </c>
      <c r="E94" s="259">
        <f t="shared" si="3"/>
        <v>114.469402</v>
      </c>
      <c r="F94" s="262"/>
      <c r="G94" s="190" t="str">
        <f t="shared" si="4"/>
        <v/>
      </c>
      <c r="H94" s="261" t="str">
        <f t="shared" si="5"/>
        <v/>
      </c>
      <c r="I94" s="262"/>
    </row>
    <row r="95" spans="1:9">
      <c r="A95" s="257">
        <v>93</v>
      </c>
      <c r="B95" s="258">
        <v>44714</v>
      </c>
      <c r="C95" s="259">
        <v>69.91986</v>
      </c>
      <c r="D95" s="260">
        <v>129.06134561510228</v>
      </c>
      <c r="E95" s="259">
        <f t="shared" si="3"/>
        <v>69.91986</v>
      </c>
      <c r="F95" s="266"/>
      <c r="G95" s="190" t="str">
        <f t="shared" si="4"/>
        <v/>
      </c>
      <c r="H95" s="261" t="str">
        <f t="shared" si="5"/>
        <v/>
      </c>
      <c r="I95" s="262"/>
    </row>
    <row r="96" spans="1:9">
      <c r="A96" s="257">
        <v>94</v>
      </c>
      <c r="B96" s="258">
        <v>44715</v>
      </c>
      <c r="C96" s="259">
        <v>74.851303000000001</v>
      </c>
      <c r="D96" s="260">
        <v>129.06134561510228</v>
      </c>
      <c r="E96" s="259">
        <f t="shared" si="3"/>
        <v>74.851303000000001</v>
      </c>
      <c r="F96" s="266"/>
      <c r="G96" s="190" t="str">
        <f t="shared" si="4"/>
        <v/>
      </c>
      <c r="H96" s="261" t="str">
        <f t="shared" si="5"/>
        <v/>
      </c>
      <c r="I96" s="262"/>
    </row>
    <row r="97" spans="1:9">
      <c r="A97" s="257">
        <v>95</v>
      </c>
      <c r="B97" s="258">
        <v>44716</v>
      </c>
      <c r="C97" s="259">
        <v>81.655464999999992</v>
      </c>
      <c r="D97" s="260">
        <v>129.06134561510228</v>
      </c>
      <c r="E97" s="259">
        <f t="shared" si="3"/>
        <v>81.655464999999992</v>
      </c>
      <c r="F97" s="266"/>
      <c r="G97" s="190" t="str">
        <f t="shared" si="4"/>
        <v/>
      </c>
      <c r="H97" s="261" t="str">
        <f t="shared" si="5"/>
        <v/>
      </c>
      <c r="I97" s="262"/>
    </row>
    <row r="98" spans="1:9">
      <c r="A98" s="257">
        <v>96</v>
      </c>
      <c r="B98" s="258">
        <v>44717</v>
      </c>
      <c r="C98" s="259">
        <v>74.862791000000001</v>
      </c>
      <c r="D98" s="260">
        <v>129.06134561510228</v>
      </c>
      <c r="E98" s="259">
        <f t="shared" si="3"/>
        <v>74.862791000000001</v>
      </c>
      <c r="F98" s="266"/>
      <c r="G98" s="190" t="str">
        <f t="shared" si="4"/>
        <v/>
      </c>
      <c r="H98" s="261" t="str">
        <f t="shared" si="5"/>
        <v/>
      </c>
      <c r="I98" s="262"/>
    </row>
    <row r="99" spans="1:9">
      <c r="A99" s="257">
        <v>97</v>
      </c>
      <c r="B99" s="258">
        <v>44718</v>
      </c>
      <c r="C99" s="259">
        <v>89.282972000000001</v>
      </c>
      <c r="D99" s="260">
        <v>129.06134561510228</v>
      </c>
      <c r="E99" s="259">
        <f t="shared" si="3"/>
        <v>89.282972000000001</v>
      </c>
      <c r="F99" s="266"/>
      <c r="G99" s="190" t="str">
        <f t="shared" si="4"/>
        <v/>
      </c>
      <c r="H99" s="261" t="str">
        <f t="shared" si="5"/>
        <v/>
      </c>
      <c r="I99" s="262"/>
    </row>
    <row r="100" spans="1:9">
      <c r="A100" s="257">
        <v>98</v>
      </c>
      <c r="B100" s="258">
        <v>44719</v>
      </c>
      <c r="C100" s="259">
        <v>83.434060000000002</v>
      </c>
      <c r="D100" s="260">
        <v>129.06134561510228</v>
      </c>
      <c r="E100" s="259">
        <f t="shared" si="3"/>
        <v>83.434060000000002</v>
      </c>
      <c r="F100" s="266"/>
      <c r="G100" s="190" t="str">
        <f t="shared" si="4"/>
        <v/>
      </c>
      <c r="H100" s="261" t="str">
        <f t="shared" si="5"/>
        <v/>
      </c>
      <c r="I100" s="262"/>
    </row>
    <row r="101" spans="1:9">
      <c r="A101" s="257">
        <v>99</v>
      </c>
      <c r="B101" s="258">
        <v>44720</v>
      </c>
      <c r="C101" s="259">
        <v>176.10880899999998</v>
      </c>
      <c r="D101" s="260">
        <v>129.06134561510228</v>
      </c>
      <c r="E101" s="259">
        <f t="shared" si="3"/>
        <v>129.06134561510228</v>
      </c>
      <c r="F101" s="266"/>
      <c r="G101" s="190" t="str">
        <f t="shared" si="4"/>
        <v/>
      </c>
      <c r="H101" s="261" t="str">
        <f t="shared" si="5"/>
        <v/>
      </c>
      <c r="I101" s="262"/>
    </row>
    <row r="102" spans="1:9">
      <c r="A102" s="257">
        <v>100</v>
      </c>
      <c r="B102" s="258">
        <v>44721</v>
      </c>
      <c r="C102" s="259">
        <v>160.51319900000001</v>
      </c>
      <c r="D102" s="260">
        <v>129.06134561510228</v>
      </c>
      <c r="E102" s="259">
        <f t="shared" si="3"/>
        <v>129.06134561510228</v>
      </c>
      <c r="F102" s="266"/>
      <c r="G102" s="190" t="str">
        <f t="shared" si="4"/>
        <v/>
      </c>
      <c r="H102" s="261" t="str">
        <f t="shared" si="5"/>
        <v/>
      </c>
      <c r="I102" s="262"/>
    </row>
    <row r="103" spans="1:9">
      <c r="A103" s="257">
        <v>101</v>
      </c>
      <c r="B103" s="258">
        <v>44722</v>
      </c>
      <c r="C103" s="259">
        <v>125.335545</v>
      </c>
      <c r="D103" s="260">
        <v>129.06134561510228</v>
      </c>
      <c r="E103" s="259">
        <f t="shared" si="3"/>
        <v>125.335545</v>
      </c>
      <c r="F103" s="266"/>
      <c r="G103" s="190" t="str">
        <f t="shared" si="4"/>
        <v/>
      </c>
      <c r="H103" s="261" t="str">
        <f t="shared" si="5"/>
        <v/>
      </c>
      <c r="I103" s="262"/>
    </row>
    <row r="104" spans="1:9">
      <c r="A104" s="257">
        <v>102</v>
      </c>
      <c r="B104" s="258">
        <v>44723</v>
      </c>
      <c r="C104" s="259">
        <v>174.54805300000001</v>
      </c>
      <c r="D104" s="260">
        <v>129.06134561510228</v>
      </c>
      <c r="E104" s="259">
        <f t="shared" si="3"/>
        <v>129.06134561510228</v>
      </c>
      <c r="F104" s="266"/>
      <c r="G104" s="190" t="str">
        <f t="shared" si="4"/>
        <v/>
      </c>
      <c r="H104" s="261" t="str">
        <f t="shared" si="5"/>
        <v/>
      </c>
      <c r="I104" s="262"/>
    </row>
    <row r="105" spans="1:9">
      <c r="A105" s="257">
        <v>103</v>
      </c>
      <c r="B105" s="258">
        <v>44724</v>
      </c>
      <c r="C105" s="259">
        <v>201.030113</v>
      </c>
      <c r="D105" s="260">
        <v>129.06134561510228</v>
      </c>
      <c r="E105" s="259">
        <f t="shared" si="3"/>
        <v>129.06134561510228</v>
      </c>
      <c r="F105" s="266"/>
      <c r="G105" s="190" t="str">
        <f t="shared" si="4"/>
        <v/>
      </c>
      <c r="H105" s="261" t="str">
        <f t="shared" si="5"/>
        <v/>
      </c>
      <c r="I105" s="262"/>
    </row>
    <row r="106" spans="1:9">
      <c r="A106" s="257">
        <v>104</v>
      </c>
      <c r="B106" s="258">
        <v>44725</v>
      </c>
      <c r="C106" s="259">
        <v>162.22419699999998</v>
      </c>
      <c r="D106" s="260">
        <v>129.06134561510228</v>
      </c>
      <c r="E106" s="259">
        <f t="shared" si="3"/>
        <v>129.06134561510228</v>
      </c>
      <c r="F106" s="266"/>
      <c r="G106" s="190" t="str">
        <f t="shared" si="4"/>
        <v/>
      </c>
      <c r="H106" s="261" t="str">
        <f t="shared" si="5"/>
        <v/>
      </c>
      <c r="I106" s="262"/>
    </row>
    <row r="107" spans="1:9">
      <c r="A107" s="257">
        <v>105</v>
      </c>
      <c r="B107" s="258">
        <v>44726</v>
      </c>
      <c r="C107" s="259">
        <v>85.426520000000011</v>
      </c>
      <c r="D107" s="260">
        <v>129.06134561510228</v>
      </c>
      <c r="E107" s="259">
        <f t="shared" si="3"/>
        <v>85.426520000000011</v>
      </c>
      <c r="F107" s="266"/>
      <c r="G107" s="190" t="str">
        <f t="shared" si="4"/>
        <v/>
      </c>
      <c r="H107" s="261" t="str">
        <f t="shared" si="5"/>
        <v/>
      </c>
      <c r="I107" s="262"/>
    </row>
    <row r="108" spans="1:9">
      <c r="A108" s="257">
        <v>106</v>
      </c>
      <c r="B108" s="258">
        <v>44727</v>
      </c>
      <c r="C108" s="259">
        <v>96.34526799999999</v>
      </c>
      <c r="D108" s="260">
        <v>129.06134561510228</v>
      </c>
      <c r="E108" s="259">
        <f t="shared" si="3"/>
        <v>96.34526799999999</v>
      </c>
      <c r="F108" s="266"/>
      <c r="G108" s="190" t="str">
        <f t="shared" si="4"/>
        <v>J</v>
      </c>
      <c r="H108" s="261" t="str">
        <f t="shared" si="5"/>
        <v>129,1</v>
      </c>
      <c r="I108" s="262"/>
    </row>
    <row r="109" spans="1:9">
      <c r="A109" s="257">
        <v>107</v>
      </c>
      <c r="B109" s="258">
        <v>44728</v>
      </c>
      <c r="C109" s="259">
        <v>102.009258</v>
      </c>
      <c r="D109" s="260">
        <v>129.06134561510228</v>
      </c>
      <c r="E109" s="259">
        <f t="shared" si="3"/>
        <v>102.009258</v>
      </c>
      <c r="F109" s="266"/>
      <c r="G109" s="190" t="str">
        <f t="shared" si="4"/>
        <v/>
      </c>
      <c r="H109" s="261" t="str">
        <f t="shared" si="5"/>
        <v/>
      </c>
      <c r="I109" s="262"/>
    </row>
    <row r="110" spans="1:9">
      <c r="A110" s="257">
        <v>108</v>
      </c>
      <c r="B110" s="258">
        <v>44729</v>
      </c>
      <c r="C110" s="259">
        <v>122.272419</v>
      </c>
      <c r="D110" s="260">
        <v>129.06134561510228</v>
      </c>
      <c r="E110" s="259">
        <f t="shared" si="3"/>
        <v>122.272419</v>
      </c>
      <c r="F110" s="266"/>
      <c r="G110" s="190" t="str">
        <f t="shared" si="4"/>
        <v/>
      </c>
      <c r="H110" s="261" t="str">
        <f t="shared" si="5"/>
        <v/>
      </c>
      <c r="I110" s="262"/>
    </row>
    <row r="111" spans="1:9">
      <c r="A111" s="257">
        <v>109</v>
      </c>
      <c r="B111" s="258">
        <v>44730</v>
      </c>
      <c r="C111" s="259">
        <v>183.020456</v>
      </c>
      <c r="D111" s="260">
        <v>129.06134561510228</v>
      </c>
      <c r="E111" s="259">
        <f t="shared" si="3"/>
        <v>129.06134561510228</v>
      </c>
      <c r="F111" s="266"/>
      <c r="G111" s="190" t="str">
        <f t="shared" si="4"/>
        <v/>
      </c>
      <c r="H111" s="261" t="str">
        <f t="shared" si="5"/>
        <v/>
      </c>
      <c r="I111" s="262"/>
    </row>
    <row r="112" spans="1:9">
      <c r="A112" s="257">
        <v>110</v>
      </c>
      <c r="B112" s="258">
        <v>44731</v>
      </c>
      <c r="C112" s="259">
        <v>209.81896399999997</v>
      </c>
      <c r="D112" s="260">
        <v>129.06134561510228</v>
      </c>
      <c r="E112" s="259">
        <f t="shared" si="3"/>
        <v>129.06134561510228</v>
      </c>
      <c r="F112" s="266"/>
      <c r="G112" s="190" t="str">
        <f t="shared" si="4"/>
        <v/>
      </c>
      <c r="H112" s="261" t="str">
        <f t="shared" si="5"/>
        <v/>
      </c>
      <c r="I112" s="262"/>
    </row>
    <row r="113" spans="1:9">
      <c r="A113" s="257">
        <v>111</v>
      </c>
      <c r="B113" s="258">
        <v>44732</v>
      </c>
      <c r="C113" s="259">
        <v>110.232758</v>
      </c>
      <c r="D113" s="260">
        <v>129.06134561510228</v>
      </c>
      <c r="E113" s="259">
        <f t="shared" si="3"/>
        <v>110.232758</v>
      </c>
      <c r="F113" s="266"/>
      <c r="G113" s="190" t="str">
        <f t="shared" si="4"/>
        <v/>
      </c>
      <c r="H113" s="261" t="str">
        <f t="shared" si="5"/>
        <v/>
      </c>
      <c r="I113" s="262"/>
    </row>
    <row r="114" spans="1:9">
      <c r="A114" s="257">
        <v>112</v>
      </c>
      <c r="B114" s="258">
        <v>44733</v>
      </c>
      <c r="C114" s="259">
        <v>91.480260000000001</v>
      </c>
      <c r="D114" s="260">
        <v>129.06134561510228</v>
      </c>
      <c r="E114" s="259">
        <f t="shared" si="3"/>
        <v>91.480260000000001</v>
      </c>
      <c r="F114" s="266"/>
      <c r="G114" s="190" t="str">
        <f t="shared" si="4"/>
        <v/>
      </c>
      <c r="H114" s="261" t="str">
        <f t="shared" si="5"/>
        <v/>
      </c>
      <c r="I114" s="262"/>
    </row>
    <row r="115" spans="1:9">
      <c r="A115" s="257">
        <v>113</v>
      </c>
      <c r="B115" s="258">
        <v>44734</v>
      </c>
      <c r="C115" s="259">
        <v>80.341551999999993</v>
      </c>
      <c r="D115" s="260">
        <v>129.06134561510228</v>
      </c>
      <c r="E115" s="259">
        <f t="shared" si="3"/>
        <v>80.341551999999993</v>
      </c>
      <c r="F115" s="266"/>
      <c r="G115" s="190" t="str">
        <f t="shared" si="4"/>
        <v/>
      </c>
      <c r="H115" s="261" t="str">
        <f t="shared" si="5"/>
        <v/>
      </c>
      <c r="I115" s="262"/>
    </row>
    <row r="116" spans="1:9">
      <c r="A116" s="257">
        <v>114</v>
      </c>
      <c r="B116" s="258">
        <v>44735</v>
      </c>
      <c r="C116" s="259">
        <v>115.55071599999999</v>
      </c>
      <c r="D116" s="260">
        <v>129.06134561510228</v>
      </c>
      <c r="E116" s="259">
        <f t="shared" si="3"/>
        <v>115.55071599999999</v>
      </c>
      <c r="F116" s="266"/>
      <c r="G116" s="190" t="str">
        <f t="shared" si="4"/>
        <v/>
      </c>
      <c r="H116" s="261" t="str">
        <f t="shared" si="5"/>
        <v/>
      </c>
      <c r="I116" s="262"/>
    </row>
    <row r="117" spans="1:9">
      <c r="A117" s="257">
        <v>115</v>
      </c>
      <c r="B117" s="258">
        <v>44736</v>
      </c>
      <c r="C117" s="259">
        <v>143.14941099999999</v>
      </c>
      <c r="D117" s="260">
        <v>129.06134561510228</v>
      </c>
      <c r="E117" s="259">
        <f t="shared" si="3"/>
        <v>129.06134561510228</v>
      </c>
      <c r="F117" s="266"/>
      <c r="G117" s="190" t="str">
        <f t="shared" si="4"/>
        <v/>
      </c>
      <c r="H117" s="261" t="str">
        <f t="shared" si="5"/>
        <v/>
      </c>
      <c r="I117" s="262"/>
    </row>
    <row r="118" spans="1:9">
      <c r="A118" s="257">
        <v>116</v>
      </c>
      <c r="B118" s="258">
        <v>44737</v>
      </c>
      <c r="C118" s="259">
        <v>111.75493</v>
      </c>
      <c r="D118" s="260">
        <v>129.06134561510228</v>
      </c>
      <c r="E118" s="259">
        <f t="shared" si="3"/>
        <v>111.75493</v>
      </c>
      <c r="F118" s="266"/>
      <c r="G118" s="190" t="str">
        <f t="shared" si="4"/>
        <v/>
      </c>
      <c r="H118" s="261" t="str">
        <f t="shared" si="5"/>
        <v/>
      </c>
      <c r="I118" s="262"/>
    </row>
    <row r="119" spans="1:9">
      <c r="A119" s="257">
        <v>117</v>
      </c>
      <c r="B119" s="258">
        <v>44738</v>
      </c>
      <c r="C119" s="259">
        <v>120.82771200000001</v>
      </c>
      <c r="D119" s="260">
        <v>129.06134561510228</v>
      </c>
      <c r="E119" s="259">
        <f t="shared" si="3"/>
        <v>120.82771200000001</v>
      </c>
      <c r="F119" s="266"/>
      <c r="G119" s="190" t="str">
        <f t="shared" si="4"/>
        <v/>
      </c>
      <c r="H119" s="261" t="str">
        <f t="shared" si="5"/>
        <v/>
      </c>
      <c r="I119" s="262"/>
    </row>
    <row r="120" spans="1:9">
      <c r="A120" s="257">
        <v>118</v>
      </c>
      <c r="B120" s="258">
        <v>44739</v>
      </c>
      <c r="C120" s="259">
        <v>189.780372</v>
      </c>
      <c r="D120" s="260">
        <v>129.06134561510228</v>
      </c>
      <c r="E120" s="259">
        <f t="shared" si="3"/>
        <v>129.06134561510228</v>
      </c>
      <c r="F120" s="266"/>
      <c r="G120" s="190" t="str">
        <f t="shared" si="4"/>
        <v/>
      </c>
      <c r="H120" s="261" t="str">
        <f t="shared" si="5"/>
        <v/>
      </c>
      <c r="I120" s="262"/>
    </row>
    <row r="121" spans="1:9">
      <c r="A121" s="257">
        <v>119</v>
      </c>
      <c r="B121" s="258">
        <v>44740</v>
      </c>
      <c r="C121" s="259">
        <v>77.617750999999998</v>
      </c>
      <c r="D121" s="260">
        <v>129.06134561510228</v>
      </c>
      <c r="E121" s="259">
        <f t="shared" si="3"/>
        <v>77.617750999999998</v>
      </c>
      <c r="F121" s="266"/>
      <c r="G121" s="190" t="str">
        <f t="shared" si="4"/>
        <v/>
      </c>
      <c r="H121" s="261" t="str">
        <f t="shared" si="5"/>
        <v/>
      </c>
      <c r="I121" s="262"/>
    </row>
    <row r="122" spans="1:9">
      <c r="A122" s="257">
        <v>120</v>
      </c>
      <c r="B122" s="258">
        <v>44741</v>
      </c>
      <c r="C122" s="259">
        <v>109.25360099999999</v>
      </c>
      <c r="D122" s="260">
        <v>129.06134561510228</v>
      </c>
      <c r="E122" s="259">
        <f t="shared" si="3"/>
        <v>109.25360099999999</v>
      </c>
      <c r="F122" s="266"/>
      <c r="G122" s="190" t="str">
        <f t="shared" si="4"/>
        <v/>
      </c>
      <c r="H122" s="261" t="str">
        <f t="shared" si="5"/>
        <v/>
      </c>
      <c r="I122" s="262"/>
    </row>
    <row r="123" spans="1:9">
      <c r="A123" s="257">
        <v>121</v>
      </c>
      <c r="B123" s="258">
        <v>44742</v>
      </c>
      <c r="C123" s="259">
        <v>136.04589899999999</v>
      </c>
      <c r="D123" s="260">
        <v>129.06134561510228</v>
      </c>
      <c r="E123" s="259">
        <f t="shared" si="3"/>
        <v>129.06134561510228</v>
      </c>
      <c r="F123" s="266"/>
      <c r="G123" s="190" t="str">
        <f t="shared" si="4"/>
        <v/>
      </c>
      <c r="H123" s="261" t="str">
        <f t="shared" si="5"/>
        <v/>
      </c>
      <c r="I123" s="262"/>
    </row>
    <row r="124" spans="1:9">
      <c r="A124" s="257">
        <v>122</v>
      </c>
      <c r="B124" s="258">
        <v>44743</v>
      </c>
      <c r="C124" s="259">
        <v>112.46213200000001</v>
      </c>
      <c r="D124" s="260">
        <v>127.62290388186472</v>
      </c>
      <c r="E124" s="259">
        <f t="shared" si="3"/>
        <v>112.46213200000001</v>
      </c>
      <c r="F124" s="262"/>
      <c r="G124" s="190" t="str">
        <f t="shared" si="4"/>
        <v/>
      </c>
      <c r="H124" s="261" t="str">
        <f t="shared" si="5"/>
        <v/>
      </c>
      <c r="I124" s="262"/>
    </row>
    <row r="125" spans="1:9">
      <c r="A125" s="257">
        <v>123</v>
      </c>
      <c r="B125" s="258">
        <v>44744</v>
      </c>
      <c r="C125" s="259">
        <v>135.74050900000003</v>
      </c>
      <c r="D125" s="260">
        <v>127.62290388186472</v>
      </c>
      <c r="E125" s="259">
        <f t="shared" si="3"/>
        <v>127.62290388186472</v>
      </c>
      <c r="F125" s="266"/>
      <c r="G125" s="190" t="str">
        <f t="shared" si="4"/>
        <v/>
      </c>
      <c r="H125" s="261" t="str">
        <f t="shared" si="5"/>
        <v/>
      </c>
      <c r="I125" s="262"/>
    </row>
    <row r="126" spans="1:9">
      <c r="A126" s="257">
        <v>124</v>
      </c>
      <c r="B126" s="258">
        <v>44745</v>
      </c>
      <c r="C126" s="259">
        <v>163.06785500000001</v>
      </c>
      <c r="D126" s="260">
        <v>127.62290388186472</v>
      </c>
      <c r="E126" s="259">
        <f t="shared" si="3"/>
        <v>127.62290388186472</v>
      </c>
      <c r="F126" s="266"/>
      <c r="G126" s="190" t="str">
        <f t="shared" si="4"/>
        <v/>
      </c>
      <c r="H126" s="261" t="str">
        <f t="shared" si="5"/>
        <v/>
      </c>
      <c r="I126" s="262"/>
    </row>
    <row r="127" spans="1:9">
      <c r="A127" s="257">
        <v>125</v>
      </c>
      <c r="B127" s="258">
        <v>44746</v>
      </c>
      <c r="C127" s="259">
        <v>148.15029000000001</v>
      </c>
      <c r="D127" s="260">
        <v>127.62290388186472</v>
      </c>
      <c r="E127" s="259">
        <f t="shared" si="3"/>
        <v>127.62290388186472</v>
      </c>
      <c r="F127" s="266"/>
      <c r="G127" s="190" t="str">
        <f t="shared" si="4"/>
        <v/>
      </c>
      <c r="H127" s="261" t="str">
        <f t="shared" si="5"/>
        <v/>
      </c>
      <c r="I127" s="262"/>
    </row>
    <row r="128" spans="1:9">
      <c r="A128" s="257">
        <v>126</v>
      </c>
      <c r="B128" s="258">
        <v>44747</v>
      </c>
      <c r="C128" s="259">
        <v>217.51361900000001</v>
      </c>
      <c r="D128" s="260">
        <v>127.62290388186472</v>
      </c>
      <c r="E128" s="259">
        <f t="shared" si="3"/>
        <v>127.62290388186472</v>
      </c>
      <c r="F128" s="266"/>
      <c r="G128" s="190" t="str">
        <f t="shared" si="4"/>
        <v/>
      </c>
      <c r="H128" s="261" t="str">
        <f t="shared" si="5"/>
        <v/>
      </c>
      <c r="I128" s="262"/>
    </row>
    <row r="129" spans="1:9">
      <c r="A129" s="257">
        <v>127</v>
      </c>
      <c r="B129" s="258">
        <v>44748</v>
      </c>
      <c r="C129" s="259">
        <v>231.80355300000002</v>
      </c>
      <c r="D129" s="260">
        <v>127.62290388186472</v>
      </c>
      <c r="E129" s="259">
        <f t="shared" si="3"/>
        <v>127.62290388186472</v>
      </c>
      <c r="F129" s="266"/>
      <c r="G129" s="190" t="str">
        <f t="shared" si="4"/>
        <v/>
      </c>
      <c r="H129" s="261" t="str">
        <f t="shared" si="5"/>
        <v/>
      </c>
      <c r="I129" s="262"/>
    </row>
    <row r="130" spans="1:9">
      <c r="A130" s="257">
        <v>128</v>
      </c>
      <c r="B130" s="258">
        <v>44749</v>
      </c>
      <c r="C130" s="259">
        <v>261.86247800000001</v>
      </c>
      <c r="D130" s="260">
        <v>127.62290388186472</v>
      </c>
      <c r="E130" s="259">
        <f t="shared" si="3"/>
        <v>127.62290388186472</v>
      </c>
      <c r="F130" s="266"/>
      <c r="G130" s="190" t="str">
        <f t="shared" si="4"/>
        <v/>
      </c>
      <c r="H130" s="261" t="str">
        <f t="shared" si="5"/>
        <v/>
      </c>
      <c r="I130" s="262"/>
    </row>
    <row r="131" spans="1:9">
      <c r="A131" s="257">
        <v>129</v>
      </c>
      <c r="B131" s="258">
        <v>44750</v>
      </c>
      <c r="C131" s="259">
        <v>212.02170900000002</v>
      </c>
      <c r="D131" s="260">
        <v>127.62290388186472</v>
      </c>
      <c r="E131" s="259">
        <f t="shared" ref="E131:E194" si="6">IF(C131&gt;D131,D131,C131)</f>
        <v>127.62290388186472</v>
      </c>
      <c r="F131" s="266"/>
      <c r="G131" s="190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61" t="str">
        <f t="shared" ref="H131:H194" si="8">IF(DAY($B131)=15,TEXT(D131,"#,0"),"")</f>
        <v/>
      </c>
      <c r="I131" s="262"/>
    </row>
    <row r="132" spans="1:9">
      <c r="A132" s="257">
        <v>130</v>
      </c>
      <c r="B132" s="258">
        <v>44751</v>
      </c>
      <c r="C132" s="259">
        <v>140.391536</v>
      </c>
      <c r="D132" s="260">
        <v>127.62290388186472</v>
      </c>
      <c r="E132" s="259">
        <f t="shared" si="6"/>
        <v>127.62290388186472</v>
      </c>
      <c r="F132" s="266"/>
      <c r="G132" s="190" t="str">
        <f t="shared" si="7"/>
        <v/>
      </c>
      <c r="H132" s="261" t="str">
        <f t="shared" si="8"/>
        <v/>
      </c>
      <c r="I132" s="262"/>
    </row>
    <row r="133" spans="1:9">
      <c r="A133" s="257">
        <v>131</v>
      </c>
      <c r="B133" s="258">
        <v>44752</v>
      </c>
      <c r="C133" s="259">
        <v>103.92292900000001</v>
      </c>
      <c r="D133" s="260">
        <v>127.62290388186472</v>
      </c>
      <c r="E133" s="259">
        <f t="shared" si="6"/>
        <v>103.92292900000001</v>
      </c>
      <c r="F133" s="266"/>
      <c r="G133" s="190" t="str">
        <f t="shared" si="7"/>
        <v/>
      </c>
      <c r="H133" s="261" t="str">
        <f t="shared" si="8"/>
        <v/>
      </c>
      <c r="I133" s="262"/>
    </row>
    <row r="134" spans="1:9">
      <c r="A134" s="257">
        <v>132</v>
      </c>
      <c r="B134" s="258">
        <v>44753</v>
      </c>
      <c r="C134" s="259">
        <v>111.934833</v>
      </c>
      <c r="D134" s="260">
        <v>127.62290388186472</v>
      </c>
      <c r="E134" s="259">
        <f t="shared" si="6"/>
        <v>111.934833</v>
      </c>
      <c r="F134" s="266"/>
      <c r="G134" s="190" t="str">
        <f t="shared" si="7"/>
        <v/>
      </c>
      <c r="H134" s="261" t="str">
        <f t="shared" si="8"/>
        <v/>
      </c>
      <c r="I134" s="262"/>
    </row>
    <row r="135" spans="1:9">
      <c r="A135" s="257">
        <v>133</v>
      </c>
      <c r="B135" s="258">
        <v>44754</v>
      </c>
      <c r="C135" s="259">
        <v>107.252905</v>
      </c>
      <c r="D135" s="260">
        <v>127.62290388186472</v>
      </c>
      <c r="E135" s="259">
        <f t="shared" si="6"/>
        <v>107.252905</v>
      </c>
      <c r="F135" s="266"/>
      <c r="G135" s="190" t="str">
        <f t="shared" si="7"/>
        <v/>
      </c>
      <c r="H135" s="261" t="str">
        <f t="shared" si="8"/>
        <v/>
      </c>
      <c r="I135" s="262"/>
    </row>
    <row r="136" spans="1:9">
      <c r="A136" s="257">
        <v>134</v>
      </c>
      <c r="B136" s="258">
        <v>44755</v>
      </c>
      <c r="C136" s="259">
        <v>100.43901600000001</v>
      </c>
      <c r="D136" s="260">
        <v>127.62290388186472</v>
      </c>
      <c r="E136" s="259">
        <f t="shared" si="6"/>
        <v>100.43901600000001</v>
      </c>
      <c r="F136" s="266"/>
      <c r="G136" s="190" t="str">
        <f t="shared" si="7"/>
        <v/>
      </c>
      <c r="H136" s="261" t="str">
        <f t="shared" si="8"/>
        <v/>
      </c>
      <c r="I136" s="262"/>
    </row>
    <row r="137" spans="1:9">
      <c r="A137" s="257">
        <v>135</v>
      </c>
      <c r="B137" s="258">
        <v>44756</v>
      </c>
      <c r="C137" s="259">
        <v>113.177183</v>
      </c>
      <c r="D137" s="260">
        <v>127.62290388186472</v>
      </c>
      <c r="E137" s="259">
        <f t="shared" si="6"/>
        <v>113.177183</v>
      </c>
      <c r="F137" s="266"/>
      <c r="G137" s="190" t="str">
        <f t="shared" si="7"/>
        <v/>
      </c>
      <c r="H137" s="261" t="str">
        <f t="shared" si="8"/>
        <v/>
      </c>
      <c r="I137" s="262"/>
    </row>
    <row r="138" spans="1:9">
      <c r="A138" s="257">
        <v>136</v>
      </c>
      <c r="B138" s="258">
        <v>44757</v>
      </c>
      <c r="C138" s="259">
        <v>154.335047</v>
      </c>
      <c r="D138" s="260">
        <v>127.62290388186472</v>
      </c>
      <c r="E138" s="259">
        <f t="shared" si="6"/>
        <v>127.62290388186472</v>
      </c>
      <c r="F138" s="266"/>
      <c r="G138" s="190" t="str">
        <f t="shared" si="7"/>
        <v>J</v>
      </c>
      <c r="H138" s="261" t="str">
        <f t="shared" si="8"/>
        <v>127,6</v>
      </c>
      <c r="I138" s="262"/>
    </row>
    <row r="139" spans="1:9">
      <c r="A139" s="257">
        <v>137</v>
      </c>
      <c r="B139" s="258">
        <v>44758</v>
      </c>
      <c r="C139" s="259">
        <v>90.584125</v>
      </c>
      <c r="D139" s="260">
        <v>127.62290388186472</v>
      </c>
      <c r="E139" s="259">
        <f t="shared" si="6"/>
        <v>90.584125</v>
      </c>
      <c r="F139" s="266"/>
      <c r="G139" s="190" t="str">
        <f t="shared" si="7"/>
        <v/>
      </c>
      <c r="H139" s="261" t="str">
        <f t="shared" si="8"/>
        <v/>
      </c>
      <c r="I139" s="262"/>
    </row>
    <row r="140" spans="1:9">
      <c r="A140" s="257">
        <v>138</v>
      </c>
      <c r="B140" s="258">
        <v>44759</v>
      </c>
      <c r="C140" s="259">
        <v>108.232456</v>
      </c>
      <c r="D140" s="260">
        <v>127.62290388186472</v>
      </c>
      <c r="E140" s="259">
        <f t="shared" si="6"/>
        <v>108.232456</v>
      </c>
      <c r="F140" s="266"/>
      <c r="G140" s="190" t="str">
        <f t="shared" si="7"/>
        <v/>
      </c>
      <c r="H140" s="261" t="str">
        <f t="shared" si="8"/>
        <v/>
      </c>
      <c r="I140" s="262"/>
    </row>
    <row r="141" spans="1:9">
      <c r="A141" s="257">
        <v>139</v>
      </c>
      <c r="B141" s="258">
        <v>44760</v>
      </c>
      <c r="C141" s="259">
        <v>148.63630300000003</v>
      </c>
      <c r="D141" s="260">
        <v>127.62290388186472</v>
      </c>
      <c r="E141" s="259">
        <f t="shared" si="6"/>
        <v>127.62290388186472</v>
      </c>
      <c r="F141" s="266"/>
      <c r="G141" s="190" t="str">
        <f t="shared" si="7"/>
        <v/>
      </c>
      <c r="H141" s="261" t="str">
        <f t="shared" si="8"/>
        <v/>
      </c>
      <c r="I141" s="262"/>
    </row>
    <row r="142" spans="1:9">
      <c r="A142" s="257">
        <v>140</v>
      </c>
      <c r="B142" s="258">
        <v>44761</v>
      </c>
      <c r="C142" s="259">
        <v>165.83232000000001</v>
      </c>
      <c r="D142" s="260">
        <v>127.62290388186472</v>
      </c>
      <c r="E142" s="259">
        <f t="shared" si="6"/>
        <v>127.62290388186472</v>
      </c>
      <c r="F142" s="266"/>
      <c r="G142" s="190" t="str">
        <f t="shared" si="7"/>
        <v/>
      </c>
      <c r="H142" s="261" t="str">
        <f t="shared" si="8"/>
        <v/>
      </c>
      <c r="I142" s="262"/>
    </row>
    <row r="143" spans="1:9">
      <c r="A143" s="257">
        <v>141</v>
      </c>
      <c r="B143" s="258">
        <v>44762</v>
      </c>
      <c r="C143" s="259">
        <v>109.047916</v>
      </c>
      <c r="D143" s="260">
        <v>127.62290388186472</v>
      </c>
      <c r="E143" s="259">
        <f t="shared" si="6"/>
        <v>109.047916</v>
      </c>
      <c r="F143" s="266"/>
      <c r="G143" s="190" t="str">
        <f t="shared" si="7"/>
        <v/>
      </c>
      <c r="H143" s="261" t="str">
        <f t="shared" si="8"/>
        <v/>
      </c>
      <c r="I143" s="262"/>
    </row>
    <row r="144" spans="1:9">
      <c r="A144" s="257">
        <v>142</v>
      </c>
      <c r="B144" s="258">
        <v>44763</v>
      </c>
      <c r="C144" s="259">
        <v>149.48635200000001</v>
      </c>
      <c r="D144" s="260">
        <v>127.62290388186472</v>
      </c>
      <c r="E144" s="259">
        <f t="shared" si="6"/>
        <v>127.62290388186472</v>
      </c>
      <c r="F144" s="266"/>
      <c r="G144" s="190" t="str">
        <f t="shared" si="7"/>
        <v/>
      </c>
      <c r="H144" s="261" t="str">
        <f t="shared" si="8"/>
        <v/>
      </c>
      <c r="I144" s="262"/>
    </row>
    <row r="145" spans="1:9">
      <c r="A145" s="257">
        <v>143</v>
      </c>
      <c r="B145" s="258">
        <v>44764</v>
      </c>
      <c r="C145" s="259">
        <v>161.73373900000001</v>
      </c>
      <c r="D145" s="260">
        <v>127.62290388186472</v>
      </c>
      <c r="E145" s="259">
        <f t="shared" si="6"/>
        <v>127.62290388186472</v>
      </c>
      <c r="F145" s="266"/>
      <c r="G145" s="190" t="str">
        <f t="shared" si="7"/>
        <v/>
      </c>
      <c r="H145" s="261" t="str">
        <f t="shared" si="8"/>
        <v/>
      </c>
      <c r="I145" s="262"/>
    </row>
    <row r="146" spans="1:9">
      <c r="A146" s="257">
        <v>144</v>
      </c>
      <c r="B146" s="258">
        <v>44765</v>
      </c>
      <c r="C146" s="259">
        <v>117.076713</v>
      </c>
      <c r="D146" s="260">
        <v>127.62290388186472</v>
      </c>
      <c r="E146" s="259">
        <f t="shared" si="6"/>
        <v>117.076713</v>
      </c>
      <c r="F146" s="266"/>
      <c r="G146" s="190" t="str">
        <f t="shared" si="7"/>
        <v/>
      </c>
      <c r="H146" s="261" t="str">
        <f t="shared" si="8"/>
        <v/>
      </c>
      <c r="I146" s="262"/>
    </row>
    <row r="147" spans="1:9">
      <c r="A147" s="257">
        <v>145</v>
      </c>
      <c r="B147" s="258">
        <v>44766</v>
      </c>
      <c r="C147" s="259">
        <v>83.899998000000011</v>
      </c>
      <c r="D147" s="260">
        <v>127.62290388186472</v>
      </c>
      <c r="E147" s="259">
        <f t="shared" si="6"/>
        <v>83.899998000000011</v>
      </c>
      <c r="F147" s="266"/>
      <c r="G147" s="190" t="str">
        <f t="shared" si="7"/>
        <v/>
      </c>
      <c r="H147" s="261" t="str">
        <f t="shared" si="8"/>
        <v/>
      </c>
      <c r="I147" s="262"/>
    </row>
    <row r="148" spans="1:9">
      <c r="A148" s="257">
        <v>146</v>
      </c>
      <c r="B148" s="258">
        <v>44767</v>
      </c>
      <c r="C148" s="259">
        <v>145.89831000000001</v>
      </c>
      <c r="D148" s="260">
        <v>127.62290388186472</v>
      </c>
      <c r="E148" s="259">
        <f t="shared" si="6"/>
        <v>127.62290388186472</v>
      </c>
      <c r="F148" s="266"/>
      <c r="G148" s="190" t="str">
        <f t="shared" si="7"/>
        <v/>
      </c>
      <c r="H148" s="261" t="str">
        <f t="shared" si="8"/>
        <v/>
      </c>
      <c r="I148" s="262"/>
    </row>
    <row r="149" spans="1:9">
      <c r="A149" s="257">
        <v>147</v>
      </c>
      <c r="B149" s="258">
        <v>44768</v>
      </c>
      <c r="C149" s="259">
        <v>170.62404800000002</v>
      </c>
      <c r="D149" s="260">
        <v>127.62290388186472</v>
      </c>
      <c r="E149" s="259">
        <f t="shared" si="6"/>
        <v>127.62290388186472</v>
      </c>
      <c r="F149" s="266"/>
      <c r="G149" s="190" t="str">
        <f t="shared" si="7"/>
        <v/>
      </c>
      <c r="H149" s="261" t="str">
        <f t="shared" si="8"/>
        <v/>
      </c>
      <c r="I149" s="262"/>
    </row>
    <row r="150" spans="1:9">
      <c r="A150" s="257">
        <v>148</v>
      </c>
      <c r="B150" s="258">
        <v>44769</v>
      </c>
      <c r="C150" s="259">
        <v>124.62874099999999</v>
      </c>
      <c r="D150" s="260">
        <v>127.62290388186472</v>
      </c>
      <c r="E150" s="259">
        <f t="shared" si="6"/>
        <v>124.62874099999999</v>
      </c>
      <c r="F150" s="266"/>
      <c r="G150" s="190" t="str">
        <f t="shared" si="7"/>
        <v/>
      </c>
      <c r="H150" s="261" t="str">
        <f t="shared" si="8"/>
        <v/>
      </c>
      <c r="I150" s="262"/>
    </row>
    <row r="151" spans="1:9">
      <c r="A151" s="257">
        <v>149</v>
      </c>
      <c r="B151" s="258">
        <v>44770</v>
      </c>
      <c r="C151" s="259">
        <v>77.391759999999991</v>
      </c>
      <c r="D151" s="260">
        <v>127.62290388186472</v>
      </c>
      <c r="E151" s="259">
        <f t="shared" si="6"/>
        <v>77.391759999999991</v>
      </c>
      <c r="F151" s="266"/>
      <c r="G151" s="190" t="str">
        <f t="shared" si="7"/>
        <v/>
      </c>
      <c r="H151" s="261" t="str">
        <f t="shared" si="8"/>
        <v/>
      </c>
      <c r="I151" s="262"/>
    </row>
    <row r="152" spans="1:9">
      <c r="A152" s="257">
        <v>150</v>
      </c>
      <c r="B152" s="258">
        <v>44771</v>
      </c>
      <c r="C152" s="259">
        <v>113.881663</v>
      </c>
      <c r="D152" s="260">
        <v>127.62290388186472</v>
      </c>
      <c r="E152" s="259">
        <f t="shared" si="6"/>
        <v>113.881663</v>
      </c>
      <c r="F152" s="266"/>
      <c r="G152" s="190" t="str">
        <f t="shared" si="7"/>
        <v/>
      </c>
      <c r="H152" s="261" t="str">
        <f t="shared" si="8"/>
        <v/>
      </c>
      <c r="I152" s="262"/>
    </row>
    <row r="153" spans="1:9">
      <c r="A153" s="257">
        <v>151</v>
      </c>
      <c r="B153" s="258">
        <v>44772</v>
      </c>
      <c r="C153" s="259">
        <v>190.36264299999999</v>
      </c>
      <c r="D153" s="260">
        <v>127.62290388186472</v>
      </c>
      <c r="E153" s="259">
        <f t="shared" si="6"/>
        <v>127.62290388186472</v>
      </c>
      <c r="F153" s="266"/>
      <c r="G153" s="190" t="str">
        <f t="shared" si="7"/>
        <v/>
      </c>
      <c r="H153" s="261" t="str">
        <f t="shared" si="8"/>
        <v/>
      </c>
      <c r="I153" s="262"/>
    </row>
    <row r="154" spans="1:9">
      <c r="A154" s="257">
        <v>152</v>
      </c>
      <c r="B154" s="258">
        <v>44773</v>
      </c>
      <c r="C154" s="259">
        <v>136.96624800000001</v>
      </c>
      <c r="D154" s="260">
        <v>127.62290388186472</v>
      </c>
      <c r="E154" s="259">
        <f t="shared" si="6"/>
        <v>127.62290388186472</v>
      </c>
      <c r="F154" s="266"/>
      <c r="G154" s="190" t="str">
        <f t="shared" si="7"/>
        <v/>
      </c>
      <c r="H154" s="261" t="str">
        <f t="shared" si="8"/>
        <v/>
      </c>
      <c r="I154" s="262"/>
    </row>
    <row r="155" spans="1:9">
      <c r="A155" s="257">
        <v>153</v>
      </c>
      <c r="B155" s="258">
        <v>44774</v>
      </c>
      <c r="C155" s="259">
        <v>120.03133199999999</v>
      </c>
      <c r="D155" s="260">
        <v>124.66445420087554</v>
      </c>
      <c r="E155" s="259">
        <f t="shared" si="6"/>
        <v>120.03133199999999</v>
      </c>
      <c r="F155" s="262"/>
      <c r="G155" s="190" t="str">
        <f t="shared" si="7"/>
        <v/>
      </c>
      <c r="H155" s="261" t="str">
        <f t="shared" si="8"/>
        <v/>
      </c>
      <c r="I155" s="262"/>
    </row>
    <row r="156" spans="1:9">
      <c r="A156" s="257">
        <v>154</v>
      </c>
      <c r="B156" s="258">
        <v>44775</v>
      </c>
      <c r="C156" s="259">
        <v>96.841761000000005</v>
      </c>
      <c r="D156" s="260">
        <v>124.66445420087554</v>
      </c>
      <c r="E156" s="259">
        <f t="shared" si="6"/>
        <v>96.841761000000005</v>
      </c>
      <c r="F156" s="266"/>
      <c r="G156" s="190" t="str">
        <f t="shared" si="7"/>
        <v/>
      </c>
      <c r="H156" s="261" t="str">
        <f t="shared" si="8"/>
        <v/>
      </c>
      <c r="I156" s="262"/>
    </row>
    <row r="157" spans="1:9">
      <c r="A157" s="257">
        <v>155</v>
      </c>
      <c r="B157" s="258">
        <v>44776</v>
      </c>
      <c r="C157" s="259">
        <v>122.55999300000001</v>
      </c>
      <c r="D157" s="260">
        <v>124.66445420087554</v>
      </c>
      <c r="E157" s="259">
        <f t="shared" si="6"/>
        <v>122.55999300000001</v>
      </c>
      <c r="F157" s="266"/>
      <c r="G157" s="190" t="str">
        <f t="shared" si="7"/>
        <v/>
      </c>
      <c r="H157" s="261" t="str">
        <f t="shared" si="8"/>
        <v/>
      </c>
      <c r="I157" s="262"/>
    </row>
    <row r="158" spans="1:9">
      <c r="A158" s="257">
        <v>156</v>
      </c>
      <c r="B158" s="258">
        <v>44777</v>
      </c>
      <c r="C158" s="259">
        <v>168.50408899999996</v>
      </c>
      <c r="D158" s="260">
        <v>124.66445420087554</v>
      </c>
      <c r="E158" s="259">
        <f t="shared" si="6"/>
        <v>124.66445420087554</v>
      </c>
      <c r="F158" s="266"/>
      <c r="G158" s="190" t="str">
        <f t="shared" si="7"/>
        <v/>
      </c>
      <c r="H158" s="261" t="str">
        <f t="shared" si="8"/>
        <v/>
      </c>
      <c r="I158" s="262"/>
    </row>
    <row r="159" spans="1:9">
      <c r="A159" s="257">
        <v>157</v>
      </c>
      <c r="B159" s="258">
        <v>44778</v>
      </c>
      <c r="C159" s="259">
        <v>207.40774199999998</v>
      </c>
      <c r="D159" s="260">
        <v>124.66445420087554</v>
      </c>
      <c r="E159" s="259">
        <f t="shared" si="6"/>
        <v>124.66445420087554</v>
      </c>
      <c r="F159" s="266"/>
      <c r="G159" s="190" t="str">
        <f t="shared" si="7"/>
        <v/>
      </c>
      <c r="H159" s="261" t="str">
        <f t="shared" si="8"/>
        <v/>
      </c>
      <c r="I159" s="262"/>
    </row>
    <row r="160" spans="1:9">
      <c r="A160" s="257">
        <v>158</v>
      </c>
      <c r="B160" s="258">
        <v>44779</v>
      </c>
      <c r="C160" s="259">
        <v>158.106167</v>
      </c>
      <c r="D160" s="260">
        <v>124.66445420087554</v>
      </c>
      <c r="E160" s="259">
        <f t="shared" si="6"/>
        <v>124.66445420087554</v>
      </c>
      <c r="F160" s="266"/>
      <c r="G160" s="190" t="str">
        <f t="shared" si="7"/>
        <v/>
      </c>
      <c r="H160" s="261" t="str">
        <f t="shared" si="8"/>
        <v/>
      </c>
      <c r="I160" s="262"/>
    </row>
    <row r="161" spans="1:9">
      <c r="A161" s="257">
        <v>159</v>
      </c>
      <c r="B161" s="258">
        <v>44780</v>
      </c>
      <c r="C161" s="259">
        <v>125.122156</v>
      </c>
      <c r="D161" s="260">
        <v>124.66445420087554</v>
      </c>
      <c r="E161" s="259">
        <f t="shared" si="6"/>
        <v>124.66445420087554</v>
      </c>
      <c r="F161" s="266"/>
      <c r="G161" s="190" t="str">
        <f t="shared" si="7"/>
        <v/>
      </c>
      <c r="H161" s="261" t="str">
        <f t="shared" si="8"/>
        <v/>
      </c>
      <c r="I161" s="262"/>
    </row>
    <row r="162" spans="1:9">
      <c r="A162" s="257">
        <v>160</v>
      </c>
      <c r="B162" s="258">
        <v>44781</v>
      </c>
      <c r="C162" s="259">
        <v>109.745394</v>
      </c>
      <c r="D162" s="260">
        <v>124.66445420087554</v>
      </c>
      <c r="E162" s="259">
        <f t="shared" si="6"/>
        <v>109.745394</v>
      </c>
      <c r="F162" s="266"/>
      <c r="G162" s="190" t="str">
        <f t="shared" si="7"/>
        <v/>
      </c>
      <c r="H162" s="261" t="str">
        <f t="shared" si="8"/>
        <v/>
      </c>
      <c r="I162" s="262"/>
    </row>
    <row r="163" spans="1:9">
      <c r="A163" s="257">
        <v>161</v>
      </c>
      <c r="B163" s="258">
        <v>44782</v>
      </c>
      <c r="C163" s="259">
        <v>150.27318</v>
      </c>
      <c r="D163" s="260">
        <v>124.66445420087554</v>
      </c>
      <c r="E163" s="259">
        <f t="shared" si="6"/>
        <v>124.66445420087554</v>
      </c>
      <c r="F163" s="266"/>
      <c r="G163" s="190" t="str">
        <f t="shared" si="7"/>
        <v/>
      </c>
      <c r="H163" s="261" t="str">
        <f t="shared" si="8"/>
        <v/>
      </c>
      <c r="I163" s="262"/>
    </row>
    <row r="164" spans="1:9">
      <c r="A164" s="257">
        <v>162</v>
      </c>
      <c r="B164" s="258">
        <v>44783</v>
      </c>
      <c r="C164" s="259">
        <v>123.34613800000001</v>
      </c>
      <c r="D164" s="260">
        <v>124.66445420087554</v>
      </c>
      <c r="E164" s="259">
        <f t="shared" si="6"/>
        <v>123.34613800000001</v>
      </c>
      <c r="F164" s="266"/>
      <c r="G164" s="190" t="str">
        <f t="shared" si="7"/>
        <v/>
      </c>
      <c r="H164" s="261" t="str">
        <f t="shared" si="8"/>
        <v/>
      </c>
      <c r="I164" s="262"/>
    </row>
    <row r="165" spans="1:9">
      <c r="A165" s="257">
        <v>163</v>
      </c>
      <c r="B165" s="258">
        <v>44784</v>
      </c>
      <c r="C165" s="259">
        <v>98.319980999999999</v>
      </c>
      <c r="D165" s="260">
        <v>124.66445420087554</v>
      </c>
      <c r="E165" s="259">
        <f t="shared" si="6"/>
        <v>98.319980999999999</v>
      </c>
      <c r="F165" s="266"/>
      <c r="G165" s="190" t="str">
        <f t="shared" si="7"/>
        <v/>
      </c>
      <c r="H165" s="261" t="str">
        <f t="shared" si="8"/>
        <v/>
      </c>
      <c r="I165" s="262"/>
    </row>
    <row r="166" spans="1:9">
      <c r="A166" s="257">
        <v>164</v>
      </c>
      <c r="B166" s="258">
        <v>44785</v>
      </c>
      <c r="C166" s="259">
        <v>71.153600999999995</v>
      </c>
      <c r="D166" s="260">
        <v>124.66445420087554</v>
      </c>
      <c r="E166" s="259">
        <f t="shared" si="6"/>
        <v>71.153600999999995</v>
      </c>
      <c r="F166" s="266"/>
      <c r="G166" s="190" t="str">
        <f t="shared" si="7"/>
        <v/>
      </c>
      <c r="H166" s="261" t="str">
        <f t="shared" si="8"/>
        <v/>
      </c>
      <c r="I166" s="262"/>
    </row>
    <row r="167" spans="1:9">
      <c r="A167" s="257">
        <v>165</v>
      </c>
      <c r="B167" s="258">
        <v>44786</v>
      </c>
      <c r="C167" s="259">
        <v>180.625709</v>
      </c>
      <c r="D167" s="260">
        <v>124.66445420087554</v>
      </c>
      <c r="E167" s="259">
        <f t="shared" si="6"/>
        <v>124.66445420087554</v>
      </c>
      <c r="F167" s="266"/>
      <c r="G167" s="190" t="str">
        <f t="shared" si="7"/>
        <v/>
      </c>
      <c r="H167" s="261" t="str">
        <f t="shared" si="8"/>
        <v/>
      </c>
      <c r="I167" s="262"/>
    </row>
    <row r="168" spans="1:9">
      <c r="A168" s="257">
        <v>166</v>
      </c>
      <c r="B168" s="258">
        <v>44787</v>
      </c>
      <c r="C168" s="259">
        <v>145.15525299999999</v>
      </c>
      <c r="D168" s="260">
        <v>124.66445420087554</v>
      </c>
      <c r="E168" s="259">
        <f t="shared" si="6"/>
        <v>124.66445420087554</v>
      </c>
      <c r="F168" s="266"/>
      <c r="G168" s="190" t="str">
        <f t="shared" si="7"/>
        <v/>
      </c>
      <c r="H168" s="261" t="str">
        <f t="shared" si="8"/>
        <v/>
      </c>
      <c r="I168" s="262"/>
    </row>
    <row r="169" spans="1:9">
      <c r="A169" s="257">
        <v>167</v>
      </c>
      <c r="B169" s="258">
        <v>44788</v>
      </c>
      <c r="C169" s="259">
        <v>114.14062799999999</v>
      </c>
      <c r="D169" s="260">
        <v>124.66445420087554</v>
      </c>
      <c r="E169" s="259">
        <f t="shared" si="6"/>
        <v>114.14062799999999</v>
      </c>
      <c r="F169" s="262"/>
      <c r="G169" s="190" t="str">
        <f t="shared" si="7"/>
        <v>A</v>
      </c>
      <c r="H169" s="261" t="str">
        <f t="shared" si="8"/>
        <v>124,7</v>
      </c>
      <c r="I169" s="262"/>
    </row>
    <row r="170" spans="1:9">
      <c r="A170" s="257">
        <v>168</v>
      </c>
      <c r="B170" s="258">
        <v>44789</v>
      </c>
      <c r="C170" s="259">
        <v>170.17956799999999</v>
      </c>
      <c r="D170" s="260">
        <v>124.66445420087554</v>
      </c>
      <c r="E170" s="259">
        <f t="shared" si="6"/>
        <v>124.66445420087554</v>
      </c>
      <c r="F170" s="266"/>
      <c r="G170" s="190" t="str">
        <f t="shared" si="7"/>
        <v/>
      </c>
      <c r="H170" s="261" t="str">
        <f t="shared" si="8"/>
        <v/>
      </c>
      <c r="I170" s="262"/>
    </row>
    <row r="171" spans="1:9">
      <c r="A171" s="257">
        <v>169</v>
      </c>
      <c r="B171" s="258">
        <v>44790</v>
      </c>
      <c r="C171" s="259">
        <v>172.56950699999999</v>
      </c>
      <c r="D171" s="260">
        <v>124.66445420087554</v>
      </c>
      <c r="E171" s="259">
        <f t="shared" si="6"/>
        <v>124.66445420087554</v>
      </c>
      <c r="F171" s="266"/>
      <c r="G171" s="190" t="str">
        <f t="shared" si="7"/>
        <v/>
      </c>
      <c r="H171" s="261" t="str">
        <f t="shared" si="8"/>
        <v/>
      </c>
      <c r="I171" s="262"/>
    </row>
    <row r="172" spans="1:9">
      <c r="A172" s="257">
        <v>170</v>
      </c>
      <c r="B172" s="258">
        <v>44791</v>
      </c>
      <c r="C172" s="259">
        <v>195.56314800000001</v>
      </c>
      <c r="D172" s="260">
        <v>124.66445420087554</v>
      </c>
      <c r="E172" s="259">
        <f t="shared" si="6"/>
        <v>124.66445420087554</v>
      </c>
      <c r="F172" s="266"/>
      <c r="G172" s="190" t="str">
        <f t="shared" si="7"/>
        <v/>
      </c>
      <c r="H172" s="261" t="str">
        <f t="shared" si="8"/>
        <v/>
      </c>
      <c r="I172" s="262"/>
    </row>
    <row r="173" spans="1:9">
      <c r="A173" s="257">
        <v>171</v>
      </c>
      <c r="B173" s="258">
        <v>44792</v>
      </c>
      <c r="C173" s="259">
        <v>147.95750400000003</v>
      </c>
      <c r="D173" s="260">
        <v>124.66445420087554</v>
      </c>
      <c r="E173" s="259">
        <f t="shared" si="6"/>
        <v>124.66445420087554</v>
      </c>
      <c r="F173" s="266"/>
      <c r="G173" s="190" t="str">
        <f t="shared" si="7"/>
        <v/>
      </c>
      <c r="H173" s="261" t="str">
        <f t="shared" si="8"/>
        <v/>
      </c>
      <c r="I173" s="262"/>
    </row>
    <row r="174" spans="1:9">
      <c r="A174" s="257">
        <v>172</v>
      </c>
      <c r="B174" s="258">
        <v>44793</v>
      </c>
      <c r="C174" s="259">
        <v>81.895615000000006</v>
      </c>
      <c r="D174" s="260">
        <v>124.66445420087554</v>
      </c>
      <c r="E174" s="259">
        <f t="shared" si="6"/>
        <v>81.895615000000006</v>
      </c>
      <c r="F174" s="266"/>
      <c r="G174" s="190" t="str">
        <f t="shared" si="7"/>
        <v/>
      </c>
      <c r="H174" s="261" t="str">
        <f t="shared" si="8"/>
        <v/>
      </c>
      <c r="I174" s="262"/>
    </row>
    <row r="175" spans="1:9">
      <c r="A175" s="257">
        <v>173</v>
      </c>
      <c r="B175" s="258">
        <v>44794</v>
      </c>
      <c r="C175" s="259">
        <v>118.66739</v>
      </c>
      <c r="D175" s="260">
        <v>124.66445420087554</v>
      </c>
      <c r="E175" s="259">
        <f t="shared" si="6"/>
        <v>118.66739</v>
      </c>
      <c r="F175" s="266"/>
      <c r="G175" s="190" t="str">
        <f t="shared" si="7"/>
        <v/>
      </c>
      <c r="H175" s="261" t="str">
        <f t="shared" si="8"/>
        <v/>
      </c>
      <c r="I175" s="262"/>
    </row>
    <row r="176" spans="1:9">
      <c r="A176" s="257">
        <v>174</v>
      </c>
      <c r="B176" s="258">
        <v>44795</v>
      </c>
      <c r="C176" s="259">
        <v>181.23080400000001</v>
      </c>
      <c r="D176" s="260">
        <v>124.66445420087554</v>
      </c>
      <c r="E176" s="259">
        <f t="shared" si="6"/>
        <v>124.66445420087554</v>
      </c>
      <c r="F176" s="266"/>
      <c r="G176" s="190" t="str">
        <f t="shared" si="7"/>
        <v/>
      </c>
      <c r="H176" s="261" t="str">
        <f t="shared" si="8"/>
        <v/>
      </c>
      <c r="I176" s="262"/>
    </row>
    <row r="177" spans="1:9">
      <c r="A177" s="257">
        <v>175</v>
      </c>
      <c r="B177" s="258">
        <v>44796</v>
      </c>
      <c r="C177" s="259">
        <v>120.39143900000001</v>
      </c>
      <c r="D177" s="260">
        <v>124.66445420087554</v>
      </c>
      <c r="E177" s="259">
        <f t="shared" si="6"/>
        <v>120.39143900000001</v>
      </c>
      <c r="F177" s="266"/>
      <c r="G177" s="190" t="str">
        <f t="shared" si="7"/>
        <v/>
      </c>
      <c r="H177" s="261" t="str">
        <f t="shared" si="8"/>
        <v/>
      </c>
      <c r="I177" s="262"/>
    </row>
    <row r="178" spans="1:9">
      <c r="A178" s="257">
        <v>176</v>
      </c>
      <c r="B178" s="258">
        <v>44797</v>
      </c>
      <c r="C178" s="259">
        <v>96.681647999999996</v>
      </c>
      <c r="D178" s="260">
        <v>124.66445420087554</v>
      </c>
      <c r="E178" s="259">
        <f t="shared" si="6"/>
        <v>96.681647999999996</v>
      </c>
      <c r="F178" s="266"/>
      <c r="G178" s="190" t="str">
        <f t="shared" si="7"/>
        <v/>
      </c>
      <c r="H178" s="261" t="str">
        <f t="shared" si="8"/>
        <v/>
      </c>
      <c r="I178" s="262"/>
    </row>
    <row r="179" spans="1:9">
      <c r="A179" s="257">
        <v>177</v>
      </c>
      <c r="B179" s="258">
        <v>44798</v>
      </c>
      <c r="C179" s="259">
        <v>138.73853399999999</v>
      </c>
      <c r="D179" s="260">
        <v>124.66445420087554</v>
      </c>
      <c r="E179" s="259">
        <f t="shared" si="6"/>
        <v>124.66445420087554</v>
      </c>
      <c r="F179" s="266"/>
      <c r="G179" s="190" t="str">
        <f t="shared" si="7"/>
        <v/>
      </c>
      <c r="H179" s="261" t="str">
        <f t="shared" si="8"/>
        <v/>
      </c>
      <c r="I179" s="262"/>
    </row>
    <row r="180" spans="1:9">
      <c r="A180" s="257">
        <v>178</v>
      </c>
      <c r="B180" s="258">
        <v>44799</v>
      </c>
      <c r="C180" s="259">
        <v>190.44914700000001</v>
      </c>
      <c r="D180" s="260">
        <v>124.66445420087554</v>
      </c>
      <c r="E180" s="259">
        <f t="shared" si="6"/>
        <v>124.66445420087554</v>
      </c>
      <c r="F180" s="266"/>
      <c r="G180" s="190" t="str">
        <f t="shared" si="7"/>
        <v/>
      </c>
      <c r="H180" s="261" t="str">
        <f t="shared" si="8"/>
        <v/>
      </c>
      <c r="I180" s="262"/>
    </row>
    <row r="181" spans="1:9">
      <c r="A181" s="257">
        <v>179</v>
      </c>
      <c r="B181" s="258">
        <v>44800</v>
      </c>
      <c r="C181" s="259">
        <v>101.58896</v>
      </c>
      <c r="D181" s="260">
        <v>124.66445420087554</v>
      </c>
      <c r="E181" s="259">
        <f t="shared" si="6"/>
        <v>101.58896</v>
      </c>
      <c r="F181" s="266"/>
      <c r="G181" s="190" t="str">
        <f t="shared" si="7"/>
        <v/>
      </c>
      <c r="H181" s="261" t="str">
        <f t="shared" si="8"/>
        <v/>
      </c>
      <c r="I181" s="262"/>
    </row>
    <row r="182" spans="1:9">
      <c r="A182" s="257">
        <v>180</v>
      </c>
      <c r="B182" s="258">
        <v>44801</v>
      </c>
      <c r="C182" s="259">
        <v>106.655355</v>
      </c>
      <c r="D182" s="260">
        <v>124.66445420087554</v>
      </c>
      <c r="E182" s="259">
        <f t="shared" si="6"/>
        <v>106.655355</v>
      </c>
      <c r="F182" s="266"/>
      <c r="G182" s="190" t="str">
        <f t="shared" si="7"/>
        <v/>
      </c>
      <c r="H182" s="261" t="str">
        <f t="shared" si="8"/>
        <v/>
      </c>
      <c r="I182" s="262"/>
    </row>
    <row r="183" spans="1:9">
      <c r="A183" s="257">
        <v>181</v>
      </c>
      <c r="B183" s="258">
        <v>44802</v>
      </c>
      <c r="C183" s="259">
        <v>132.63740100000001</v>
      </c>
      <c r="D183" s="260">
        <v>124.66445420087554</v>
      </c>
      <c r="E183" s="259">
        <f t="shared" si="6"/>
        <v>124.66445420087554</v>
      </c>
      <c r="F183" s="266"/>
      <c r="G183" s="190" t="str">
        <f t="shared" si="7"/>
        <v/>
      </c>
      <c r="H183" s="261" t="str">
        <f t="shared" si="8"/>
        <v/>
      </c>
      <c r="I183" s="262"/>
    </row>
    <row r="184" spans="1:9">
      <c r="A184" s="257">
        <v>182</v>
      </c>
      <c r="B184" s="258">
        <v>44803</v>
      </c>
      <c r="C184" s="259">
        <v>57.528455999999998</v>
      </c>
      <c r="D184" s="260">
        <v>124.66445420087554</v>
      </c>
      <c r="E184" s="259">
        <f t="shared" si="6"/>
        <v>57.528455999999998</v>
      </c>
      <c r="F184" s="266"/>
      <c r="G184" s="190" t="str">
        <f t="shared" si="7"/>
        <v/>
      </c>
      <c r="H184" s="261" t="str">
        <f t="shared" si="8"/>
        <v/>
      </c>
      <c r="I184" s="262"/>
    </row>
    <row r="185" spans="1:9">
      <c r="A185" s="257">
        <v>183</v>
      </c>
      <c r="B185" s="258">
        <v>44804</v>
      </c>
      <c r="C185" s="259">
        <v>93.785667999999987</v>
      </c>
      <c r="D185" s="260">
        <v>124.66445420087554</v>
      </c>
      <c r="E185" s="259">
        <f t="shared" si="6"/>
        <v>93.785667999999987</v>
      </c>
      <c r="F185" s="266"/>
      <c r="G185" s="190" t="str">
        <f t="shared" si="7"/>
        <v/>
      </c>
      <c r="H185" s="261" t="str">
        <f t="shared" si="8"/>
        <v/>
      </c>
      <c r="I185" s="262"/>
    </row>
    <row r="186" spans="1:9">
      <c r="A186" s="257">
        <v>184</v>
      </c>
      <c r="B186" s="258">
        <v>44805</v>
      </c>
      <c r="C186" s="259">
        <v>59.910747000000001</v>
      </c>
      <c r="D186" s="260">
        <v>122.74138643029524</v>
      </c>
      <c r="E186" s="259">
        <f t="shared" si="6"/>
        <v>59.910747000000001</v>
      </c>
      <c r="F186" s="262"/>
      <c r="G186" s="190" t="str">
        <f t="shared" si="7"/>
        <v/>
      </c>
      <c r="H186" s="261" t="str">
        <f t="shared" si="8"/>
        <v/>
      </c>
      <c r="I186" s="262"/>
    </row>
    <row r="187" spans="1:9">
      <c r="A187" s="257">
        <v>185</v>
      </c>
      <c r="B187" s="258">
        <v>44806</v>
      </c>
      <c r="C187" s="259">
        <v>100.177401</v>
      </c>
      <c r="D187" s="260">
        <v>122.74138643029524</v>
      </c>
      <c r="E187" s="259">
        <f t="shared" si="6"/>
        <v>100.177401</v>
      </c>
      <c r="F187" s="266"/>
      <c r="G187" s="190" t="str">
        <f t="shared" si="7"/>
        <v/>
      </c>
      <c r="H187" s="261" t="str">
        <f t="shared" si="8"/>
        <v/>
      </c>
      <c r="I187" s="262"/>
    </row>
    <row r="188" spans="1:9">
      <c r="A188" s="257">
        <v>186</v>
      </c>
      <c r="B188" s="258">
        <v>44807</v>
      </c>
      <c r="C188" s="259">
        <v>108.84054699999999</v>
      </c>
      <c r="D188" s="260">
        <v>122.74138643029524</v>
      </c>
      <c r="E188" s="259">
        <f t="shared" si="6"/>
        <v>108.84054699999999</v>
      </c>
      <c r="F188" s="266"/>
      <c r="G188" s="190" t="str">
        <f t="shared" si="7"/>
        <v/>
      </c>
      <c r="H188" s="261" t="str">
        <f t="shared" si="8"/>
        <v/>
      </c>
      <c r="I188" s="262"/>
    </row>
    <row r="189" spans="1:9">
      <c r="A189" s="257">
        <v>187</v>
      </c>
      <c r="B189" s="258">
        <v>44808</v>
      </c>
      <c r="C189" s="259">
        <v>142.42251199999998</v>
      </c>
      <c r="D189" s="260">
        <v>122.74138643029524</v>
      </c>
      <c r="E189" s="259">
        <f t="shared" si="6"/>
        <v>122.74138643029524</v>
      </c>
      <c r="F189" s="266"/>
      <c r="G189" s="190" t="str">
        <f t="shared" si="7"/>
        <v/>
      </c>
      <c r="H189" s="261" t="str">
        <f t="shared" si="8"/>
        <v/>
      </c>
      <c r="I189" s="262"/>
    </row>
    <row r="190" spans="1:9">
      <c r="A190" s="257">
        <v>188</v>
      </c>
      <c r="B190" s="258">
        <v>44809</v>
      </c>
      <c r="C190" s="259">
        <v>157.90947</v>
      </c>
      <c r="D190" s="260">
        <v>122.74138643029524</v>
      </c>
      <c r="E190" s="259">
        <f t="shared" si="6"/>
        <v>122.74138643029524</v>
      </c>
      <c r="F190" s="266"/>
      <c r="G190" s="190" t="str">
        <f t="shared" si="7"/>
        <v/>
      </c>
      <c r="H190" s="261" t="str">
        <f t="shared" si="8"/>
        <v/>
      </c>
      <c r="I190" s="262"/>
    </row>
    <row r="191" spans="1:9">
      <c r="A191" s="257">
        <v>189</v>
      </c>
      <c r="B191" s="258">
        <v>44810</v>
      </c>
      <c r="C191" s="259">
        <v>156.59273800000003</v>
      </c>
      <c r="D191" s="260">
        <v>122.74138643029524</v>
      </c>
      <c r="E191" s="259">
        <f t="shared" si="6"/>
        <v>122.74138643029524</v>
      </c>
      <c r="F191" s="266"/>
      <c r="G191" s="190" t="str">
        <f t="shared" si="7"/>
        <v/>
      </c>
      <c r="H191" s="261" t="str">
        <f t="shared" si="8"/>
        <v/>
      </c>
      <c r="I191" s="262"/>
    </row>
    <row r="192" spans="1:9">
      <c r="A192" s="257">
        <v>190</v>
      </c>
      <c r="B192" s="258">
        <v>44811</v>
      </c>
      <c r="C192" s="259">
        <v>140.72837200000001</v>
      </c>
      <c r="D192" s="260">
        <v>122.74138643029524</v>
      </c>
      <c r="E192" s="259">
        <f t="shared" si="6"/>
        <v>122.74138643029524</v>
      </c>
      <c r="F192" s="266"/>
      <c r="G192" s="190" t="str">
        <f t="shared" si="7"/>
        <v/>
      </c>
      <c r="H192" s="261" t="str">
        <f t="shared" si="8"/>
        <v/>
      </c>
      <c r="I192" s="262"/>
    </row>
    <row r="193" spans="1:9">
      <c r="A193" s="257">
        <v>191</v>
      </c>
      <c r="B193" s="258">
        <v>44812</v>
      </c>
      <c r="C193" s="259">
        <v>82.522603000000004</v>
      </c>
      <c r="D193" s="260">
        <v>122.74138643029524</v>
      </c>
      <c r="E193" s="259">
        <f t="shared" si="6"/>
        <v>82.522603000000004</v>
      </c>
      <c r="F193" s="266"/>
      <c r="G193" s="190" t="str">
        <f t="shared" si="7"/>
        <v/>
      </c>
      <c r="H193" s="261" t="str">
        <f t="shared" si="8"/>
        <v/>
      </c>
      <c r="I193" s="262"/>
    </row>
    <row r="194" spans="1:9">
      <c r="A194" s="257">
        <v>192</v>
      </c>
      <c r="B194" s="258">
        <v>44813</v>
      </c>
      <c r="C194" s="259">
        <v>61.904378999999999</v>
      </c>
      <c r="D194" s="260">
        <v>122.74138643029524</v>
      </c>
      <c r="E194" s="259">
        <f t="shared" si="6"/>
        <v>61.904378999999999</v>
      </c>
      <c r="F194" s="266"/>
      <c r="G194" s="190" t="str">
        <f t="shared" si="7"/>
        <v/>
      </c>
      <c r="H194" s="261" t="str">
        <f t="shared" si="8"/>
        <v/>
      </c>
      <c r="I194" s="262"/>
    </row>
    <row r="195" spans="1:9">
      <c r="A195" s="257">
        <v>193</v>
      </c>
      <c r="B195" s="258">
        <v>44814</v>
      </c>
      <c r="C195" s="259">
        <v>41.055430999999999</v>
      </c>
      <c r="D195" s="260">
        <v>122.74138643029524</v>
      </c>
      <c r="E195" s="259">
        <f t="shared" ref="E195:E258" si="9">IF(C195&gt;D195,D195,C195)</f>
        <v>41.055430999999999</v>
      </c>
      <c r="F195" s="266"/>
      <c r="G195" s="190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61" t="str">
        <f t="shared" ref="H195:H258" si="11">IF(DAY($B195)=15,TEXT(D195,"#,0"),"")</f>
        <v/>
      </c>
      <c r="I195" s="262"/>
    </row>
    <row r="196" spans="1:9">
      <c r="A196" s="257">
        <v>194</v>
      </c>
      <c r="B196" s="258">
        <v>44815</v>
      </c>
      <c r="C196" s="259">
        <v>103.55985099999999</v>
      </c>
      <c r="D196" s="260">
        <v>122.74138643029524</v>
      </c>
      <c r="E196" s="259">
        <f t="shared" si="9"/>
        <v>103.55985099999999</v>
      </c>
      <c r="F196" s="266"/>
      <c r="G196" s="190" t="str">
        <f t="shared" si="10"/>
        <v/>
      </c>
      <c r="H196" s="261" t="str">
        <f t="shared" si="11"/>
        <v/>
      </c>
      <c r="I196" s="262"/>
    </row>
    <row r="197" spans="1:9">
      <c r="A197" s="257">
        <v>195</v>
      </c>
      <c r="B197" s="258">
        <v>44816</v>
      </c>
      <c r="C197" s="259">
        <v>194.291451</v>
      </c>
      <c r="D197" s="260">
        <v>122.74138643029524</v>
      </c>
      <c r="E197" s="259">
        <f t="shared" si="9"/>
        <v>122.74138643029524</v>
      </c>
      <c r="F197" s="266"/>
      <c r="G197" s="190" t="str">
        <f t="shared" si="10"/>
        <v/>
      </c>
      <c r="H197" s="261" t="str">
        <f t="shared" si="11"/>
        <v/>
      </c>
      <c r="I197" s="262"/>
    </row>
    <row r="198" spans="1:9">
      <c r="A198" s="257">
        <v>196</v>
      </c>
      <c r="B198" s="258">
        <v>44817</v>
      </c>
      <c r="C198" s="259">
        <v>262.27591100000001</v>
      </c>
      <c r="D198" s="260">
        <v>122.74138643029524</v>
      </c>
      <c r="E198" s="259">
        <f t="shared" si="9"/>
        <v>122.74138643029524</v>
      </c>
      <c r="F198" s="266"/>
      <c r="G198" s="190" t="str">
        <f t="shared" si="10"/>
        <v/>
      </c>
      <c r="H198" s="261" t="str">
        <f t="shared" si="11"/>
        <v/>
      </c>
      <c r="I198" s="262"/>
    </row>
    <row r="199" spans="1:9">
      <c r="A199" s="257">
        <v>197</v>
      </c>
      <c r="B199" s="258">
        <v>44818</v>
      </c>
      <c r="C199" s="259">
        <v>135.933469</v>
      </c>
      <c r="D199" s="260">
        <v>122.74138643029524</v>
      </c>
      <c r="E199" s="259">
        <f t="shared" si="9"/>
        <v>122.74138643029524</v>
      </c>
      <c r="F199" s="266"/>
      <c r="G199" s="190" t="str">
        <f t="shared" si="10"/>
        <v/>
      </c>
      <c r="H199" s="261" t="str">
        <f t="shared" si="11"/>
        <v/>
      </c>
      <c r="I199" s="262"/>
    </row>
    <row r="200" spans="1:9">
      <c r="A200" s="257">
        <v>198</v>
      </c>
      <c r="B200" s="258">
        <v>44819</v>
      </c>
      <c r="C200" s="259">
        <v>55.376486</v>
      </c>
      <c r="D200" s="260">
        <v>122.74138643029524</v>
      </c>
      <c r="E200" s="259">
        <f t="shared" si="9"/>
        <v>55.376486</v>
      </c>
      <c r="F200" s="266"/>
      <c r="G200" s="190" t="str">
        <f t="shared" si="10"/>
        <v>S</v>
      </c>
      <c r="H200" s="261" t="str">
        <f t="shared" si="11"/>
        <v>122,7</v>
      </c>
      <c r="I200" s="262"/>
    </row>
    <row r="201" spans="1:9">
      <c r="A201" s="257">
        <v>199</v>
      </c>
      <c r="B201" s="258">
        <v>44820</v>
      </c>
      <c r="C201" s="259">
        <v>152.129333</v>
      </c>
      <c r="D201" s="260">
        <v>122.74138643029524</v>
      </c>
      <c r="E201" s="259">
        <f t="shared" si="9"/>
        <v>122.74138643029524</v>
      </c>
      <c r="F201" s="266"/>
      <c r="G201" s="190" t="str">
        <f t="shared" si="10"/>
        <v/>
      </c>
      <c r="H201" s="261" t="str">
        <f t="shared" si="11"/>
        <v/>
      </c>
      <c r="I201" s="262"/>
    </row>
    <row r="202" spans="1:9">
      <c r="A202" s="257">
        <v>200</v>
      </c>
      <c r="B202" s="258">
        <v>44821</v>
      </c>
      <c r="C202" s="259">
        <v>180.006652</v>
      </c>
      <c r="D202" s="260">
        <v>122.74138643029524</v>
      </c>
      <c r="E202" s="259">
        <f t="shared" si="9"/>
        <v>122.74138643029524</v>
      </c>
      <c r="F202" s="266"/>
      <c r="G202" s="190" t="str">
        <f t="shared" si="10"/>
        <v/>
      </c>
      <c r="H202" s="261" t="str">
        <f t="shared" si="11"/>
        <v/>
      </c>
      <c r="I202" s="262"/>
    </row>
    <row r="203" spans="1:9">
      <c r="A203" s="257">
        <v>201</v>
      </c>
      <c r="B203" s="258">
        <v>44822</v>
      </c>
      <c r="C203" s="259">
        <v>119.38686</v>
      </c>
      <c r="D203" s="260">
        <v>122.74138643029524</v>
      </c>
      <c r="E203" s="259">
        <f t="shared" si="9"/>
        <v>119.38686</v>
      </c>
      <c r="F203" s="266"/>
      <c r="G203" s="190" t="str">
        <f t="shared" si="10"/>
        <v/>
      </c>
      <c r="H203" s="261" t="str">
        <f t="shared" si="11"/>
        <v/>
      </c>
      <c r="I203" s="262"/>
    </row>
    <row r="204" spans="1:9">
      <c r="A204" s="257">
        <v>202</v>
      </c>
      <c r="B204" s="258">
        <v>44823</v>
      </c>
      <c r="C204" s="259">
        <v>80.284176000000002</v>
      </c>
      <c r="D204" s="260">
        <v>122.74138643029524</v>
      </c>
      <c r="E204" s="259">
        <f t="shared" si="9"/>
        <v>80.284176000000002</v>
      </c>
      <c r="F204" s="266"/>
      <c r="G204" s="190" t="str">
        <f t="shared" si="10"/>
        <v/>
      </c>
      <c r="H204" s="261" t="str">
        <f t="shared" si="11"/>
        <v/>
      </c>
      <c r="I204" s="262"/>
    </row>
    <row r="205" spans="1:9">
      <c r="A205" s="257">
        <v>203</v>
      </c>
      <c r="B205" s="258">
        <v>44824</v>
      </c>
      <c r="C205" s="259">
        <v>100.68425500000001</v>
      </c>
      <c r="D205" s="260">
        <v>122.74138643029524</v>
      </c>
      <c r="E205" s="259">
        <f t="shared" si="9"/>
        <v>100.68425500000001</v>
      </c>
      <c r="F205" s="266"/>
      <c r="G205" s="190" t="str">
        <f t="shared" si="10"/>
        <v/>
      </c>
      <c r="H205" s="261" t="str">
        <f t="shared" si="11"/>
        <v/>
      </c>
      <c r="I205" s="262"/>
    </row>
    <row r="206" spans="1:9">
      <c r="A206" s="257">
        <v>204</v>
      </c>
      <c r="B206" s="258">
        <v>44825</v>
      </c>
      <c r="C206" s="259">
        <v>99.861514999999997</v>
      </c>
      <c r="D206" s="260">
        <v>122.74138643029524</v>
      </c>
      <c r="E206" s="259">
        <f t="shared" si="9"/>
        <v>99.861514999999997</v>
      </c>
      <c r="F206" s="266"/>
      <c r="G206" s="190" t="str">
        <f t="shared" si="10"/>
        <v/>
      </c>
      <c r="H206" s="261" t="str">
        <f t="shared" si="11"/>
        <v/>
      </c>
      <c r="I206" s="262"/>
    </row>
    <row r="207" spans="1:9">
      <c r="A207" s="257">
        <v>205</v>
      </c>
      <c r="B207" s="258">
        <v>44826</v>
      </c>
      <c r="C207" s="259">
        <v>46.924219000000001</v>
      </c>
      <c r="D207" s="260">
        <v>122.74138643029524</v>
      </c>
      <c r="E207" s="259">
        <f t="shared" si="9"/>
        <v>46.924219000000001</v>
      </c>
      <c r="F207" s="266"/>
      <c r="G207" s="190" t="str">
        <f t="shared" si="10"/>
        <v/>
      </c>
      <c r="H207" s="261" t="str">
        <f t="shared" si="11"/>
        <v/>
      </c>
      <c r="I207" s="262"/>
    </row>
    <row r="208" spans="1:9">
      <c r="A208" s="257">
        <v>206</v>
      </c>
      <c r="B208" s="258">
        <v>44827</v>
      </c>
      <c r="C208" s="259">
        <v>84.220392000000004</v>
      </c>
      <c r="D208" s="260">
        <v>122.74138643029524</v>
      </c>
      <c r="E208" s="259">
        <f t="shared" si="9"/>
        <v>84.220392000000004</v>
      </c>
      <c r="F208" s="266"/>
      <c r="G208" s="190" t="str">
        <f t="shared" si="10"/>
        <v/>
      </c>
      <c r="H208" s="261" t="str">
        <f t="shared" si="11"/>
        <v/>
      </c>
      <c r="I208" s="262"/>
    </row>
    <row r="209" spans="1:9">
      <c r="A209" s="257">
        <v>207</v>
      </c>
      <c r="B209" s="258">
        <v>44828</v>
      </c>
      <c r="C209" s="259">
        <v>166.849581</v>
      </c>
      <c r="D209" s="260">
        <v>122.74138643029524</v>
      </c>
      <c r="E209" s="259">
        <f t="shared" si="9"/>
        <v>122.74138643029524</v>
      </c>
      <c r="F209" s="266"/>
      <c r="G209" s="190" t="str">
        <f t="shared" si="10"/>
        <v/>
      </c>
      <c r="H209" s="261" t="str">
        <f t="shared" si="11"/>
        <v/>
      </c>
      <c r="I209" s="262"/>
    </row>
    <row r="210" spans="1:9">
      <c r="A210" s="257">
        <v>208</v>
      </c>
      <c r="B210" s="258">
        <v>44829</v>
      </c>
      <c r="C210" s="259">
        <v>171.752227</v>
      </c>
      <c r="D210" s="260">
        <v>122.74138643029524</v>
      </c>
      <c r="E210" s="259">
        <f t="shared" si="9"/>
        <v>122.74138643029524</v>
      </c>
      <c r="F210" s="266"/>
      <c r="G210" s="190" t="str">
        <f t="shared" si="10"/>
        <v/>
      </c>
      <c r="H210" s="261" t="str">
        <f t="shared" si="11"/>
        <v/>
      </c>
      <c r="I210" s="262"/>
    </row>
    <row r="211" spans="1:9">
      <c r="A211" s="257">
        <v>209</v>
      </c>
      <c r="B211" s="258">
        <v>44830</v>
      </c>
      <c r="C211" s="259">
        <v>157.930612</v>
      </c>
      <c r="D211" s="260">
        <v>122.74138643029524</v>
      </c>
      <c r="E211" s="259">
        <f t="shared" si="9"/>
        <v>122.74138643029524</v>
      </c>
      <c r="F211" s="266"/>
      <c r="G211" s="190" t="str">
        <f t="shared" si="10"/>
        <v/>
      </c>
      <c r="H211" s="261" t="str">
        <f t="shared" si="11"/>
        <v/>
      </c>
      <c r="I211" s="262"/>
    </row>
    <row r="212" spans="1:9">
      <c r="A212" s="257">
        <v>210</v>
      </c>
      <c r="B212" s="258">
        <v>44831</v>
      </c>
      <c r="C212" s="259">
        <v>218.09418299999999</v>
      </c>
      <c r="D212" s="260">
        <v>122.74138643029524</v>
      </c>
      <c r="E212" s="259">
        <f t="shared" si="9"/>
        <v>122.74138643029524</v>
      </c>
      <c r="F212" s="266"/>
      <c r="G212" s="190" t="str">
        <f t="shared" si="10"/>
        <v/>
      </c>
      <c r="H212" s="261" t="str">
        <f t="shared" si="11"/>
        <v/>
      </c>
      <c r="I212" s="262"/>
    </row>
    <row r="213" spans="1:9">
      <c r="A213" s="257">
        <v>211</v>
      </c>
      <c r="B213" s="258">
        <v>44832</v>
      </c>
      <c r="C213" s="259">
        <v>240.312376</v>
      </c>
      <c r="D213" s="260">
        <v>122.74138643029524</v>
      </c>
      <c r="E213" s="259">
        <f t="shared" si="9"/>
        <v>122.74138643029524</v>
      </c>
      <c r="F213" s="266"/>
      <c r="G213" s="190" t="str">
        <f t="shared" si="10"/>
        <v/>
      </c>
      <c r="H213" s="261" t="str">
        <f t="shared" si="11"/>
        <v/>
      </c>
      <c r="I213" s="262"/>
    </row>
    <row r="214" spans="1:9">
      <c r="A214" s="257">
        <v>212</v>
      </c>
      <c r="B214" s="258">
        <v>44833</v>
      </c>
      <c r="C214" s="259">
        <v>260.01438000000002</v>
      </c>
      <c r="D214" s="260">
        <v>122.74138643029524</v>
      </c>
      <c r="E214" s="259">
        <f t="shared" si="9"/>
        <v>122.74138643029524</v>
      </c>
      <c r="F214" s="266"/>
      <c r="G214" s="190" t="str">
        <f t="shared" si="10"/>
        <v/>
      </c>
      <c r="H214" s="261" t="str">
        <f t="shared" si="11"/>
        <v/>
      </c>
      <c r="I214" s="262"/>
    </row>
    <row r="215" spans="1:9">
      <c r="A215" s="257">
        <v>213</v>
      </c>
      <c r="B215" s="258">
        <v>44834</v>
      </c>
      <c r="C215" s="259">
        <v>206.73972700000002</v>
      </c>
      <c r="D215" s="260">
        <v>122.74138643029524</v>
      </c>
      <c r="E215" s="259">
        <f t="shared" si="9"/>
        <v>122.74138643029524</v>
      </c>
      <c r="F215" s="266"/>
      <c r="G215" s="190" t="str">
        <f t="shared" si="10"/>
        <v/>
      </c>
      <c r="H215" s="261" t="str">
        <f t="shared" si="11"/>
        <v/>
      </c>
      <c r="I215" s="262"/>
    </row>
    <row r="216" spans="1:9">
      <c r="A216" s="257">
        <v>214</v>
      </c>
      <c r="B216" s="258">
        <v>44835</v>
      </c>
      <c r="C216" s="259">
        <v>68.157820000000001</v>
      </c>
      <c r="D216" s="260">
        <v>143.28247918530749</v>
      </c>
      <c r="E216" s="259">
        <f t="shared" si="9"/>
        <v>68.157820000000001</v>
      </c>
      <c r="F216" s="262"/>
      <c r="G216" s="190" t="str">
        <f t="shared" si="10"/>
        <v/>
      </c>
      <c r="H216" s="261" t="str">
        <f t="shared" si="11"/>
        <v/>
      </c>
      <c r="I216" s="262"/>
    </row>
    <row r="217" spans="1:9">
      <c r="A217" s="257">
        <v>215</v>
      </c>
      <c r="B217" s="258">
        <v>44836</v>
      </c>
      <c r="C217" s="259">
        <v>84.827850000000012</v>
      </c>
      <c r="D217" s="260">
        <v>143.28247918530749</v>
      </c>
      <c r="E217" s="259">
        <f t="shared" si="9"/>
        <v>84.827850000000012</v>
      </c>
      <c r="F217" s="266"/>
      <c r="G217" s="190" t="str">
        <f t="shared" si="10"/>
        <v/>
      </c>
      <c r="H217" s="261" t="str">
        <f t="shared" si="11"/>
        <v/>
      </c>
      <c r="I217" s="262"/>
    </row>
    <row r="218" spans="1:9">
      <c r="A218" s="257">
        <v>216</v>
      </c>
      <c r="B218" s="258">
        <v>44837</v>
      </c>
      <c r="C218" s="259">
        <v>42.34686</v>
      </c>
      <c r="D218" s="260">
        <v>143.28247918530749</v>
      </c>
      <c r="E218" s="259">
        <f t="shared" si="9"/>
        <v>42.34686</v>
      </c>
      <c r="F218" s="266"/>
      <c r="G218" s="190" t="str">
        <f t="shared" si="10"/>
        <v/>
      </c>
      <c r="H218" s="261" t="str">
        <f t="shared" si="11"/>
        <v/>
      </c>
      <c r="I218" s="262"/>
    </row>
    <row r="219" spans="1:9">
      <c r="A219" s="257">
        <v>217</v>
      </c>
      <c r="B219" s="258">
        <v>44838</v>
      </c>
      <c r="C219" s="259">
        <v>45.187612999999999</v>
      </c>
      <c r="D219" s="260">
        <v>143.28247918530749</v>
      </c>
      <c r="E219" s="259">
        <f t="shared" si="9"/>
        <v>45.187612999999999</v>
      </c>
      <c r="F219" s="266"/>
      <c r="G219" s="190" t="str">
        <f t="shared" si="10"/>
        <v/>
      </c>
      <c r="H219" s="261" t="str">
        <f t="shared" si="11"/>
        <v/>
      </c>
      <c r="I219" s="262"/>
    </row>
    <row r="220" spans="1:9">
      <c r="A220" s="257">
        <v>218</v>
      </c>
      <c r="B220" s="258">
        <v>44839</v>
      </c>
      <c r="C220" s="259">
        <v>89.617435999999998</v>
      </c>
      <c r="D220" s="260">
        <v>143.28247918530749</v>
      </c>
      <c r="E220" s="259">
        <f t="shared" si="9"/>
        <v>89.617435999999998</v>
      </c>
      <c r="F220" s="266"/>
      <c r="G220" s="190" t="str">
        <f t="shared" si="10"/>
        <v/>
      </c>
      <c r="H220" s="261" t="str">
        <f t="shared" si="11"/>
        <v/>
      </c>
      <c r="I220" s="262"/>
    </row>
    <row r="221" spans="1:9">
      <c r="A221" s="257">
        <v>219</v>
      </c>
      <c r="B221" s="258">
        <v>44840</v>
      </c>
      <c r="C221" s="259">
        <v>166.288185</v>
      </c>
      <c r="D221" s="260">
        <v>143.28247918530749</v>
      </c>
      <c r="E221" s="259">
        <f t="shared" si="9"/>
        <v>143.28247918530749</v>
      </c>
      <c r="F221" s="266"/>
      <c r="G221" s="190" t="str">
        <f t="shared" si="10"/>
        <v/>
      </c>
      <c r="H221" s="261" t="str">
        <f t="shared" si="11"/>
        <v/>
      </c>
      <c r="I221" s="262"/>
    </row>
    <row r="222" spans="1:9">
      <c r="A222" s="257">
        <v>220</v>
      </c>
      <c r="B222" s="258">
        <v>44841</v>
      </c>
      <c r="C222" s="259">
        <v>84.157702999999998</v>
      </c>
      <c r="D222" s="260">
        <v>143.28247918530749</v>
      </c>
      <c r="E222" s="259">
        <f t="shared" si="9"/>
        <v>84.157702999999998</v>
      </c>
      <c r="F222" s="266"/>
      <c r="G222" s="190" t="str">
        <f t="shared" si="10"/>
        <v/>
      </c>
      <c r="H222" s="261" t="str">
        <f t="shared" si="11"/>
        <v/>
      </c>
      <c r="I222" s="262"/>
    </row>
    <row r="223" spans="1:9">
      <c r="A223" s="257">
        <v>221</v>
      </c>
      <c r="B223" s="258">
        <v>44842</v>
      </c>
      <c r="C223" s="259">
        <v>136.86946900000001</v>
      </c>
      <c r="D223" s="260">
        <v>143.28247918530749</v>
      </c>
      <c r="E223" s="259">
        <f t="shared" si="9"/>
        <v>136.86946900000001</v>
      </c>
      <c r="F223" s="266"/>
      <c r="G223" s="190" t="str">
        <f t="shared" si="10"/>
        <v/>
      </c>
      <c r="H223" s="261" t="str">
        <f t="shared" si="11"/>
        <v/>
      </c>
      <c r="I223" s="262"/>
    </row>
    <row r="224" spans="1:9">
      <c r="A224" s="257">
        <v>222</v>
      </c>
      <c r="B224" s="258">
        <v>44843</v>
      </c>
      <c r="C224" s="259">
        <v>96.913735000000003</v>
      </c>
      <c r="D224" s="260">
        <v>143.28247918530749</v>
      </c>
      <c r="E224" s="259">
        <f t="shared" si="9"/>
        <v>96.913735000000003</v>
      </c>
      <c r="F224" s="266"/>
      <c r="G224" s="190" t="str">
        <f t="shared" si="10"/>
        <v/>
      </c>
      <c r="H224" s="261" t="str">
        <f t="shared" si="11"/>
        <v/>
      </c>
      <c r="I224" s="262"/>
    </row>
    <row r="225" spans="1:9">
      <c r="A225" s="257">
        <v>223</v>
      </c>
      <c r="B225" s="258">
        <v>44844</v>
      </c>
      <c r="C225" s="259">
        <v>52.378706000000001</v>
      </c>
      <c r="D225" s="260">
        <v>143.28247918530749</v>
      </c>
      <c r="E225" s="259">
        <f t="shared" si="9"/>
        <v>52.378706000000001</v>
      </c>
      <c r="F225" s="266"/>
      <c r="G225" s="190" t="str">
        <f t="shared" si="10"/>
        <v/>
      </c>
      <c r="H225" s="261" t="str">
        <f t="shared" si="11"/>
        <v/>
      </c>
      <c r="I225" s="262"/>
    </row>
    <row r="226" spans="1:9">
      <c r="A226" s="257">
        <v>224</v>
      </c>
      <c r="B226" s="258">
        <v>44845</v>
      </c>
      <c r="C226" s="259">
        <v>45.632053999999997</v>
      </c>
      <c r="D226" s="260">
        <v>143.28247918530749</v>
      </c>
      <c r="E226" s="259">
        <f t="shared" si="9"/>
        <v>45.632053999999997</v>
      </c>
      <c r="F226" s="266"/>
      <c r="G226" s="190" t="str">
        <f t="shared" si="10"/>
        <v/>
      </c>
      <c r="H226" s="261" t="str">
        <f t="shared" si="11"/>
        <v/>
      </c>
      <c r="I226" s="262"/>
    </row>
    <row r="227" spans="1:9">
      <c r="A227" s="257">
        <v>225</v>
      </c>
      <c r="B227" s="258">
        <v>44846</v>
      </c>
      <c r="C227" s="259">
        <v>58.151752000000002</v>
      </c>
      <c r="D227" s="260">
        <v>143.28247918530749</v>
      </c>
      <c r="E227" s="259">
        <f t="shared" si="9"/>
        <v>58.151752000000002</v>
      </c>
      <c r="F227" s="266"/>
      <c r="G227" s="190" t="str">
        <f t="shared" si="10"/>
        <v/>
      </c>
      <c r="H227" s="261" t="str">
        <f t="shared" si="11"/>
        <v/>
      </c>
      <c r="I227" s="262"/>
    </row>
    <row r="228" spans="1:9">
      <c r="A228" s="257">
        <v>226</v>
      </c>
      <c r="B228" s="258">
        <v>44847</v>
      </c>
      <c r="C228" s="259">
        <v>60.684504999999994</v>
      </c>
      <c r="D228" s="260">
        <v>143.28247918530749</v>
      </c>
      <c r="E228" s="259">
        <f t="shared" si="9"/>
        <v>60.684504999999994</v>
      </c>
      <c r="F228" s="266"/>
      <c r="G228" s="190" t="str">
        <f t="shared" si="10"/>
        <v/>
      </c>
      <c r="H228" s="261" t="str">
        <f t="shared" si="11"/>
        <v/>
      </c>
      <c r="I228" s="262"/>
    </row>
    <row r="229" spans="1:9">
      <c r="A229" s="257">
        <v>227</v>
      </c>
      <c r="B229" s="258">
        <v>44848</v>
      </c>
      <c r="C229" s="259">
        <v>97.734698000000009</v>
      </c>
      <c r="D229" s="260">
        <v>143.28247918530749</v>
      </c>
      <c r="E229" s="259">
        <f t="shared" si="9"/>
        <v>97.734698000000009</v>
      </c>
      <c r="F229" s="266"/>
      <c r="G229" s="190" t="str">
        <f t="shared" si="10"/>
        <v/>
      </c>
      <c r="H229" s="261" t="str">
        <f t="shared" si="11"/>
        <v/>
      </c>
      <c r="I229" s="262"/>
    </row>
    <row r="230" spans="1:9">
      <c r="A230" s="257">
        <v>228</v>
      </c>
      <c r="B230" s="258">
        <v>44849</v>
      </c>
      <c r="C230" s="259">
        <v>117.647707</v>
      </c>
      <c r="D230" s="260">
        <v>143.28247918530749</v>
      </c>
      <c r="E230" s="259">
        <f t="shared" si="9"/>
        <v>117.647707</v>
      </c>
      <c r="F230" s="262"/>
      <c r="G230" s="190" t="str">
        <f t="shared" si="10"/>
        <v>O</v>
      </c>
      <c r="H230" s="261" t="str">
        <f t="shared" si="11"/>
        <v>143,3</v>
      </c>
      <c r="I230" s="262"/>
    </row>
    <row r="231" spans="1:9">
      <c r="A231" s="257">
        <v>229</v>
      </c>
      <c r="B231" s="258">
        <v>44850</v>
      </c>
      <c r="C231" s="259">
        <v>218.295952</v>
      </c>
      <c r="D231" s="260">
        <v>143.28247918530749</v>
      </c>
      <c r="E231" s="259">
        <f t="shared" si="9"/>
        <v>143.28247918530749</v>
      </c>
      <c r="F231" s="266"/>
      <c r="G231" s="190" t="str">
        <f t="shared" si="10"/>
        <v/>
      </c>
      <c r="H231" s="261" t="str">
        <f t="shared" si="11"/>
        <v/>
      </c>
      <c r="I231" s="262"/>
    </row>
    <row r="232" spans="1:9">
      <c r="A232" s="257">
        <v>230</v>
      </c>
      <c r="B232" s="258">
        <v>44851</v>
      </c>
      <c r="C232" s="259">
        <v>194.237313</v>
      </c>
      <c r="D232" s="260">
        <v>143.28247918530749</v>
      </c>
      <c r="E232" s="259">
        <f t="shared" si="9"/>
        <v>143.28247918530749</v>
      </c>
      <c r="F232" s="266"/>
      <c r="G232" s="190" t="str">
        <f t="shared" si="10"/>
        <v/>
      </c>
      <c r="H232" s="261" t="str">
        <f t="shared" si="11"/>
        <v/>
      </c>
      <c r="I232" s="262"/>
    </row>
    <row r="233" spans="1:9">
      <c r="A233" s="257">
        <v>231</v>
      </c>
      <c r="B233" s="258">
        <v>44852</v>
      </c>
      <c r="C233" s="259">
        <v>240.233575</v>
      </c>
      <c r="D233" s="260">
        <v>143.28247918530749</v>
      </c>
      <c r="E233" s="259">
        <f t="shared" si="9"/>
        <v>143.28247918530749</v>
      </c>
      <c r="F233" s="266"/>
      <c r="G233" s="190" t="str">
        <f t="shared" si="10"/>
        <v/>
      </c>
      <c r="H233" s="261" t="str">
        <f t="shared" si="11"/>
        <v/>
      </c>
      <c r="I233" s="262"/>
    </row>
    <row r="234" spans="1:9">
      <c r="A234" s="257">
        <v>232</v>
      </c>
      <c r="B234" s="258">
        <v>44853</v>
      </c>
      <c r="C234" s="259">
        <v>282.31645600000002</v>
      </c>
      <c r="D234" s="260">
        <v>143.28247918530749</v>
      </c>
      <c r="E234" s="259">
        <f t="shared" si="9"/>
        <v>143.28247918530749</v>
      </c>
      <c r="F234" s="266"/>
      <c r="G234" s="190" t="str">
        <f t="shared" si="10"/>
        <v/>
      </c>
      <c r="H234" s="261" t="str">
        <f t="shared" si="11"/>
        <v/>
      </c>
      <c r="I234" s="262"/>
    </row>
    <row r="235" spans="1:9">
      <c r="A235" s="257">
        <v>233</v>
      </c>
      <c r="B235" s="258">
        <v>44854</v>
      </c>
      <c r="C235" s="259">
        <v>304.08560599999998</v>
      </c>
      <c r="D235" s="260">
        <v>143.28247918530749</v>
      </c>
      <c r="E235" s="259">
        <f t="shared" si="9"/>
        <v>143.28247918530749</v>
      </c>
      <c r="F235" s="266"/>
      <c r="G235" s="190" t="str">
        <f t="shared" si="10"/>
        <v/>
      </c>
      <c r="H235" s="261" t="str">
        <f t="shared" si="11"/>
        <v/>
      </c>
      <c r="I235" s="262"/>
    </row>
    <row r="236" spans="1:9">
      <c r="A236" s="257">
        <v>234</v>
      </c>
      <c r="B236" s="258">
        <v>44855</v>
      </c>
      <c r="C236" s="259">
        <v>261.77979699999997</v>
      </c>
      <c r="D236" s="260">
        <v>143.28247918530749</v>
      </c>
      <c r="E236" s="259">
        <f t="shared" si="9"/>
        <v>143.28247918530749</v>
      </c>
      <c r="F236" s="266"/>
      <c r="G236" s="190" t="str">
        <f t="shared" si="10"/>
        <v/>
      </c>
      <c r="H236" s="261" t="str">
        <f t="shared" si="11"/>
        <v/>
      </c>
      <c r="I236" s="262"/>
    </row>
    <row r="237" spans="1:9">
      <c r="A237" s="257">
        <v>235</v>
      </c>
      <c r="B237" s="258">
        <v>44856</v>
      </c>
      <c r="C237" s="259">
        <v>255.167382</v>
      </c>
      <c r="D237" s="260">
        <v>143.28247918530749</v>
      </c>
      <c r="E237" s="259">
        <f t="shared" si="9"/>
        <v>143.28247918530749</v>
      </c>
      <c r="F237" s="266"/>
      <c r="G237" s="190" t="str">
        <f t="shared" si="10"/>
        <v/>
      </c>
      <c r="H237" s="261" t="str">
        <f t="shared" si="11"/>
        <v/>
      </c>
      <c r="I237" s="262"/>
    </row>
    <row r="238" spans="1:9">
      <c r="A238" s="257">
        <v>236</v>
      </c>
      <c r="B238" s="258">
        <v>44857</v>
      </c>
      <c r="C238" s="259">
        <v>310.99159399999996</v>
      </c>
      <c r="D238" s="260">
        <v>143.28247918530749</v>
      </c>
      <c r="E238" s="259">
        <f t="shared" si="9"/>
        <v>143.28247918530749</v>
      </c>
      <c r="F238" s="266"/>
      <c r="G238" s="190" t="str">
        <f t="shared" si="10"/>
        <v/>
      </c>
      <c r="H238" s="261" t="str">
        <f t="shared" si="11"/>
        <v/>
      </c>
      <c r="I238" s="262"/>
    </row>
    <row r="239" spans="1:9">
      <c r="A239" s="257">
        <v>237</v>
      </c>
      <c r="B239" s="258">
        <v>44858</v>
      </c>
      <c r="C239" s="259">
        <v>137.67570499999999</v>
      </c>
      <c r="D239" s="260">
        <v>143.28247918530749</v>
      </c>
      <c r="E239" s="259">
        <f t="shared" si="9"/>
        <v>137.67570499999999</v>
      </c>
      <c r="F239" s="266"/>
      <c r="G239" s="190" t="str">
        <f t="shared" si="10"/>
        <v/>
      </c>
      <c r="H239" s="261" t="str">
        <f t="shared" si="11"/>
        <v/>
      </c>
      <c r="I239" s="262"/>
    </row>
    <row r="240" spans="1:9">
      <c r="A240" s="257">
        <v>238</v>
      </c>
      <c r="B240" s="258">
        <v>44859</v>
      </c>
      <c r="C240" s="259">
        <v>245.04426999999998</v>
      </c>
      <c r="D240" s="260">
        <v>143.28247918530749</v>
      </c>
      <c r="E240" s="259">
        <f t="shared" si="9"/>
        <v>143.28247918530749</v>
      </c>
      <c r="F240" s="266"/>
      <c r="G240" s="190" t="str">
        <f t="shared" si="10"/>
        <v/>
      </c>
      <c r="H240" s="261" t="str">
        <f t="shared" si="11"/>
        <v/>
      </c>
      <c r="I240" s="262"/>
    </row>
    <row r="241" spans="1:9">
      <c r="A241" s="257">
        <v>239</v>
      </c>
      <c r="B241" s="258">
        <v>44860</v>
      </c>
      <c r="C241" s="259">
        <v>176.95528200000001</v>
      </c>
      <c r="D241" s="260">
        <v>143.28247918530749</v>
      </c>
      <c r="E241" s="259">
        <f t="shared" si="9"/>
        <v>143.28247918530749</v>
      </c>
      <c r="F241" s="266"/>
      <c r="G241" s="190" t="str">
        <f t="shared" si="10"/>
        <v/>
      </c>
      <c r="H241" s="261" t="str">
        <f t="shared" si="11"/>
        <v/>
      </c>
      <c r="I241" s="262"/>
    </row>
    <row r="242" spans="1:9">
      <c r="A242" s="257">
        <v>240</v>
      </c>
      <c r="B242" s="258">
        <v>44861</v>
      </c>
      <c r="C242" s="259">
        <v>308.35868299999998</v>
      </c>
      <c r="D242" s="260">
        <v>143.28247918530749</v>
      </c>
      <c r="E242" s="259">
        <f t="shared" si="9"/>
        <v>143.28247918530749</v>
      </c>
      <c r="F242" s="266"/>
      <c r="G242" s="190" t="str">
        <f t="shared" si="10"/>
        <v/>
      </c>
      <c r="H242" s="261" t="str">
        <f t="shared" si="11"/>
        <v/>
      </c>
      <c r="I242" s="262"/>
    </row>
    <row r="243" spans="1:9">
      <c r="A243" s="257">
        <v>241</v>
      </c>
      <c r="B243" s="258">
        <v>44862</v>
      </c>
      <c r="C243" s="259">
        <v>242.42630799999998</v>
      </c>
      <c r="D243" s="260">
        <v>143.28247918530749</v>
      </c>
      <c r="E243" s="259">
        <f t="shared" si="9"/>
        <v>143.28247918530749</v>
      </c>
      <c r="F243" s="266"/>
      <c r="G243" s="190" t="str">
        <f t="shared" si="10"/>
        <v/>
      </c>
      <c r="H243" s="261" t="str">
        <f t="shared" si="11"/>
        <v/>
      </c>
      <c r="I243" s="262"/>
    </row>
    <row r="244" spans="1:9">
      <c r="A244" s="257">
        <v>242</v>
      </c>
      <c r="B244" s="258">
        <v>44863</v>
      </c>
      <c r="C244" s="259">
        <v>249.27938900000001</v>
      </c>
      <c r="D244" s="260">
        <v>143.28247918530749</v>
      </c>
      <c r="E244" s="259">
        <f t="shared" si="9"/>
        <v>143.28247918530749</v>
      </c>
      <c r="F244" s="266"/>
      <c r="G244" s="190" t="str">
        <f t="shared" si="10"/>
        <v/>
      </c>
      <c r="H244" s="261" t="str">
        <f t="shared" si="11"/>
        <v/>
      </c>
      <c r="I244" s="262"/>
    </row>
    <row r="245" spans="1:9">
      <c r="A245" s="257">
        <v>243</v>
      </c>
      <c r="B245" s="258">
        <v>44864</v>
      </c>
      <c r="C245" s="259">
        <v>121.63611900000001</v>
      </c>
      <c r="D245" s="260">
        <v>143.28247918530749</v>
      </c>
      <c r="E245" s="259">
        <f t="shared" si="9"/>
        <v>121.63611900000001</v>
      </c>
      <c r="F245" s="266"/>
      <c r="G245" s="190" t="str">
        <f t="shared" si="10"/>
        <v/>
      </c>
      <c r="H245" s="261" t="str">
        <f t="shared" si="11"/>
        <v/>
      </c>
      <c r="I245" s="262"/>
    </row>
    <row r="246" spans="1:9">
      <c r="A246" s="257">
        <v>244</v>
      </c>
      <c r="B246" s="258">
        <v>44865</v>
      </c>
      <c r="C246" s="259">
        <v>224.822834</v>
      </c>
      <c r="D246" s="260">
        <v>143.28247918530749</v>
      </c>
      <c r="E246" s="259">
        <f t="shared" si="9"/>
        <v>143.28247918530749</v>
      </c>
      <c r="F246" s="266"/>
      <c r="G246" s="190" t="str">
        <f t="shared" si="10"/>
        <v/>
      </c>
      <c r="H246" s="261" t="str">
        <f t="shared" si="11"/>
        <v/>
      </c>
      <c r="I246" s="262"/>
    </row>
    <row r="247" spans="1:9">
      <c r="A247" s="257">
        <v>245</v>
      </c>
      <c r="B247" s="258">
        <v>44866</v>
      </c>
      <c r="C247" s="259">
        <v>70.170743000000002</v>
      </c>
      <c r="D247" s="260">
        <v>195.50002638702176</v>
      </c>
      <c r="E247" s="259">
        <f t="shared" si="9"/>
        <v>70.170743000000002</v>
      </c>
      <c r="F247" s="262"/>
      <c r="G247" s="190" t="str">
        <f t="shared" si="10"/>
        <v/>
      </c>
      <c r="H247" s="261" t="str">
        <f t="shared" si="11"/>
        <v/>
      </c>
      <c r="I247" s="262"/>
    </row>
    <row r="248" spans="1:9">
      <c r="A248" s="257">
        <v>246</v>
      </c>
      <c r="B248" s="258">
        <v>44867</v>
      </c>
      <c r="C248" s="259">
        <v>71.457005000000009</v>
      </c>
      <c r="D248" s="260">
        <v>195.50002638702176</v>
      </c>
      <c r="E248" s="259">
        <f t="shared" si="9"/>
        <v>71.457005000000009</v>
      </c>
      <c r="F248" s="266"/>
      <c r="G248" s="190" t="str">
        <f t="shared" si="10"/>
        <v/>
      </c>
      <c r="H248" s="261" t="str">
        <f t="shared" si="11"/>
        <v/>
      </c>
      <c r="I248" s="262"/>
    </row>
    <row r="249" spans="1:9">
      <c r="A249" s="257">
        <v>247</v>
      </c>
      <c r="B249" s="258">
        <v>44868</v>
      </c>
      <c r="C249" s="259">
        <v>231.38691999999998</v>
      </c>
      <c r="D249" s="260">
        <v>195.50002638702176</v>
      </c>
      <c r="E249" s="259">
        <f t="shared" si="9"/>
        <v>195.50002638702176</v>
      </c>
      <c r="F249" s="266"/>
      <c r="G249" s="190" t="str">
        <f t="shared" si="10"/>
        <v/>
      </c>
      <c r="H249" s="261" t="str">
        <f t="shared" si="11"/>
        <v/>
      </c>
      <c r="I249" s="262"/>
    </row>
    <row r="250" spans="1:9">
      <c r="A250" s="257">
        <v>248</v>
      </c>
      <c r="B250" s="258">
        <v>44869</v>
      </c>
      <c r="C250" s="259">
        <v>238.310788</v>
      </c>
      <c r="D250" s="260">
        <v>195.50002638702176</v>
      </c>
      <c r="E250" s="259">
        <f t="shared" si="9"/>
        <v>195.50002638702176</v>
      </c>
      <c r="F250" s="266"/>
      <c r="G250" s="190" t="str">
        <f t="shared" si="10"/>
        <v/>
      </c>
      <c r="H250" s="261" t="str">
        <f t="shared" si="11"/>
        <v/>
      </c>
      <c r="I250" s="262"/>
    </row>
    <row r="251" spans="1:9">
      <c r="A251" s="257">
        <v>249</v>
      </c>
      <c r="B251" s="258">
        <v>44870</v>
      </c>
      <c r="C251" s="259">
        <v>116.458411</v>
      </c>
      <c r="D251" s="260">
        <v>195.50002638702176</v>
      </c>
      <c r="E251" s="259">
        <f t="shared" si="9"/>
        <v>116.458411</v>
      </c>
      <c r="F251" s="266"/>
      <c r="G251" s="190" t="str">
        <f t="shared" si="10"/>
        <v/>
      </c>
      <c r="H251" s="261" t="str">
        <f t="shared" si="11"/>
        <v/>
      </c>
      <c r="I251" s="262"/>
    </row>
    <row r="252" spans="1:9">
      <c r="A252" s="257">
        <v>250</v>
      </c>
      <c r="B252" s="258">
        <v>44871</v>
      </c>
      <c r="C252" s="259">
        <v>143.598421</v>
      </c>
      <c r="D252" s="260">
        <v>195.50002638702176</v>
      </c>
      <c r="E252" s="259">
        <f t="shared" si="9"/>
        <v>143.598421</v>
      </c>
      <c r="F252" s="266"/>
      <c r="G252" s="190" t="str">
        <f t="shared" si="10"/>
        <v/>
      </c>
      <c r="H252" s="261" t="str">
        <f t="shared" si="11"/>
        <v/>
      </c>
      <c r="I252" s="262"/>
    </row>
    <row r="253" spans="1:9">
      <c r="A253" s="257">
        <v>251</v>
      </c>
      <c r="B253" s="258">
        <v>44872</v>
      </c>
      <c r="C253" s="259">
        <v>175.58613699999998</v>
      </c>
      <c r="D253" s="260">
        <v>195.50002638702176</v>
      </c>
      <c r="E253" s="259">
        <f t="shared" si="9"/>
        <v>175.58613699999998</v>
      </c>
      <c r="F253" s="266"/>
      <c r="G253" s="190" t="str">
        <f t="shared" si="10"/>
        <v/>
      </c>
      <c r="H253" s="261" t="str">
        <f t="shared" si="11"/>
        <v/>
      </c>
      <c r="I253" s="262"/>
    </row>
    <row r="254" spans="1:9">
      <c r="A254" s="257">
        <v>252</v>
      </c>
      <c r="B254" s="258">
        <v>44873</v>
      </c>
      <c r="C254" s="259">
        <v>236.40917400000001</v>
      </c>
      <c r="D254" s="260">
        <v>195.50002638702176</v>
      </c>
      <c r="E254" s="259">
        <f t="shared" si="9"/>
        <v>195.50002638702176</v>
      </c>
      <c r="F254" s="266"/>
      <c r="G254" s="190" t="str">
        <f t="shared" si="10"/>
        <v/>
      </c>
      <c r="H254" s="261" t="str">
        <f t="shared" si="11"/>
        <v/>
      </c>
      <c r="I254" s="262"/>
    </row>
    <row r="255" spans="1:9">
      <c r="A255" s="257">
        <v>253</v>
      </c>
      <c r="B255" s="258">
        <v>44874</v>
      </c>
      <c r="C255" s="259">
        <v>141.31734700000001</v>
      </c>
      <c r="D255" s="260">
        <v>195.50002638702176</v>
      </c>
      <c r="E255" s="259">
        <f t="shared" si="9"/>
        <v>141.31734700000001</v>
      </c>
      <c r="F255" s="266"/>
      <c r="G255" s="190" t="str">
        <f t="shared" si="10"/>
        <v/>
      </c>
      <c r="H255" s="261" t="str">
        <f t="shared" si="11"/>
        <v/>
      </c>
      <c r="I255" s="262"/>
    </row>
    <row r="256" spans="1:9">
      <c r="A256" s="257">
        <v>254</v>
      </c>
      <c r="B256" s="258">
        <v>44875</v>
      </c>
      <c r="C256" s="259">
        <v>72.62004300000001</v>
      </c>
      <c r="D256" s="260">
        <v>195.50002638702176</v>
      </c>
      <c r="E256" s="259">
        <f t="shared" si="9"/>
        <v>72.62004300000001</v>
      </c>
      <c r="F256" s="266"/>
      <c r="G256" s="190" t="str">
        <f t="shared" si="10"/>
        <v/>
      </c>
      <c r="H256" s="261" t="str">
        <f t="shared" si="11"/>
        <v/>
      </c>
      <c r="I256" s="262"/>
    </row>
    <row r="257" spans="1:9">
      <c r="A257" s="257">
        <v>255</v>
      </c>
      <c r="B257" s="258">
        <v>44876</v>
      </c>
      <c r="C257" s="259">
        <v>180.31422000000001</v>
      </c>
      <c r="D257" s="260">
        <v>195.50002638702176</v>
      </c>
      <c r="E257" s="259">
        <f t="shared" si="9"/>
        <v>180.31422000000001</v>
      </c>
      <c r="F257" s="266"/>
      <c r="G257" s="190" t="str">
        <f t="shared" si="10"/>
        <v/>
      </c>
      <c r="H257" s="261" t="str">
        <f t="shared" si="11"/>
        <v/>
      </c>
      <c r="I257" s="262"/>
    </row>
    <row r="258" spans="1:9">
      <c r="A258" s="257">
        <v>256</v>
      </c>
      <c r="B258" s="258">
        <v>44877</v>
      </c>
      <c r="C258" s="259">
        <v>250.85841200000002</v>
      </c>
      <c r="D258" s="260">
        <v>195.50002638702176</v>
      </c>
      <c r="E258" s="259">
        <f t="shared" si="9"/>
        <v>195.50002638702176</v>
      </c>
      <c r="F258" s="266"/>
      <c r="G258" s="190" t="str">
        <f t="shared" si="10"/>
        <v/>
      </c>
      <c r="H258" s="261" t="str">
        <f t="shared" si="11"/>
        <v/>
      </c>
      <c r="I258" s="262"/>
    </row>
    <row r="259" spans="1:9">
      <c r="A259" s="257">
        <v>257</v>
      </c>
      <c r="B259" s="258">
        <v>44878</v>
      </c>
      <c r="C259" s="259">
        <v>146.40452999999999</v>
      </c>
      <c r="D259" s="260">
        <v>195.50002638702176</v>
      </c>
      <c r="E259" s="259">
        <f t="shared" ref="E259:E322" si="12">IF(C259&gt;D259,D259,C259)</f>
        <v>146.40452999999999</v>
      </c>
      <c r="F259" s="266"/>
      <c r="G259" s="190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61" t="str">
        <f t="shared" ref="H259:H322" si="14">IF(DAY($B259)=15,TEXT(D259,"#,0"),"")</f>
        <v/>
      </c>
      <c r="I259" s="262"/>
    </row>
    <row r="260" spans="1:9">
      <c r="A260" s="257">
        <v>258</v>
      </c>
      <c r="B260" s="258">
        <v>44879</v>
      </c>
      <c r="C260" s="259">
        <v>187.88806599999998</v>
      </c>
      <c r="D260" s="260">
        <v>195.50002638702176</v>
      </c>
      <c r="E260" s="259">
        <f t="shared" si="12"/>
        <v>187.88806599999998</v>
      </c>
      <c r="F260" s="266"/>
      <c r="G260" s="190" t="str">
        <f t="shared" si="13"/>
        <v/>
      </c>
      <c r="H260" s="261" t="str">
        <f t="shared" si="14"/>
        <v/>
      </c>
      <c r="I260" s="262"/>
    </row>
    <row r="261" spans="1:9">
      <c r="A261" s="257">
        <v>259</v>
      </c>
      <c r="B261" s="258">
        <v>44880</v>
      </c>
      <c r="C261" s="259">
        <v>347.40481499999999</v>
      </c>
      <c r="D261" s="260">
        <v>195.50002638702176</v>
      </c>
      <c r="E261" s="259">
        <f t="shared" si="12"/>
        <v>195.50002638702176</v>
      </c>
      <c r="G261" s="190" t="str">
        <f t="shared" si="13"/>
        <v>N</v>
      </c>
      <c r="H261" s="261" t="str">
        <f t="shared" si="14"/>
        <v>195,5</v>
      </c>
      <c r="I261" s="262"/>
    </row>
    <row r="262" spans="1:9">
      <c r="A262" s="257">
        <v>260</v>
      </c>
      <c r="B262" s="258">
        <v>44881</v>
      </c>
      <c r="C262" s="259">
        <v>390.32456800000006</v>
      </c>
      <c r="D262" s="260">
        <v>195.50002638702176</v>
      </c>
      <c r="E262" s="259">
        <f t="shared" si="12"/>
        <v>195.50002638702176</v>
      </c>
      <c r="F262" s="266"/>
      <c r="G262" s="190" t="str">
        <f t="shared" si="13"/>
        <v/>
      </c>
      <c r="H262" s="261" t="str">
        <f t="shared" si="14"/>
        <v/>
      </c>
      <c r="I262" s="262"/>
    </row>
    <row r="263" spans="1:9">
      <c r="A263" s="257">
        <v>261</v>
      </c>
      <c r="B263" s="258">
        <v>44882</v>
      </c>
      <c r="C263" s="259">
        <v>381.04947599999997</v>
      </c>
      <c r="D263" s="260">
        <v>195.50002638702176</v>
      </c>
      <c r="E263" s="259">
        <f t="shared" si="12"/>
        <v>195.50002638702176</v>
      </c>
      <c r="F263" s="266"/>
      <c r="G263" s="190" t="str">
        <f t="shared" si="13"/>
        <v/>
      </c>
      <c r="H263" s="261" t="str">
        <f t="shared" si="14"/>
        <v/>
      </c>
      <c r="I263" s="262"/>
    </row>
    <row r="264" spans="1:9">
      <c r="A264" s="257">
        <v>262</v>
      </c>
      <c r="B264" s="258">
        <v>44883</v>
      </c>
      <c r="C264" s="259">
        <v>251.99728400000001</v>
      </c>
      <c r="D264" s="260">
        <v>195.50002638702176</v>
      </c>
      <c r="E264" s="259">
        <f t="shared" si="12"/>
        <v>195.50002638702176</v>
      </c>
      <c r="F264" s="266"/>
      <c r="G264" s="190" t="str">
        <f t="shared" si="13"/>
        <v/>
      </c>
      <c r="H264" s="261" t="str">
        <f t="shared" si="14"/>
        <v/>
      </c>
      <c r="I264" s="262"/>
    </row>
    <row r="265" spans="1:9">
      <c r="A265" s="257">
        <v>263</v>
      </c>
      <c r="B265" s="258">
        <v>44884</v>
      </c>
      <c r="C265" s="259">
        <v>333.36039299999999</v>
      </c>
      <c r="D265" s="260">
        <v>195.50002638702176</v>
      </c>
      <c r="E265" s="259">
        <f t="shared" si="12"/>
        <v>195.50002638702176</v>
      </c>
      <c r="F265" s="266"/>
      <c r="G265" s="190" t="str">
        <f t="shared" si="13"/>
        <v/>
      </c>
      <c r="H265" s="261" t="str">
        <f t="shared" si="14"/>
        <v/>
      </c>
      <c r="I265" s="262"/>
    </row>
    <row r="266" spans="1:9">
      <c r="A266" s="257">
        <v>264</v>
      </c>
      <c r="B266" s="258">
        <v>44885</v>
      </c>
      <c r="C266" s="259">
        <v>241.09797899999998</v>
      </c>
      <c r="D266" s="260">
        <v>195.50002638702176</v>
      </c>
      <c r="E266" s="259">
        <f t="shared" si="12"/>
        <v>195.50002638702176</v>
      </c>
      <c r="F266" s="266"/>
      <c r="G266" s="190" t="str">
        <f t="shared" si="13"/>
        <v/>
      </c>
      <c r="H266" s="261" t="str">
        <f t="shared" si="14"/>
        <v/>
      </c>
      <c r="I266" s="262"/>
    </row>
    <row r="267" spans="1:9">
      <c r="A267" s="257">
        <v>265</v>
      </c>
      <c r="B267" s="258">
        <v>44886</v>
      </c>
      <c r="C267" s="259">
        <v>407.85496799999999</v>
      </c>
      <c r="D267" s="260">
        <v>195.50002638702176</v>
      </c>
      <c r="E267" s="259">
        <f t="shared" si="12"/>
        <v>195.50002638702176</v>
      </c>
      <c r="F267" s="266"/>
      <c r="G267" s="190" t="str">
        <f t="shared" si="13"/>
        <v/>
      </c>
      <c r="H267" s="261" t="str">
        <f t="shared" si="14"/>
        <v/>
      </c>
      <c r="I267" s="262"/>
    </row>
    <row r="268" spans="1:9">
      <c r="A268" s="257">
        <v>266</v>
      </c>
      <c r="B268" s="258">
        <v>44887</v>
      </c>
      <c r="C268" s="259">
        <v>414.99536000000001</v>
      </c>
      <c r="D268" s="260">
        <v>195.50002638702176</v>
      </c>
      <c r="E268" s="259">
        <f t="shared" si="12"/>
        <v>195.50002638702176</v>
      </c>
      <c r="F268" s="266"/>
      <c r="G268" s="190" t="str">
        <f t="shared" si="13"/>
        <v/>
      </c>
      <c r="H268" s="261" t="str">
        <f t="shared" si="14"/>
        <v/>
      </c>
      <c r="I268" s="262"/>
    </row>
    <row r="269" spans="1:9">
      <c r="A269" s="257">
        <v>267</v>
      </c>
      <c r="B269" s="258">
        <v>44888</v>
      </c>
      <c r="C269" s="259">
        <v>355.88722300000001</v>
      </c>
      <c r="D269" s="260">
        <v>195.50002638702176</v>
      </c>
      <c r="E269" s="259">
        <f t="shared" si="12"/>
        <v>195.50002638702176</v>
      </c>
      <c r="F269" s="266"/>
      <c r="G269" s="190" t="str">
        <f t="shared" si="13"/>
        <v/>
      </c>
      <c r="H269" s="261" t="str">
        <f t="shared" si="14"/>
        <v/>
      </c>
      <c r="I269" s="262"/>
    </row>
    <row r="270" spans="1:9">
      <c r="A270" s="257">
        <v>268</v>
      </c>
      <c r="B270" s="258">
        <v>44889</v>
      </c>
      <c r="C270" s="259">
        <v>176.51325399999999</v>
      </c>
      <c r="D270" s="260">
        <v>195.50002638702176</v>
      </c>
      <c r="E270" s="259">
        <f t="shared" si="12"/>
        <v>176.51325399999999</v>
      </c>
      <c r="F270" s="266"/>
      <c r="G270" s="190" t="str">
        <f t="shared" si="13"/>
        <v/>
      </c>
      <c r="H270" s="261" t="str">
        <f t="shared" si="14"/>
        <v/>
      </c>
      <c r="I270" s="262"/>
    </row>
    <row r="271" spans="1:9">
      <c r="A271" s="257">
        <v>269</v>
      </c>
      <c r="B271" s="258">
        <v>44890</v>
      </c>
      <c r="C271" s="259">
        <v>211.48422299999999</v>
      </c>
      <c r="D271" s="260">
        <v>195.50002638702176</v>
      </c>
      <c r="E271" s="259">
        <f t="shared" si="12"/>
        <v>195.50002638702176</v>
      </c>
      <c r="F271" s="266"/>
      <c r="G271" s="190" t="str">
        <f t="shared" si="13"/>
        <v/>
      </c>
      <c r="H271" s="261" t="str">
        <f t="shared" si="14"/>
        <v/>
      </c>
      <c r="I271" s="262"/>
    </row>
    <row r="272" spans="1:9">
      <c r="A272" s="257">
        <v>270</v>
      </c>
      <c r="B272" s="258">
        <v>44891</v>
      </c>
      <c r="C272" s="259">
        <v>136.00557100000003</v>
      </c>
      <c r="D272" s="260">
        <v>195.50002638702176</v>
      </c>
      <c r="E272" s="259">
        <f t="shared" si="12"/>
        <v>136.00557100000003</v>
      </c>
      <c r="F272" s="266"/>
      <c r="G272" s="190" t="str">
        <f t="shared" si="13"/>
        <v/>
      </c>
      <c r="H272" s="261" t="str">
        <f t="shared" si="14"/>
        <v/>
      </c>
      <c r="I272" s="262"/>
    </row>
    <row r="273" spans="1:9">
      <c r="A273" s="257">
        <v>271</v>
      </c>
      <c r="B273" s="258">
        <v>44892</v>
      </c>
      <c r="C273" s="259">
        <v>120.032995</v>
      </c>
      <c r="D273" s="260">
        <v>195.50002638702176</v>
      </c>
      <c r="E273" s="259">
        <f t="shared" si="12"/>
        <v>120.032995</v>
      </c>
      <c r="F273" s="266"/>
      <c r="G273" s="190" t="str">
        <f t="shared" si="13"/>
        <v/>
      </c>
      <c r="H273" s="261" t="str">
        <f t="shared" si="14"/>
        <v/>
      </c>
      <c r="I273" s="262"/>
    </row>
    <row r="274" spans="1:9">
      <c r="A274" s="257">
        <v>272</v>
      </c>
      <c r="B274" s="258">
        <v>44893</v>
      </c>
      <c r="C274" s="259">
        <v>314.44708200000002</v>
      </c>
      <c r="D274" s="260">
        <v>195.50002638702176</v>
      </c>
      <c r="E274" s="259">
        <f t="shared" si="12"/>
        <v>195.50002638702176</v>
      </c>
      <c r="F274" s="266"/>
      <c r="G274" s="190" t="str">
        <f t="shared" si="13"/>
        <v/>
      </c>
      <c r="H274" s="261" t="str">
        <f t="shared" si="14"/>
        <v/>
      </c>
      <c r="I274" s="262"/>
    </row>
    <row r="275" spans="1:9">
      <c r="A275" s="257">
        <v>273</v>
      </c>
      <c r="B275" s="258">
        <v>44894</v>
      </c>
      <c r="C275" s="259">
        <v>185.577268</v>
      </c>
      <c r="D275" s="260">
        <v>195.50002638702176</v>
      </c>
      <c r="E275" s="259">
        <f t="shared" si="12"/>
        <v>185.577268</v>
      </c>
      <c r="F275" s="266"/>
      <c r="G275" s="190" t="str">
        <f t="shared" si="13"/>
        <v/>
      </c>
      <c r="H275" s="261" t="str">
        <f t="shared" si="14"/>
        <v/>
      </c>
      <c r="I275" s="262"/>
    </row>
    <row r="276" spans="1:9">
      <c r="A276" s="257">
        <v>274</v>
      </c>
      <c r="B276" s="258">
        <v>44895</v>
      </c>
      <c r="C276" s="259">
        <v>56.087430999999995</v>
      </c>
      <c r="D276" s="260">
        <v>195.50002638702176</v>
      </c>
      <c r="E276" s="259">
        <f t="shared" si="12"/>
        <v>56.087430999999995</v>
      </c>
      <c r="F276" s="266"/>
      <c r="G276" s="190" t="str">
        <f t="shared" si="13"/>
        <v/>
      </c>
      <c r="H276" s="261" t="str">
        <f t="shared" si="14"/>
        <v/>
      </c>
      <c r="I276" s="262"/>
    </row>
    <row r="277" spans="1:9">
      <c r="A277" s="257">
        <v>275</v>
      </c>
      <c r="B277" s="258">
        <v>44896</v>
      </c>
      <c r="C277" s="259">
        <v>155.51592400000001</v>
      </c>
      <c r="D277" s="260">
        <v>189.19357392292429</v>
      </c>
      <c r="E277" s="259">
        <f t="shared" si="12"/>
        <v>155.51592400000001</v>
      </c>
      <c r="F277" s="262"/>
      <c r="G277" s="190" t="str">
        <f t="shared" si="13"/>
        <v/>
      </c>
      <c r="H277" s="261" t="str">
        <f t="shared" si="14"/>
        <v/>
      </c>
      <c r="I277" s="262"/>
    </row>
    <row r="278" spans="1:9">
      <c r="A278" s="257">
        <v>276</v>
      </c>
      <c r="B278" s="258">
        <v>44897</v>
      </c>
      <c r="C278" s="259">
        <v>79.309539999999998</v>
      </c>
      <c r="D278" s="260">
        <v>190.91252881099228</v>
      </c>
      <c r="E278" s="259">
        <f t="shared" si="12"/>
        <v>79.309539999999998</v>
      </c>
      <c r="F278" s="266"/>
      <c r="G278" s="190" t="str">
        <f t="shared" si="13"/>
        <v/>
      </c>
      <c r="H278" s="261" t="str">
        <f t="shared" si="14"/>
        <v/>
      </c>
      <c r="I278" s="262"/>
    </row>
    <row r="279" spans="1:9">
      <c r="A279" s="257">
        <v>277</v>
      </c>
      <c r="B279" s="258">
        <v>44898</v>
      </c>
      <c r="C279" s="259">
        <v>66.065465000000003</v>
      </c>
      <c r="D279" s="260">
        <v>190.91252881099228</v>
      </c>
      <c r="E279" s="259">
        <f t="shared" si="12"/>
        <v>66.065465000000003</v>
      </c>
      <c r="F279" s="266"/>
      <c r="G279" s="190" t="str">
        <f t="shared" si="13"/>
        <v/>
      </c>
      <c r="H279" s="261" t="str">
        <f t="shared" si="14"/>
        <v/>
      </c>
      <c r="I279" s="262"/>
    </row>
    <row r="280" spans="1:9">
      <c r="A280" s="257">
        <v>278</v>
      </c>
      <c r="B280" s="258">
        <v>44899</v>
      </c>
      <c r="C280" s="259">
        <v>52.733902999999998</v>
      </c>
      <c r="D280" s="260">
        <v>190.91252881099228</v>
      </c>
      <c r="E280" s="259">
        <f t="shared" si="12"/>
        <v>52.733902999999998</v>
      </c>
      <c r="F280" s="266"/>
      <c r="G280" s="190" t="str">
        <f t="shared" si="13"/>
        <v/>
      </c>
      <c r="H280" s="261" t="str">
        <f t="shared" si="14"/>
        <v/>
      </c>
      <c r="I280" s="262"/>
    </row>
    <row r="281" spans="1:9">
      <c r="A281" s="257">
        <v>279</v>
      </c>
      <c r="B281" s="258">
        <v>44900</v>
      </c>
      <c r="C281" s="259">
        <v>129.03537</v>
      </c>
      <c r="D281" s="260">
        <v>190.91252881099228</v>
      </c>
      <c r="E281" s="259">
        <f t="shared" si="12"/>
        <v>129.03537</v>
      </c>
      <c r="F281" s="266"/>
      <c r="G281" s="190" t="str">
        <f t="shared" si="13"/>
        <v/>
      </c>
      <c r="H281" s="261" t="str">
        <f t="shared" si="14"/>
        <v/>
      </c>
      <c r="I281" s="262"/>
    </row>
    <row r="282" spans="1:9">
      <c r="A282" s="257">
        <v>280</v>
      </c>
      <c r="B282" s="258">
        <v>44901</v>
      </c>
      <c r="C282" s="259">
        <v>29.19745</v>
      </c>
      <c r="D282" s="260">
        <v>190.91252881099228</v>
      </c>
      <c r="E282" s="259">
        <f t="shared" si="12"/>
        <v>29.19745</v>
      </c>
      <c r="F282" s="266"/>
      <c r="G282" s="190" t="str">
        <f t="shared" si="13"/>
        <v/>
      </c>
      <c r="H282" s="261" t="str">
        <f t="shared" si="14"/>
        <v/>
      </c>
      <c r="I282" s="262"/>
    </row>
    <row r="283" spans="1:9">
      <c r="A283" s="257">
        <v>281</v>
      </c>
      <c r="B283" s="258">
        <v>44902</v>
      </c>
      <c r="C283" s="259">
        <v>42.074311999999999</v>
      </c>
      <c r="D283" s="260">
        <v>190.91252881099228</v>
      </c>
      <c r="E283" s="259">
        <f t="shared" si="12"/>
        <v>42.074311999999999</v>
      </c>
      <c r="F283" s="266"/>
      <c r="G283" s="190" t="str">
        <f t="shared" si="13"/>
        <v/>
      </c>
      <c r="H283" s="261" t="str">
        <f t="shared" si="14"/>
        <v/>
      </c>
      <c r="I283" s="262"/>
    </row>
    <row r="284" spans="1:9">
      <c r="A284" s="257">
        <v>282</v>
      </c>
      <c r="B284" s="258">
        <v>44903</v>
      </c>
      <c r="C284" s="259">
        <v>177.85029500000002</v>
      </c>
      <c r="D284" s="260">
        <v>190.91252881099228</v>
      </c>
      <c r="E284" s="259">
        <f t="shared" si="12"/>
        <v>177.85029500000002</v>
      </c>
      <c r="F284" s="266"/>
      <c r="G284" s="190" t="str">
        <f t="shared" si="13"/>
        <v/>
      </c>
      <c r="H284" s="261" t="str">
        <f t="shared" si="14"/>
        <v/>
      </c>
      <c r="I284" s="262"/>
    </row>
    <row r="285" spans="1:9">
      <c r="A285" s="257">
        <v>283</v>
      </c>
      <c r="B285" s="258">
        <v>44904</v>
      </c>
      <c r="C285" s="259">
        <v>177.99697800000001</v>
      </c>
      <c r="D285" s="260">
        <v>190.91252881099228</v>
      </c>
      <c r="E285" s="259">
        <f t="shared" si="12"/>
        <v>177.99697800000001</v>
      </c>
      <c r="F285" s="266"/>
      <c r="G285" s="190" t="str">
        <f t="shared" si="13"/>
        <v/>
      </c>
      <c r="H285" s="261" t="str">
        <f t="shared" si="14"/>
        <v/>
      </c>
      <c r="I285" s="262"/>
    </row>
    <row r="286" spans="1:9">
      <c r="A286" s="257">
        <v>284</v>
      </c>
      <c r="B286" s="258">
        <v>44905</v>
      </c>
      <c r="C286" s="259">
        <v>250.71846599999998</v>
      </c>
      <c r="D286" s="260">
        <v>190.91252881099228</v>
      </c>
      <c r="E286" s="259">
        <f t="shared" si="12"/>
        <v>190.91252881099228</v>
      </c>
      <c r="F286" s="266"/>
      <c r="G286" s="190" t="str">
        <f t="shared" si="13"/>
        <v/>
      </c>
      <c r="H286" s="261" t="str">
        <f t="shared" si="14"/>
        <v/>
      </c>
      <c r="I286" s="262"/>
    </row>
    <row r="287" spans="1:9">
      <c r="A287" s="257">
        <v>285</v>
      </c>
      <c r="B287" s="258">
        <v>44906</v>
      </c>
      <c r="C287" s="259">
        <v>140.70574400000001</v>
      </c>
      <c r="D287" s="260">
        <v>190.91252881099228</v>
      </c>
      <c r="E287" s="259">
        <f t="shared" si="12"/>
        <v>140.70574400000001</v>
      </c>
      <c r="F287" s="266"/>
      <c r="G287" s="190" t="str">
        <f t="shared" si="13"/>
        <v/>
      </c>
      <c r="H287" s="261" t="str">
        <f t="shared" si="14"/>
        <v/>
      </c>
      <c r="I287" s="262"/>
    </row>
    <row r="288" spans="1:9">
      <c r="A288" s="257">
        <v>286</v>
      </c>
      <c r="B288" s="258">
        <v>44907</v>
      </c>
      <c r="C288" s="259">
        <v>342.91842599999995</v>
      </c>
      <c r="D288" s="260">
        <v>190.91252881099228</v>
      </c>
      <c r="E288" s="259">
        <f t="shared" si="12"/>
        <v>190.91252881099228</v>
      </c>
      <c r="F288" s="266"/>
      <c r="G288" s="190" t="str">
        <f t="shared" si="13"/>
        <v/>
      </c>
      <c r="H288" s="261" t="str">
        <f t="shared" si="14"/>
        <v/>
      </c>
      <c r="I288" s="262"/>
    </row>
    <row r="289" spans="1:9">
      <c r="A289" s="257">
        <v>287</v>
      </c>
      <c r="B289" s="258">
        <v>44908</v>
      </c>
      <c r="C289" s="259">
        <v>284.62500399999999</v>
      </c>
      <c r="D289" s="260">
        <v>190.91252881099228</v>
      </c>
      <c r="E289" s="259">
        <f t="shared" si="12"/>
        <v>190.91252881099228</v>
      </c>
      <c r="F289" s="266"/>
      <c r="G289" s="190" t="str">
        <f t="shared" si="13"/>
        <v/>
      </c>
      <c r="H289" s="261" t="str">
        <f t="shared" si="14"/>
        <v/>
      </c>
      <c r="I289" s="262"/>
    </row>
    <row r="290" spans="1:9">
      <c r="A290" s="257">
        <v>288</v>
      </c>
      <c r="B290" s="258">
        <v>44909</v>
      </c>
      <c r="C290" s="259">
        <v>242.85371399999997</v>
      </c>
      <c r="D290" s="260">
        <v>190.91252881099228</v>
      </c>
      <c r="E290" s="259">
        <f t="shared" si="12"/>
        <v>190.91252881099228</v>
      </c>
      <c r="F290" s="266"/>
      <c r="G290" s="190" t="str">
        <f t="shared" si="13"/>
        <v/>
      </c>
      <c r="H290" s="261" t="str">
        <f t="shared" si="14"/>
        <v/>
      </c>
      <c r="I290" s="262"/>
    </row>
    <row r="291" spans="1:9">
      <c r="A291" s="257">
        <v>289</v>
      </c>
      <c r="B291" s="258">
        <v>44910</v>
      </c>
      <c r="C291" s="259">
        <v>189.29763200000002</v>
      </c>
      <c r="D291" s="260">
        <v>190.91252881099228</v>
      </c>
      <c r="E291" s="259">
        <f t="shared" si="12"/>
        <v>189.29763200000002</v>
      </c>
      <c r="F291" s="262"/>
      <c r="G291" s="190" t="str">
        <f t="shared" si="13"/>
        <v>D</v>
      </c>
      <c r="H291" s="261" t="str">
        <f t="shared" si="14"/>
        <v>190,9</v>
      </c>
      <c r="I291" s="262"/>
    </row>
    <row r="292" spans="1:9">
      <c r="A292" s="257">
        <v>290</v>
      </c>
      <c r="B292" s="258">
        <v>44911</v>
      </c>
      <c r="C292" s="259">
        <v>139.29695000000001</v>
      </c>
      <c r="D292" s="260">
        <v>190.91252881099228</v>
      </c>
      <c r="E292" s="259">
        <f t="shared" si="12"/>
        <v>139.29695000000001</v>
      </c>
      <c r="F292" s="266"/>
      <c r="G292" s="190" t="str">
        <f t="shared" si="13"/>
        <v/>
      </c>
      <c r="H292" s="261" t="str">
        <f t="shared" si="14"/>
        <v/>
      </c>
      <c r="I292" s="262"/>
    </row>
    <row r="293" spans="1:9">
      <c r="A293" s="257">
        <v>291</v>
      </c>
      <c r="B293" s="258">
        <v>44912</v>
      </c>
      <c r="C293" s="259">
        <v>58.272860000000001</v>
      </c>
      <c r="D293" s="260">
        <v>190.91252881099228</v>
      </c>
      <c r="E293" s="259">
        <f t="shared" si="12"/>
        <v>58.272860000000001</v>
      </c>
      <c r="F293" s="266"/>
      <c r="G293" s="190" t="str">
        <f t="shared" si="13"/>
        <v/>
      </c>
      <c r="H293" s="261" t="str">
        <f t="shared" si="14"/>
        <v/>
      </c>
      <c r="I293" s="262"/>
    </row>
    <row r="294" spans="1:9">
      <c r="A294" s="257">
        <v>292</v>
      </c>
      <c r="B294" s="258">
        <v>44913</v>
      </c>
      <c r="C294" s="259">
        <v>184.77290500000001</v>
      </c>
      <c r="D294" s="260">
        <v>190.91252881099228</v>
      </c>
      <c r="E294" s="259">
        <f t="shared" si="12"/>
        <v>184.77290500000001</v>
      </c>
      <c r="F294" s="266"/>
      <c r="G294" s="190" t="str">
        <f t="shared" si="13"/>
        <v/>
      </c>
      <c r="H294" s="261" t="str">
        <f t="shared" si="14"/>
        <v/>
      </c>
      <c r="I294" s="262"/>
    </row>
    <row r="295" spans="1:9">
      <c r="A295" s="257">
        <v>293</v>
      </c>
      <c r="B295" s="258">
        <v>44914</v>
      </c>
      <c r="C295" s="259">
        <v>251.02272099999999</v>
      </c>
      <c r="D295" s="260">
        <v>190.91252881099228</v>
      </c>
      <c r="E295" s="259">
        <f t="shared" si="12"/>
        <v>190.91252881099228</v>
      </c>
      <c r="F295" s="266"/>
      <c r="G295" s="190" t="str">
        <f t="shared" si="13"/>
        <v/>
      </c>
      <c r="H295" s="261" t="str">
        <f t="shared" si="14"/>
        <v/>
      </c>
      <c r="I295" s="262"/>
    </row>
    <row r="296" spans="1:9">
      <c r="A296" s="257">
        <v>294</v>
      </c>
      <c r="B296" s="258">
        <v>44915</v>
      </c>
      <c r="C296" s="259">
        <v>282.68027000000001</v>
      </c>
      <c r="D296" s="260">
        <v>190.91252881099228</v>
      </c>
      <c r="E296" s="259">
        <f t="shared" si="12"/>
        <v>190.91252881099228</v>
      </c>
      <c r="F296" s="266"/>
      <c r="G296" s="190" t="str">
        <f t="shared" si="13"/>
        <v/>
      </c>
      <c r="H296" s="261" t="str">
        <f t="shared" si="14"/>
        <v/>
      </c>
      <c r="I296" s="262"/>
    </row>
    <row r="297" spans="1:9">
      <c r="A297" s="257">
        <v>295</v>
      </c>
      <c r="B297" s="258">
        <v>44916</v>
      </c>
      <c r="C297" s="259">
        <v>318.93247100000002</v>
      </c>
      <c r="D297" s="260">
        <v>190.91252881099228</v>
      </c>
      <c r="E297" s="259">
        <f t="shared" si="12"/>
        <v>190.91252881099228</v>
      </c>
      <c r="F297" s="266"/>
      <c r="G297" s="190" t="str">
        <f t="shared" si="13"/>
        <v/>
      </c>
      <c r="H297" s="261" t="str">
        <f t="shared" si="14"/>
        <v/>
      </c>
      <c r="I297" s="262"/>
    </row>
    <row r="298" spans="1:9">
      <c r="A298" s="257">
        <v>296</v>
      </c>
      <c r="B298" s="258">
        <v>44917</v>
      </c>
      <c r="C298" s="259">
        <v>298.58869300000003</v>
      </c>
      <c r="D298" s="260">
        <v>190.91252881099228</v>
      </c>
      <c r="E298" s="259">
        <f t="shared" si="12"/>
        <v>190.91252881099228</v>
      </c>
      <c r="F298" s="266"/>
      <c r="G298" s="190" t="str">
        <f t="shared" si="13"/>
        <v/>
      </c>
      <c r="H298" s="261" t="str">
        <f t="shared" si="14"/>
        <v/>
      </c>
      <c r="I298" s="262"/>
    </row>
    <row r="299" spans="1:9">
      <c r="A299" s="257">
        <v>297</v>
      </c>
      <c r="B299" s="258">
        <v>44918</v>
      </c>
      <c r="C299" s="259">
        <v>260.80894499999999</v>
      </c>
      <c r="D299" s="260">
        <v>190.91252881099228</v>
      </c>
      <c r="E299" s="259">
        <f t="shared" si="12"/>
        <v>190.91252881099228</v>
      </c>
      <c r="F299" s="266"/>
      <c r="G299" s="190" t="str">
        <f t="shared" si="13"/>
        <v/>
      </c>
      <c r="H299" s="261" t="str">
        <f t="shared" si="14"/>
        <v/>
      </c>
      <c r="I299" s="262"/>
    </row>
    <row r="300" spans="1:9">
      <c r="A300" s="257">
        <v>298</v>
      </c>
      <c r="B300" s="258">
        <v>44919</v>
      </c>
      <c r="C300" s="259">
        <v>173.15036499999999</v>
      </c>
      <c r="D300" s="260">
        <v>190.91252881099228</v>
      </c>
      <c r="E300" s="259">
        <f t="shared" si="12"/>
        <v>173.15036499999999</v>
      </c>
      <c r="F300" s="266"/>
      <c r="G300" s="190" t="str">
        <f t="shared" si="13"/>
        <v/>
      </c>
      <c r="H300" s="261" t="str">
        <f t="shared" si="14"/>
        <v/>
      </c>
      <c r="I300" s="262"/>
    </row>
    <row r="301" spans="1:9">
      <c r="A301" s="257">
        <v>299</v>
      </c>
      <c r="B301" s="258">
        <v>44920</v>
      </c>
      <c r="C301" s="259">
        <v>170.104896</v>
      </c>
      <c r="D301" s="260">
        <v>190.91252881099228</v>
      </c>
      <c r="E301" s="259">
        <f t="shared" si="12"/>
        <v>170.104896</v>
      </c>
      <c r="F301" s="266"/>
      <c r="G301" s="190" t="str">
        <f t="shared" si="13"/>
        <v/>
      </c>
      <c r="H301" s="261" t="str">
        <f t="shared" si="14"/>
        <v/>
      </c>
      <c r="I301" s="262"/>
    </row>
    <row r="302" spans="1:9">
      <c r="A302" s="257">
        <v>300</v>
      </c>
      <c r="B302" s="258">
        <v>44921</v>
      </c>
      <c r="C302" s="259">
        <v>56.187546000000005</v>
      </c>
      <c r="D302" s="260">
        <v>190.91252881099228</v>
      </c>
      <c r="E302" s="259">
        <f t="shared" si="12"/>
        <v>56.187546000000005</v>
      </c>
      <c r="F302" s="266"/>
      <c r="G302" s="190" t="str">
        <f t="shared" si="13"/>
        <v/>
      </c>
      <c r="H302" s="261" t="str">
        <f t="shared" si="14"/>
        <v/>
      </c>
      <c r="I302" s="262"/>
    </row>
    <row r="303" spans="1:9">
      <c r="A303" s="257">
        <v>301</v>
      </c>
      <c r="B303" s="258">
        <v>44922</v>
      </c>
      <c r="C303" s="259">
        <v>66.703605999999994</v>
      </c>
      <c r="D303" s="260">
        <v>190.91252881099228</v>
      </c>
      <c r="E303" s="259">
        <f t="shared" si="12"/>
        <v>66.703605999999994</v>
      </c>
      <c r="F303" s="266"/>
      <c r="G303" s="190" t="str">
        <f t="shared" si="13"/>
        <v/>
      </c>
      <c r="H303" s="261" t="str">
        <f t="shared" si="14"/>
        <v/>
      </c>
      <c r="I303" s="262"/>
    </row>
    <row r="304" spans="1:9">
      <c r="A304" s="257">
        <v>302</v>
      </c>
      <c r="B304" s="258">
        <v>44923</v>
      </c>
      <c r="C304" s="259">
        <v>197.49954099999999</v>
      </c>
      <c r="D304" s="260">
        <v>190.91252881099228</v>
      </c>
      <c r="E304" s="259">
        <f t="shared" si="12"/>
        <v>190.91252881099228</v>
      </c>
      <c r="F304" s="266"/>
      <c r="G304" s="190" t="str">
        <f t="shared" si="13"/>
        <v/>
      </c>
      <c r="H304" s="261" t="str">
        <f t="shared" si="14"/>
        <v/>
      </c>
      <c r="I304" s="262"/>
    </row>
    <row r="305" spans="1:9">
      <c r="A305" s="257">
        <v>303</v>
      </c>
      <c r="B305" s="258">
        <v>44924</v>
      </c>
      <c r="C305" s="259">
        <v>236.67452700000001</v>
      </c>
      <c r="D305" s="260">
        <v>190.91252881099228</v>
      </c>
      <c r="E305" s="259">
        <f t="shared" si="12"/>
        <v>190.91252881099228</v>
      </c>
      <c r="F305" s="266"/>
      <c r="G305" s="190" t="str">
        <f t="shared" si="13"/>
        <v/>
      </c>
      <c r="H305" s="261" t="str">
        <f t="shared" si="14"/>
        <v/>
      </c>
      <c r="I305" s="262"/>
    </row>
    <row r="306" spans="1:9">
      <c r="A306" s="257">
        <v>304</v>
      </c>
      <c r="B306" s="258">
        <v>44925</v>
      </c>
      <c r="C306" s="259">
        <v>314.25134100000002</v>
      </c>
      <c r="D306" s="260">
        <v>190.91252881099228</v>
      </c>
      <c r="E306" s="259">
        <f t="shared" si="12"/>
        <v>190.91252881099228</v>
      </c>
      <c r="F306" s="266"/>
      <c r="G306" s="190" t="str">
        <f t="shared" si="13"/>
        <v/>
      </c>
      <c r="H306" s="261" t="str">
        <f t="shared" si="14"/>
        <v/>
      </c>
      <c r="I306" s="262"/>
    </row>
    <row r="307" spans="1:9">
      <c r="A307" s="257">
        <v>305</v>
      </c>
      <c r="B307" s="258">
        <v>44926</v>
      </c>
      <c r="C307" s="259">
        <v>168.41647399999999</v>
      </c>
      <c r="D307" s="260">
        <v>190.91252881099228</v>
      </c>
      <c r="E307" s="259">
        <f t="shared" si="12"/>
        <v>168.41647399999999</v>
      </c>
      <c r="F307" s="266"/>
      <c r="G307" s="190" t="str">
        <f t="shared" si="13"/>
        <v/>
      </c>
      <c r="H307" s="261" t="str">
        <f t="shared" si="14"/>
        <v/>
      </c>
      <c r="I307" s="262"/>
    </row>
    <row r="308" spans="1:9">
      <c r="A308" s="257">
        <v>306</v>
      </c>
      <c r="B308" s="258">
        <v>44927</v>
      </c>
      <c r="C308" s="259">
        <v>160.74035500000002</v>
      </c>
      <c r="D308" s="260">
        <v>224.60211030124373</v>
      </c>
      <c r="E308" s="259">
        <f t="shared" si="12"/>
        <v>160.74035500000002</v>
      </c>
      <c r="F308" s="262">
        <f>YEAR(B308)</f>
        <v>2023</v>
      </c>
      <c r="G308" s="190" t="str">
        <f t="shared" si="13"/>
        <v/>
      </c>
      <c r="H308" s="261" t="str">
        <f t="shared" si="14"/>
        <v/>
      </c>
      <c r="I308" s="262"/>
    </row>
    <row r="309" spans="1:9">
      <c r="A309" s="257">
        <v>307</v>
      </c>
      <c r="B309" s="258">
        <v>44928</v>
      </c>
      <c r="C309" s="259">
        <v>96.925343999999996</v>
      </c>
      <c r="D309" s="260">
        <v>224.60211030124373</v>
      </c>
      <c r="E309" s="259">
        <f t="shared" si="12"/>
        <v>96.925343999999996</v>
      </c>
      <c r="F309" s="266"/>
      <c r="G309" s="190" t="str">
        <f t="shared" si="13"/>
        <v/>
      </c>
      <c r="H309" s="261" t="str">
        <f t="shared" si="14"/>
        <v/>
      </c>
      <c r="I309" s="262"/>
    </row>
    <row r="310" spans="1:9">
      <c r="A310" s="257">
        <v>308</v>
      </c>
      <c r="B310" s="258">
        <v>44929</v>
      </c>
      <c r="C310" s="259">
        <v>69.066684999999993</v>
      </c>
      <c r="D310" s="260">
        <v>224.60211030124373</v>
      </c>
      <c r="E310" s="259">
        <f t="shared" si="12"/>
        <v>69.066684999999993</v>
      </c>
      <c r="F310" s="266"/>
      <c r="G310" s="190" t="str">
        <f t="shared" si="13"/>
        <v/>
      </c>
      <c r="H310" s="261" t="str">
        <f t="shared" si="14"/>
        <v/>
      </c>
      <c r="I310" s="262"/>
    </row>
    <row r="311" spans="1:9">
      <c r="A311" s="257">
        <v>309</v>
      </c>
      <c r="B311" s="258">
        <v>44930</v>
      </c>
      <c r="C311" s="259">
        <v>65.583619000000013</v>
      </c>
      <c r="D311" s="260">
        <v>224.60211030124373</v>
      </c>
      <c r="E311" s="259">
        <f t="shared" si="12"/>
        <v>65.583619000000013</v>
      </c>
      <c r="F311" s="266"/>
      <c r="G311" s="190" t="str">
        <f t="shared" si="13"/>
        <v/>
      </c>
      <c r="H311" s="261" t="str">
        <f t="shared" si="14"/>
        <v/>
      </c>
      <c r="I311" s="262"/>
    </row>
    <row r="312" spans="1:9">
      <c r="A312" s="257">
        <v>310</v>
      </c>
      <c r="B312" s="258">
        <v>44931</v>
      </c>
      <c r="C312" s="259">
        <v>43.716430000000003</v>
      </c>
      <c r="D312" s="260">
        <v>224.60211030124373</v>
      </c>
      <c r="E312" s="259">
        <f t="shared" si="12"/>
        <v>43.716430000000003</v>
      </c>
      <c r="F312" s="266"/>
      <c r="G312" s="190" t="str">
        <f t="shared" si="13"/>
        <v/>
      </c>
      <c r="H312" s="261" t="str">
        <f t="shared" si="14"/>
        <v/>
      </c>
      <c r="I312" s="262"/>
    </row>
    <row r="313" spans="1:9">
      <c r="A313" s="257">
        <v>311</v>
      </c>
      <c r="B313" s="258">
        <v>44932</v>
      </c>
      <c r="C313" s="259">
        <v>84.449770999999998</v>
      </c>
      <c r="D313" s="260">
        <v>224.60211030124373</v>
      </c>
      <c r="E313" s="259">
        <f t="shared" si="12"/>
        <v>84.449770999999998</v>
      </c>
      <c r="F313" s="266"/>
      <c r="G313" s="190" t="str">
        <f t="shared" si="13"/>
        <v/>
      </c>
      <c r="H313" s="261" t="str">
        <f t="shared" si="14"/>
        <v/>
      </c>
      <c r="I313" s="262"/>
    </row>
    <row r="314" spans="1:9">
      <c r="A314" s="257">
        <v>312</v>
      </c>
      <c r="B314" s="258">
        <v>44933</v>
      </c>
      <c r="C314" s="259">
        <v>304.76858799999997</v>
      </c>
      <c r="D314" s="260">
        <v>224.60211030124373</v>
      </c>
      <c r="E314" s="259">
        <f t="shared" si="12"/>
        <v>224.60211030124373</v>
      </c>
      <c r="F314" s="266"/>
      <c r="G314" s="190" t="str">
        <f t="shared" si="13"/>
        <v/>
      </c>
      <c r="H314" s="261" t="str">
        <f t="shared" si="14"/>
        <v/>
      </c>
      <c r="I314" s="262"/>
    </row>
    <row r="315" spans="1:9">
      <c r="A315" s="257">
        <v>313</v>
      </c>
      <c r="B315" s="258">
        <v>44934</v>
      </c>
      <c r="C315" s="259">
        <v>374.16975099999996</v>
      </c>
      <c r="D315" s="260">
        <v>224.60211030124373</v>
      </c>
      <c r="E315" s="259">
        <f t="shared" si="12"/>
        <v>224.60211030124373</v>
      </c>
      <c r="F315" s="266"/>
      <c r="G315" s="190" t="str">
        <f t="shared" si="13"/>
        <v/>
      </c>
      <c r="H315" s="261" t="str">
        <f t="shared" si="14"/>
        <v/>
      </c>
      <c r="I315" s="262"/>
    </row>
    <row r="316" spans="1:9">
      <c r="A316" s="257">
        <v>314</v>
      </c>
      <c r="B316" s="258">
        <v>44935</v>
      </c>
      <c r="C316" s="259">
        <v>299.28514799999999</v>
      </c>
      <c r="D316" s="260">
        <v>224.60211030124373</v>
      </c>
      <c r="E316" s="259">
        <f t="shared" si="12"/>
        <v>224.60211030124373</v>
      </c>
      <c r="F316" s="266"/>
      <c r="G316" s="190" t="str">
        <f t="shared" si="13"/>
        <v/>
      </c>
      <c r="H316" s="261" t="str">
        <f t="shared" si="14"/>
        <v/>
      </c>
      <c r="I316" s="262"/>
    </row>
    <row r="317" spans="1:9">
      <c r="A317" s="257">
        <v>315</v>
      </c>
      <c r="B317" s="258">
        <v>44936</v>
      </c>
      <c r="C317" s="259">
        <v>208.77197900000002</v>
      </c>
      <c r="D317" s="260">
        <v>224.60211030124373</v>
      </c>
      <c r="E317" s="259">
        <f t="shared" si="12"/>
        <v>208.77197900000002</v>
      </c>
      <c r="F317" s="266"/>
      <c r="G317" s="190" t="str">
        <f t="shared" si="13"/>
        <v/>
      </c>
      <c r="H317" s="261" t="str">
        <f t="shared" si="14"/>
        <v/>
      </c>
      <c r="I317" s="262"/>
    </row>
    <row r="318" spans="1:9">
      <c r="A318" s="257">
        <v>316</v>
      </c>
      <c r="B318" s="258">
        <v>44937</v>
      </c>
      <c r="C318" s="259">
        <v>197.841407</v>
      </c>
      <c r="D318" s="260">
        <v>224.60211030124373</v>
      </c>
      <c r="E318" s="259">
        <f t="shared" si="12"/>
        <v>197.841407</v>
      </c>
      <c r="F318" s="266"/>
      <c r="G318" s="190" t="str">
        <f t="shared" si="13"/>
        <v/>
      </c>
      <c r="H318" s="261" t="str">
        <f t="shared" si="14"/>
        <v/>
      </c>
      <c r="I318" s="262"/>
    </row>
    <row r="319" spans="1:9">
      <c r="A319" s="257">
        <v>317</v>
      </c>
      <c r="B319" s="258">
        <v>44938</v>
      </c>
      <c r="C319" s="259">
        <v>148.08566300000001</v>
      </c>
      <c r="D319" s="260">
        <v>224.60211030124373</v>
      </c>
      <c r="E319" s="259">
        <f t="shared" si="12"/>
        <v>148.08566300000001</v>
      </c>
      <c r="F319" s="266"/>
      <c r="G319" s="190" t="str">
        <f t="shared" si="13"/>
        <v/>
      </c>
      <c r="H319" s="261" t="str">
        <f t="shared" si="14"/>
        <v/>
      </c>
      <c r="I319" s="262"/>
    </row>
    <row r="320" spans="1:9">
      <c r="A320" s="257">
        <v>318</v>
      </c>
      <c r="B320" s="258">
        <v>44939</v>
      </c>
      <c r="C320" s="259">
        <v>150.78561199999999</v>
      </c>
      <c r="D320" s="260">
        <v>224.60211030124373</v>
      </c>
      <c r="E320" s="259">
        <f t="shared" si="12"/>
        <v>150.78561199999999</v>
      </c>
      <c r="F320" s="266"/>
      <c r="G320" s="190" t="str">
        <f t="shared" si="13"/>
        <v/>
      </c>
      <c r="H320" s="261" t="str">
        <f t="shared" si="14"/>
        <v/>
      </c>
      <c r="I320" s="262"/>
    </row>
    <row r="321" spans="1:9">
      <c r="A321" s="257">
        <v>319</v>
      </c>
      <c r="B321" s="258">
        <v>44940</v>
      </c>
      <c r="C321" s="259">
        <v>180.41785200000001</v>
      </c>
      <c r="D321" s="260">
        <v>224.60211030124373</v>
      </c>
      <c r="E321" s="259">
        <f t="shared" si="12"/>
        <v>180.41785200000001</v>
      </c>
      <c r="F321" s="266"/>
      <c r="G321" s="190" t="str">
        <f t="shared" si="13"/>
        <v/>
      </c>
      <c r="H321" s="261" t="str">
        <f t="shared" si="14"/>
        <v/>
      </c>
      <c r="I321" s="262"/>
    </row>
    <row r="322" spans="1:9">
      <c r="A322" s="257">
        <v>320</v>
      </c>
      <c r="B322" s="258">
        <v>44941</v>
      </c>
      <c r="C322" s="259">
        <v>286.81993900000003</v>
      </c>
      <c r="D322" s="260">
        <v>224.60211030124373</v>
      </c>
      <c r="E322" s="259">
        <f t="shared" si="12"/>
        <v>224.60211030124373</v>
      </c>
      <c r="F322" s="262"/>
      <c r="G322" s="190" t="str">
        <f t="shared" si="13"/>
        <v>E</v>
      </c>
      <c r="H322" s="261" t="str">
        <f t="shared" si="14"/>
        <v>224,6</v>
      </c>
      <c r="I322" s="262"/>
    </row>
    <row r="323" spans="1:9">
      <c r="A323" s="257">
        <v>321</v>
      </c>
      <c r="B323" s="258">
        <v>44942</v>
      </c>
      <c r="C323" s="259">
        <v>399.84736099999998</v>
      </c>
      <c r="D323" s="260">
        <v>224.60211030124373</v>
      </c>
      <c r="E323" s="259">
        <f t="shared" ref="E323:E386" si="15">IF(C323&gt;D323,D323,C323)</f>
        <v>224.60211030124373</v>
      </c>
      <c r="F323" s="266"/>
      <c r="G323" s="190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61" t="str">
        <f t="shared" ref="H323:H386" si="17">IF(DAY($B323)=15,TEXT(D323,"#,0"),"")</f>
        <v/>
      </c>
      <c r="I323" s="262"/>
    </row>
    <row r="324" spans="1:9">
      <c r="A324" s="257">
        <v>322</v>
      </c>
      <c r="B324" s="258">
        <v>44943</v>
      </c>
      <c r="C324" s="259">
        <v>390.29002499999996</v>
      </c>
      <c r="D324" s="260">
        <v>224.60211030124373</v>
      </c>
      <c r="E324" s="259">
        <f t="shared" si="15"/>
        <v>224.60211030124373</v>
      </c>
      <c r="F324" s="266"/>
      <c r="G324" s="190" t="str">
        <f t="shared" si="16"/>
        <v/>
      </c>
      <c r="H324" s="261" t="str">
        <f t="shared" si="17"/>
        <v/>
      </c>
      <c r="I324" s="262"/>
    </row>
    <row r="325" spans="1:9">
      <c r="A325" s="257">
        <v>323</v>
      </c>
      <c r="B325" s="258">
        <v>44944</v>
      </c>
      <c r="C325" s="259">
        <v>357.23409500000002</v>
      </c>
      <c r="D325" s="260">
        <v>224.60211030124373</v>
      </c>
      <c r="E325" s="259">
        <f t="shared" si="15"/>
        <v>224.60211030124373</v>
      </c>
      <c r="F325" s="266"/>
      <c r="G325" s="190" t="str">
        <f t="shared" si="16"/>
        <v/>
      </c>
      <c r="H325" s="261" t="str">
        <f t="shared" si="17"/>
        <v/>
      </c>
      <c r="I325" s="262"/>
    </row>
    <row r="326" spans="1:9">
      <c r="A326" s="257">
        <v>324</v>
      </c>
      <c r="B326" s="258">
        <v>44945</v>
      </c>
      <c r="C326" s="259">
        <v>371.18025699999998</v>
      </c>
      <c r="D326" s="260">
        <v>224.60211030124373</v>
      </c>
      <c r="E326" s="259">
        <f t="shared" si="15"/>
        <v>224.60211030124373</v>
      </c>
      <c r="F326" s="266"/>
      <c r="G326" s="190" t="str">
        <f t="shared" si="16"/>
        <v/>
      </c>
      <c r="H326" s="261" t="str">
        <f t="shared" si="17"/>
        <v/>
      </c>
      <c r="I326" s="262"/>
    </row>
    <row r="327" spans="1:9">
      <c r="A327" s="257">
        <v>325</v>
      </c>
      <c r="B327" s="258">
        <v>44946</v>
      </c>
      <c r="C327" s="259">
        <v>271.777537</v>
      </c>
      <c r="D327" s="260">
        <v>224.60211030124373</v>
      </c>
      <c r="E327" s="259">
        <f t="shared" si="15"/>
        <v>224.60211030124373</v>
      </c>
      <c r="F327" s="266"/>
      <c r="G327" s="190" t="str">
        <f t="shared" si="16"/>
        <v/>
      </c>
      <c r="H327" s="261" t="str">
        <f t="shared" si="17"/>
        <v/>
      </c>
      <c r="I327" s="262"/>
    </row>
    <row r="328" spans="1:9">
      <c r="A328" s="257">
        <v>326</v>
      </c>
      <c r="B328" s="258">
        <v>44947</v>
      </c>
      <c r="C328" s="259">
        <v>270.58414300000004</v>
      </c>
      <c r="D328" s="260">
        <v>224.60211030124373</v>
      </c>
      <c r="E328" s="259">
        <f t="shared" si="15"/>
        <v>224.60211030124373</v>
      </c>
      <c r="F328" s="266"/>
      <c r="G328" s="190" t="str">
        <f t="shared" si="16"/>
        <v/>
      </c>
      <c r="H328" s="261" t="str">
        <f t="shared" si="17"/>
        <v/>
      </c>
      <c r="I328" s="262"/>
    </row>
    <row r="329" spans="1:9">
      <c r="A329" s="257">
        <v>327</v>
      </c>
      <c r="B329" s="258">
        <v>44948</v>
      </c>
      <c r="C329" s="259">
        <v>289.40138899999999</v>
      </c>
      <c r="D329" s="260">
        <v>224.60211030124373</v>
      </c>
      <c r="E329" s="259">
        <f t="shared" si="15"/>
        <v>224.60211030124373</v>
      </c>
      <c r="F329" s="266"/>
      <c r="G329" s="190" t="str">
        <f t="shared" si="16"/>
        <v/>
      </c>
      <c r="H329" s="261" t="str">
        <f t="shared" si="17"/>
        <v/>
      </c>
      <c r="I329" s="262"/>
    </row>
    <row r="330" spans="1:9">
      <c r="A330" s="257">
        <v>328</v>
      </c>
      <c r="B330" s="258">
        <v>44949</v>
      </c>
      <c r="C330" s="259">
        <v>311.13271600000002</v>
      </c>
      <c r="D330" s="260">
        <v>224.60211030124373</v>
      </c>
      <c r="E330" s="259">
        <f t="shared" si="15"/>
        <v>224.60211030124373</v>
      </c>
      <c r="F330" s="266"/>
      <c r="G330" s="190" t="str">
        <f t="shared" si="16"/>
        <v/>
      </c>
      <c r="H330" s="261" t="str">
        <f t="shared" si="17"/>
        <v/>
      </c>
      <c r="I330" s="262"/>
    </row>
    <row r="331" spans="1:9">
      <c r="A331" s="257">
        <v>329</v>
      </c>
      <c r="B331" s="258">
        <v>44950</v>
      </c>
      <c r="C331" s="259">
        <v>235.06735400000002</v>
      </c>
      <c r="D331" s="260">
        <v>224.60211030124373</v>
      </c>
      <c r="E331" s="259">
        <f t="shared" si="15"/>
        <v>224.60211030124373</v>
      </c>
      <c r="F331" s="266"/>
      <c r="G331" s="190" t="str">
        <f t="shared" si="16"/>
        <v/>
      </c>
      <c r="H331" s="261" t="str">
        <f t="shared" si="17"/>
        <v/>
      </c>
      <c r="I331" s="262"/>
    </row>
    <row r="332" spans="1:9">
      <c r="A332" s="257">
        <v>330</v>
      </c>
      <c r="B332" s="258">
        <v>44951</v>
      </c>
      <c r="C332" s="259">
        <v>220.71728899999999</v>
      </c>
      <c r="D332" s="260">
        <v>224.60211030124373</v>
      </c>
      <c r="E332" s="259">
        <f t="shared" si="15"/>
        <v>220.71728899999999</v>
      </c>
      <c r="F332" s="266"/>
      <c r="G332" s="190" t="str">
        <f t="shared" si="16"/>
        <v/>
      </c>
      <c r="H332" s="261" t="str">
        <f t="shared" si="17"/>
        <v/>
      </c>
      <c r="I332" s="262"/>
    </row>
    <row r="333" spans="1:9">
      <c r="A333" s="257">
        <v>331</v>
      </c>
      <c r="B333" s="258">
        <v>44952</v>
      </c>
      <c r="C333" s="259">
        <v>314.252881</v>
      </c>
      <c r="D333" s="260">
        <v>224.60211030124373</v>
      </c>
      <c r="E333" s="259">
        <f t="shared" si="15"/>
        <v>224.60211030124373</v>
      </c>
      <c r="F333" s="266"/>
      <c r="G333" s="190" t="str">
        <f t="shared" si="16"/>
        <v/>
      </c>
      <c r="H333" s="261" t="str">
        <f t="shared" si="17"/>
        <v/>
      </c>
      <c r="I333" s="262"/>
    </row>
    <row r="334" spans="1:9">
      <c r="A334" s="257">
        <v>332</v>
      </c>
      <c r="B334" s="258">
        <v>44953</v>
      </c>
      <c r="C334" s="259">
        <v>340.78106700000001</v>
      </c>
      <c r="D334" s="260">
        <v>224.60211030124373</v>
      </c>
      <c r="E334" s="259">
        <f t="shared" si="15"/>
        <v>224.60211030124373</v>
      </c>
      <c r="F334" s="266"/>
      <c r="G334" s="190" t="str">
        <f t="shared" si="16"/>
        <v/>
      </c>
      <c r="H334" s="261" t="str">
        <f t="shared" si="17"/>
        <v/>
      </c>
      <c r="I334" s="262"/>
    </row>
    <row r="335" spans="1:9">
      <c r="A335" s="257">
        <v>333</v>
      </c>
      <c r="B335" s="258">
        <v>44954</v>
      </c>
      <c r="C335" s="259">
        <v>304.65080499999999</v>
      </c>
      <c r="D335" s="260">
        <v>224.60211030124373</v>
      </c>
      <c r="E335" s="259">
        <f>IF(C335&gt;D335,D335,C335)</f>
        <v>224.60211030124373</v>
      </c>
      <c r="F335" s="266"/>
      <c r="G335" s="190" t="str">
        <f t="shared" si="16"/>
        <v/>
      </c>
      <c r="H335" s="261" t="str">
        <f t="shared" si="17"/>
        <v/>
      </c>
      <c r="I335" s="262"/>
    </row>
    <row r="336" spans="1:9">
      <c r="A336" s="257">
        <v>334</v>
      </c>
      <c r="B336" s="258">
        <v>44955</v>
      </c>
      <c r="C336" s="259">
        <v>230.596518</v>
      </c>
      <c r="D336" s="260">
        <v>224.60211030124373</v>
      </c>
      <c r="E336" s="259">
        <f t="shared" si="15"/>
        <v>224.60211030124373</v>
      </c>
      <c r="F336" s="262"/>
      <c r="G336" s="190" t="str">
        <f t="shared" si="16"/>
        <v/>
      </c>
      <c r="H336" s="261" t="str">
        <f t="shared" si="17"/>
        <v/>
      </c>
      <c r="I336" s="262"/>
    </row>
    <row r="337" spans="1:9">
      <c r="A337" s="257">
        <v>335</v>
      </c>
      <c r="B337" s="258">
        <v>44956</v>
      </c>
      <c r="C337" s="259">
        <v>154.80910599999999</v>
      </c>
      <c r="D337" s="260">
        <v>224.60211030124373</v>
      </c>
      <c r="E337" s="259">
        <f t="shared" si="15"/>
        <v>154.80910599999999</v>
      </c>
      <c r="F337" s="262"/>
      <c r="G337" s="190" t="str">
        <f t="shared" si="16"/>
        <v/>
      </c>
      <c r="H337" s="261" t="str">
        <f t="shared" si="17"/>
        <v/>
      </c>
      <c r="I337" s="262"/>
    </row>
    <row r="338" spans="1:9">
      <c r="A338" s="257">
        <v>336</v>
      </c>
      <c r="B338" s="258">
        <v>44957</v>
      </c>
      <c r="C338" s="259">
        <v>209.45663300000001</v>
      </c>
      <c r="D338" s="260">
        <v>224.60211030124373</v>
      </c>
      <c r="E338" s="259">
        <f t="shared" si="15"/>
        <v>209.45663300000001</v>
      </c>
      <c r="F338" s="266"/>
      <c r="G338" s="190" t="str">
        <f t="shared" si="16"/>
        <v/>
      </c>
      <c r="H338" s="261" t="str">
        <f t="shared" si="17"/>
        <v/>
      </c>
      <c r="I338" s="262"/>
    </row>
    <row r="339" spans="1:9">
      <c r="A339" s="257">
        <v>337</v>
      </c>
      <c r="B339" s="258">
        <v>44958</v>
      </c>
      <c r="C339" s="259">
        <v>214.64264900000001</v>
      </c>
      <c r="D339" s="260">
        <v>227.83027735414711</v>
      </c>
      <c r="E339" s="259">
        <f t="shared" si="15"/>
        <v>214.64264900000001</v>
      </c>
      <c r="F339" s="266"/>
      <c r="G339" s="190" t="str">
        <f t="shared" si="16"/>
        <v/>
      </c>
      <c r="H339" s="261" t="str">
        <f t="shared" si="17"/>
        <v/>
      </c>
      <c r="I339" s="262"/>
    </row>
    <row r="340" spans="1:9">
      <c r="A340" s="257">
        <v>338</v>
      </c>
      <c r="B340" s="258">
        <v>44959</v>
      </c>
      <c r="C340" s="259">
        <v>113.42716800000001</v>
      </c>
      <c r="D340" s="260">
        <v>227.83027735414711</v>
      </c>
      <c r="E340" s="259">
        <f t="shared" si="15"/>
        <v>113.42716800000001</v>
      </c>
      <c r="F340" s="266"/>
      <c r="G340" s="190" t="str">
        <f t="shared" si="16"/>
        <v/>
      </c>
      <c r="H340" s="261" t="str">
        <f t="shared" si="17"/>
        <v/>
      </c>
      <c r="I340" s="262"/>
    </row>
    <row r="341" spans="1:9">
      <c r="A341" s="257">
        <v>339</v>
      </c>
      <c r="B341" s="258">
        <v>44960</v>
      </c>
      <c r="C341" s="259">
        <v>61.905279</v>
      </c>
      <c r="D341" s="260">
        <v>227.83027735414711</v>
      </c>
      <c r="E341" s="259">
        <f t="shared" si="15"/>
        <v>61.905279</v>
      </c>
      <c r="F341" s="266"/>
      <c r="G341" s="190" t="str">
        <f t="shared" si="16"/>
        <v/>
      </c>
      <c r="H341" s="261" t="str">
        <f t="shared" si="17"/>
        <v/>
      </c>
      <c r="I341" s="262"/>
    </row>
    <row r="342" spans="1:9">
      <c r="A342" s="257">
        <v>340</v>
      </c>
      <c r="B342" s="258">
        <v>44961</v>
      </c>
      <c r="C342" s="259">
        <v>185.92172600000004</v>
      </c>
      <c r="D342" s="260">
        <v>227.83027735414711</v>
      </c>
      <c r="E342" s="259">
        <f t="shared" si="15"/>
        <v>185.92172600000004</v>
      </c>
      <c r="F342" s="266"/>
      <c r="G342" s="190" t="str">
        <f t="shared" si="16"/>
        <v/>
      </c>
      <c r="H342" s="261" t="str">
        <f t="shared" si="17"/>
        <v/>
      </c>
      <c r="I342" s="262"/>
    </row>
    <row r="343" spans="1:9">
      <c r="A343" s="257">
        <v>341</v>
      </c>
      <c r="B343" s="258">
        <v>44962</v>
      </c>
      <c r="C343" s="259">
        <v>282.15542199999999</v>
      </c>
      <c r="D343" s="260">
        <v>227.83027735414711</v>
      </c>
      <c r="E343" s="259">
        <f t="shared" si="15"/>
        <v>227.83027735414711</v>
      </c>
      <c r="F343" s="266"/>
      <c r="G343" s="190" t="str">
        <f t="shared" si="16"/>
        <v/>
      </c>
      <c r="H343" s="261" t="str">
        <f t="shared" si="17"/>
        <v/>
      </c>
      <c r="I343" s="262"/>
    </row>
    <row r="344" spans="1:9">
      <c r="A344" s="257">
        <v>342</v>
      </c>
      <c r="B344" s="258">
        <v>44963</v>
      </c>
      <c r="C344" s="259">
        <v>276.02817499999998</v>
      </c>
      <c r="D344" s="260">
        <v>227.83027735414711</v>
      </c>
      <c r="E344" s="259">
        <f t="shared" si="15"/>
        <v>227.83027735414711</v>
      </c>
      <c r="F344" s="266"/>
      <c r="G344" s="190" t="str">
        <f t="shared" si="16"/>
        <v/>
      </c>
      <c r="H344" s="261" t="str">
        <f t="shared" si="17"/>
        <v/>
      </c>
      <c r="I344" s="262"/>
    </row>
    <row r="345" spans="1:9">
      <c r="A345" s="257">
        <v>343</v>
      </c>
      <c r="B345" s="258">
        <v>44964</v>
      </c>
      <c r="C345" s="259">
        <v>188.073455</v>
      </c>
      <c r="D345" s="260">
        <v>227.83027735414711</v>
      </c>
      <c r="E345" s="259">
        <f t="shared" si="15"/>
        <v>188.073455</v>
      </c>
      <c r="F345" s="266"/>
      <c r="G345" s="190" t="str">
        <f t="shared" si="16"/>
        <v/>
      </c>
      <c r="H345" s="261" t="str">
        <f t="shared" si="17"/>
        <v/>
      </c>
      <c r="I345" s="262"/>
    </row>
    <row r="346" spans="1:9">
      <c r="A346" s="257">
        <v>344</v>
      </c>
      <c r="B346" s="258">
        <v>44965</v>
      </c>
      <c r="C346" s="259">
        <v>171.14663300000001</v>
      </c>
      <c r="D346" s="260">
        <v>227.83027735414711</v>
      </c>
      <c r="E346" s="259">
        <f t="shared" si="15"/>
        <v>171.14663300000001</v>
      </c>
      <c r="F346" s="266"/>
      <c r="G346" s="190" t="str">
        <f t="shared" si="16"/>
        <v/>
      </c>
      <c r="H346" s="261" t="str">
        <f t="shared" si="17"/>
        <v/>
      </c>
      <c r="I346" s="262"/>
    </row>
    <row r="347" spans="1:9">
      <c r="A347" s="257">
        <v>345</v>
      </c>
      <c r="B347" s="258">
        <v>44966</v>
      </c>
      <c r="C347" s="259">
        <v>137.65219399999998</v>
      </c>
      <c r="D347" s="260">
        <v>227.83027735414711</v>
      </c>
      <c r="E347" s="259">
        <f t="shared" si="15"/>
        <v>137.65219399999998</v>
      </c>
      <c r="F347" s="266"/>
      <c r="G347" s="190" t="str">
        <f t="shared" si="16"/>
        <v/>
      </c>
      <c r="H347" s="261" t="str">
        <f t="shared" si="17"/>
        <v/>
      </c>
      <c r="I347" s="262"/>
    </row>
    <row r="348" spans="1:9">
      <c r="A348" s="257">
        <v>346</v>
      </c>
      <c r="B348" s="258">
        <v>44967</v>
      </c>
      <c r="C348" s="259">
        <v>127.740013</v>
      </c>
      <c r="D348" s="260">
        <v>227.83027735414711</v>
      </c>
      <c r="E348" s="259">
        <f t="shared" si="15"/>
        <v>127.740013</v>
      </c>
      <c r="F348" s="266"/>
      <c r="G348" s="190" t="str">
        <f t="shared" si="16"/>
        <v/>
      </c>
      <c r="H348" s="261" t="str">
        <f t="shared" si="17"/>
        <v/>
      </c>
      <c r="I348" s="262"/>
    </row>
    <row r="349" spans="1:9">
      <c r="A349" s="257">
        <v>347</v>
      </c>
      <c r="B349" s="258">
        <v>44968</v>
      </c>
      <c r="C349" s="259">
        <v>157.16737400000002</v>
      </c>
      <c r="D349" s="260">
        <v>227.83027735414711</v>
      </c>
      <c r="E349" s="259">
        <f t="shared" si="15"/>
        <v>157.16737400000002</v>
      </c>
      <c r="F349" s="266"/>
      <c r="G349" s="190" t="str">
        <f t="shared" si="16"/>
        <v/>
      </c>
      <c r="H349" s="261" t="str">
        <f t="shared" si="17"/>
        <v/>
      </c>
      <c r="I349" s="262"/>
    </row>
    <row r="350" spans="1:9">
      <c r="A350" s="257">
        <v>348</v>
      </c>
      <c r="B350" s="258">
        <v>44969</v>
      </c>
      <c r="C350" s="259">
        <v>147.338525</v>
      </c>
      <c r="D350" s="260">
        <v>227.83027735414711</v>
      </c>
      <c r="E350" s="259">
        <f t="shared" si="15"/>
        <v>147.338525</v>
      </c>
      <c r="F350" s="266"/>
      <c r="G350" s="190" t="str">
        <f t="shared" si="16"/>
        <v/>
      </c>
      <c r="H350" s="261" t="str">
        <f t="shared" si="17"/>
        <v/>
      </c>
      <c r="I350" s="262"/>
    </row>
    <row r="351" spans="1:9">
      <c r="A351" s="257">
        <v>349</v>
      </c>
      <c r="B351" s="258">
        <v>44970</v>
      </c>
      <c r="C351" s="259">
        <v>153.447981</v>
      </c>
      <c r="D351" s="260">
        <v>227.83027735414711</v>
      </c>
      <c r="E351" s="259">
        <f t="shared" si="15"/>
        <v>153.447981</v>
      </c>
      <c r="F351" s="262"/>
      <c r="G351" s="190" t="str">
        <f t="shared" si="16"/>
        <v/>
      </c>
      <c r="H351" s="261" t="str">
        <f t="shared" si="17"/>
        <v/>
      </c>
      <c r="I351" s="262"/>
    </row>
    <row r="352" spans="1:9">
      <c r="A352" s="257">
        <v>350</v>
      </c>
      <c r="B352" s="258">
        <v>44971</v>
      </c>
      <c r="C352" s="259">
        <v>216.746195</v>
      </c>
      <c r="D352" s="260">
        <v>227.83027735414711</v>
      </c>
      <c r="E352" s="259">
        <f t="shared" si="15"/>
        <v>216.746195</v>
      </c>
      <c r="F352" s="266"/>
      <c r="G352" s="190" t="str">
        <f t="shared" si="16"/>
        <v/>
      </c>
      <c r="H352" s="261" t="str">
        <f t="shared" si="17"/>
        <v/>
      </c>
      <c r="I352" s="262"/>
    </row>
    <row r="353" spans="1:9">
      <c r="A353" s="257">
        <v>351</v>
      </c>
      <c r="B353" s="258">
        <v>44972</v>
      </c>
      <c r="C353" s="259">
        <v>116.477103</v>
      </c>
      <c r="D353" s="260">
        <v>227.83027735414711</v>
      </c>
      <c r="E353" s="259">
        <f t="shared" si="15"/>
        <v>116.477103</v>
      </c>
      <c r="F353" s="266"/>
      <c r="G353" s="190" t="str">
        <f t="shared" si="16"/>
        <v>F</v>
      </c>
      <c r="H353" s="261" t="str">
        <f t="shared" si="17"/>
        <v>227,8</v>
      </c>
      <c r="I353" s="262"/>
    </row>
    <row r="354" spans="1:9">
      <c r="A354" s="257">
        <v>352</v>
      </c>
      <c r="B354" s="258">
        <v>44973</v>
      </c>
      <c r="C354" s="259">
        <v>59.148474999999998</v>
      </c>
      <c r="D354" s="260">
        <v>227.83027735414711</v>
      </c>
      <c r="E354" s="259">
        <f t="shared" si="15"/>
        <v>59.148474999999998</v>
      </c>
      <c r="F354" s="266"/>
      <c r="G354" s="190" t="str">
        <f t="shared" si="16"/>
        <v/>
      </c>
      <c r="H354" s="261" t="str">
        <f t="shared" si="17"/>
        <v/>
      </c>
      <c r="I354" s="262"/>
    </row>
    <row r="355" spans="1:9">
      <c r="A355" s="257">
        <v>353</v>
      </c>
      <c r="B355" s="258">
        <v>44974</v>
      </c>
      <c r="C355" s="259">
        <v>134.68049600000001</v>
      </c>
      <c r="D355" s="260">
        <v>227.83027735414711</v>
      </c>
      <c r="E355" s="259">
        <f t="shared" si="15"/>
        <v>134.68049600000001</v>
      </c>
      <c r="F355" s="266"/>
      <c r="G355" s="190" t="str">
        <f t="shared" si="16"/>
        <v/>
      </c>
      <c r="H355" s="261" t="str">
        <f t="shared" si="17"/>
        <v/>
      </c>
      <c r="I355" s="262"/>
    </row>
    <row r="356" spans="1:9">
      <c r="A356" s="257">
        <v>354</v>
      </c>
      <c r="B356" s="258">
        <v>44975</v>
      </c>
      <c r="C356" s="259">
        <v>108.841819</v>
      </c>
      <c r="D356" s="260">
        <v>227.83027735414711</v>
      </c>
      <c r="E356" s="259">
        <f t="shared" si="15"/>
        <v>108.841819</v>
      </c>
      <c r="F356" s="266"/>
      <c r="G356" s="190" t="str">
        <f t="shared" si="16"/>
        <v/>
      </c>
      <c r="H356" s="261" t="str">
        <f t="shared" si="17"/>
        <v/>
      </c>
      <c r="I356" s="262"/>
    </row>
    <row r="357" spans="1:9">
      <c r="A357" s="257">
        <v>355</v>
      </c>
      <c r="B357" s="258">
        <v>44976</v>
      </c>
      <c r="C357" s="259">
        <v>119.38858400000001</v>
      </c>
      <c r="D357" s="260">
        <v>227.83027735414711</v>
      </c>
      <c r="E357" s="259">
        <f t="shared" si="15"/>
        <v>119.38858400000001</v>
      </c>
      <c r="F357" s="266"/>
      <c r="G357" s="190" t="str">
        <f t="shared" si="16"/>
        <v/>
      </c>
      <c r="H357" s="261" t="str">
        <f t="shared" si="17"/>
        <v/>
      </c>
      <c r="I357" s="262"/>
    </row>
    <row r="358" spans="1:9">
      <c r="A358" s="257">
        <v>356</v>
      </c>
      <c r="B358" s="258">
        <v>44977</v>
      </c>
      <c r="C358" s="259">
        <v>140.74793299999999</v>
      </c>
      <c r="D358" s="260">
        <v>227.83027735414711</v>
      </c>
      <c r="E358" s="259">
        <f t="shared" si="15"/>
        <v>140.74793299999999</v>
      </c>
      <c r="F358" s="266"/>
      <c r="G358" s="190" t="str">
        <f t="shared" si="16"/>
        <v/>
      </c>
      <c r="H358" s="261" t="str">
        <f t="shared" si="17"/>
        <v/>
      </c>
      <c r="I358" s="262"/>
    </row>
    <row r="359" spans="1:9">
      <c r="A359" s="257">
        <v>357</v>
      </c>
      <c r="B359" s="258">
        <v>44978</v>
      </c>
      <c r="C359" s="259">
        <v>71.339642999999995</v>
      </c>
      <c r="D359" s="260">
        <v>227.83027735414711</v>
      </c>
      <c r="E359" s="259">
        <f t="shared" si="15"/>
        <v>71.339642999999995</v>
      </c>
      <c r="F359" s="266"/>
      <c r="G359" s="190" t="str">
        <f t="shared" si="16"/>
        <v/>
      </c>
      <c r="H359" s="261" t="str">
        <f t="shared" si="17"/>
        <v/>
      </c>
      <c r="I359" s="262"/>
    </row>
    <row r="360" spans="1:9">
      <c r="A360" s="257">
        <v>358</v>
      </c>
      <c r="B360" s="258">
        <v>44979</v>
      </c>
      <c r="C360" s="259">
        <v>61.400863000000001</v>
      </c>
      <c r="D360" s="260">
        <v>227.83027735414711</v>
      </c>
      <c r="E360" s="259">
        <f t="shared" si="15"/>
        <v>61.400863000000001</v>
      </c>
      <c r="F360" s="266"/>
      <c r="G360" s="190" t="str">
        <f t="shared" si="16"/>
        <v/>
      </c>
      <c r="H360" s="261" t="str">
        <f t="shared" si="17"/>
        <v/>
      </c>
      <c r="I360" s="262"/>
    </row>
    <row r="361" spans="1:9">
      <c r="A361" s="257">
        <v>359</v>
      </c>
      <c r="B361" s="258">
        <v>44980</v>
      </c>
      <c r="C361" s="259">
        <v>148.429001</v>
      </c>
      <c r="D361" s="260">
        <v>227.83027735414711</v>
      </c>
      <c r="E361" s="259">
        <f t="shared" si="15"/>
        <v>148.429001</v>
      </c>
      <c r="F361" s="266"/>
      <c r="G361" s="190" t="str">
        <f t="shared" si="16"/>
        <v/>
      </c>
      <c r="H361" s="261" t="str">
        <f t="shared" si="17"/>
        <v/>
      </c>
      <c r="I361" s="262"/>
    </row>
    <row r="362" spans="1:9">
      <c r="A362" s="257">
        <v>360</v>
      </c>
      <c r="B362" s="258">
        <v>44981</v>
      </c>
      <c r="C362" s="259">
        <v>73.126816999999988</v>
      </c>
      <c r="D362" s="260">
        <v>227.83027735414711</v>
      </c>
      <c r="E362" s="259">
        <f t="shared" si="15"/>
        <v>73.126816999999988</v>
      </c>
      <c r="F362" s="266"/>
      <c r="G362" s="190" t="str">
        <f t="shared" si="16"/>
        <v/>
      </c>
      <c r="H362" s="261" t="str">
        <f t="shared" si="17"/>
        <v/>
      </c>
      <c r="I362" s="262"/>
    </row>
    <row r="363" spans="1:9">
      <c r="A363" s="257">
        <v>361</v>
      </c>
      <c r="B363" s="258">
        <v>44982</v>
      </c>
      <c r="C363" s="259">
        <v>106.41919600000001</v>
      </c>
      <c r="D363" s="260">
        <v>227.83027735414711</v>
      </c>
      <c r="E363" s="259">
        <f t="shared" si="15"/>
        <v>106.41919600000001</v>
      </c>
      <c r="F363" s="266"/>
      <c r="G363" s="190" t="str">
        <f t="shared" si="16"/>
        <v/>
      </c>
      <c r="H363" s="261" t="str">
        <f t="shared" si="17"/>
        <v/>
      </c>
      <c r="I363" s="262"/>
    </row>
    <row r="364" spans="1:9">
      <c r="A364" s="257">
        <v>362</v>
      </c>
      <c r="B364" s="258">
        <v>44983</v>
      </c>
      <c r="C364" s="259">
        <v>347.21406000000002</v>
      </c>
      <c r="D364" s="260">
        <v>227.83027735414711</v>
      </c>
      <c r="E364" s="259">
        <f t="shared" si="15"/>
        <v>227.83027735414711</v>
      </c>
      <c r="F364" s="266"/>
      <c r="G364" s="190" t="str">
        <f t="shared" si="16"/>
        <v/>
      </c>
      <c r="H364" s="261" t="str">
        <f t="shared" si="17"/>
        <v/>
      </c>
      <c r="I364" s="262"/>
    </row>
    <row r="365" spans="1:9">
      <c r="A365" s="257">
        <v>363</v>
      </c>
      <c r="B365" s="258">
        <v>44984</v>
      </c>
      <c r="C365" s="259">
        <v>398.66948500000001</v>
      </c>
      <c r="D365" s="260">
        <v>227.83027735414711</v>
      </c>
      <c r="E365" s="259">
        <f t="shared" si="15"/>
        <v>227.83027735414711</v>
      </c>
      <c r="F365" s="266"/>
      <c r="G365" s="190" t="str">
        <f t="shared" si="16"/>
        <v/>
      </c>
      <c r="H365" s="261" t="str">
        <f t="shared" si="17"/>
        <v/>
      </c>
      <c r="I365" s="262"/>
    </row>
    <row r="366" spans="1:9">
      <c r="A366" s="257">
        <v>364</v>
      </c>
      <c r="B366" s="258">
        <v>44985</v>
      </c>
      <c r="C366" s="259">
        <v>322.19555200000002</v>
      </c>
      <c r="D366" s="260">
        <v>227.83027735414711</v>
      </c>
      <c r="E366" s="259">
        <f t="shared" si="15"/>
        <v>227.83027735414711</v>
      </c>
      <c r="F366" s="266"/>
      <c r="G366" s="190" t="str">
        <f t="shared" si="16"/>
        <v/>
      </c>
      <c r="H366" s="261" t="str">
        <f t="shared" si="17"/>
        <v/>
      </c>
      <c r="I366" s="262"/>
    </row>
    <row r="367" spans="1:9">
      <c r="A367" s="257">
        <v>365</v>
      </c>
      <c r="B367" s="258">
        <v>44986</v>
      </c>
      <c r="C367" s="259">
        <v>185.28804300000002</v>
      </c>
      <c r="D367" s="260">
        <v>222.39420268941305</v>
      </c>
      <c r="E367" s="259">
        <f t="shared" si="15"/>
        <v>185.28804300000002</v>
      </c>
      <c r="F367" s="262"/>
      <c r="G367" s="190" t="str">
        <f t="shared" si="16"/>
        <v/>
      </c>
      <c r="H367" s="261" t="str">
        <f t="shared" si="17"/>
        <v/>
      </c>
      <c r="I367" s="262"/>
    </row>
    <row r="368" spans="1:9">
      <c r="A368" s="257">
        <v>366</v>
      </c>
      <c r="B368" s="258">
        <v>44987</v>
      </c>
      <c r="C368" s="259">
        <v>212.990036</v>
      </c>
      <c r="D368" s="260">
        <v>222.39420268941305</v>
      </c>
      <c r="E368" s="259">
        <f t="shared" si="15"/>
        <v>212.990036</v>
      </c>
      <c r="F368" s="262"/>
      <c r="G368" s="190" t="str">
        <f t="shared" si="16"/>
        <v/>
      </c>
      <c r="H368" s="261" t="str">
        <f t="shared" si="17"/>
        <v/>
      </c>
      <c r="I368" s="262"/>
    </row>
    <row r="369" spans="1:9">
      <c r="A369" s="257">
        <v>367</v>
      </c>
      <c r="B369" s="258">
        <v>44988</v>
      </c>
      <c r="C369" s="259">
        <v>186.01996800000001</v>
      </c>
      <c r="D369" s="260">
        <v>222.39420268941305</v>
      </c>
      <c r="E369" s="259">
        <f t="shared" si="15"/>
        <v>186.01996800000001</v>
      </c>
      <c r="F369" s="266"/>
      <c r="G369" s="190" t="str">
        <f t="shared" si="16"/>
        <v/>
      </c>
      <c r="H369" s="261" t="str">
        <f t="shared" si="17"/>
        <v/>
      </c>
      <c r="I369" s="262"/>
    </row>
    <row r="370" spans="1:9">
      <c r="A370" s="257">
        <v>368</v>
      </c>
      <c r="B370" s="258">
        <v>44989</v>
      </c>
      <c r="C370" s="259">
        <v>100.40978299999999</v>
      </c>
      <c r="D370" s="260">
        <v>222.39420268941305</v>
      </c>
      <c r="E370" s="259">
        <f t="shared" si="15"/>
        <v>100.40978299999999</v>
      </c>
      <c r="F370" s="266"/>
      <c r="G370" s="190" t="str">
        <f t="shared" si="16"/>
        <v/>
      </c>
      <c r="H370" s="261" t="str">
        <f t="shared" si="17"/>
        <v/>
      </c>
      <c r="I370" s="262"/>
    </row>
    <row r="371" spans="1:9">
      <c r="A371" s="257">
        <v>369</v>
      </c>
      <c r="B371" s="258">
        <v>44990</v>
      </c>
      <c r="C371" s="259">
        <v>62.852412999999999</v>
      </c>
      <c r="D371" s="260">
        <v>222.39420268941305</v>
      </c>
      <c r="E371" s="259">
        <f t="shared" si="15"/>
        <v>62.852412999999999</v>
      </c>
      <c r="F371" s="266"/>
      <c r="G371" s="190" t="str">
        <f t="shared" si="16"/>
        <v/>
      </c>
      <c r="H371" s="261" t="str">
        <f t="shared" si="17"/>
        <v/>
      </c>
      <c r="I371" s="262"/>
    </row>
    <row r="372" spans="1:9">
      <c r="A372" s="257">
        <v>370</v>
      </c>
      <c r="B372" s="258">
        <v>44991</v>
      </c>
      <c r="C372" s="259">
        <v>150.749279</v>
      </c>
      <c r="D372" s="260">
        <v>222.39420268941305</v>
      </c>
      <c r="E372" s="259">
        <f t="shared" si="15"/>
        <v>150.749279</v>
      </c>
      <c r="F372" s="266"/>
      <c r="G372" s="190" t="str">
        <f t="shared" si="16"/>
        <v/>
      </c>
      <c r="H372" s="261" t="str">
        <f t="shared" si="17"/>
        <v/>
      </c>
      <c r="I372" s="262"/>
    </row>
    <row r="373" spans="1:9">
      <c r="A373" s="257">
        <v>371</v>
      </c>
      <c r="B373" s="258">
        <v>44992</v>
      </c>
      <c r="C373" s="259">
        <v>337.190359</v>
      </c>
      <c r="D373" s="260">
        <v>222.39420268941305</v>
      </c>
      <c r="E373" s="259">
        <f t="shared" si="15"/>
        <v>222.39420268941305</v>
      </c>
      <c r="F373" s="266"/>
      <c r="G373" s="190" t="str">
        <f t="shared" si="16"/>
        <v/>
      </c>
      <c r="H373" s="261" t="str">
        <f t="shared" si="17"/>
        <v/>
      </c>
      <c r="I373" s="262"/>
    </row>
    <row r="374" spans="1:9">
      <c r="A374" s="257">
        <v>372</v>
      </c>
      <c r="B374" s="258">
        <v>44993</v>
      </c>
      <c r="C374" s="259">
        <v>391.80294300000003</v>
      </c>
      <c r="D374" s="260">
        <v>222.39420268941305</v>
      </c>
      <c r="E374" s="259">
        <f t="shared" si="15"/>
        <v>222.39420268941305</v>
      </c>
      <c r="F374" s="266"/>
      <c r="G374" s="190" t="str">
        <f t="shared" si="16"/>
        <v/>
      </c>
      <c r="H374" s="261" t="str">
        <f t="shared" si="17"/>
        <v/>
      </c>
      <c r="I374" s="262"/>
    </row>
    <row r="375" spans="1:9">
      <c r="A375" s="257">
        <v>373</v>
      </c>
      <c r="B375" s="258">
        <v>44994</v>
      </c>
      <c r="C375" s="259">
        <v>411.10376299999996</v>
      </c>
      <c r="D375" s="260">
        <v>222.39420268941305</v>
      </c>
      <c r="E375" s="259">
        <f t="shared" si="15"/>
        <v>222.39420268941305</v>
      </c>
      <c r="F375" s="266"/>
      <c r="G375" s="190" t="str">
        <f t="shared" si="16"/>
        <v/>
      </c>
      <c r="H375" s="261" t="str">
        <f t="shared" si="17"/>
        <v/>
      </c>
      <c r="I375" s="262"/>
    </row>
    <row r="376" spans="1:9">
      <c r="A376" s="257">
        <v>374</v>
      </c>
      <c r="B376" s="258">
        <v>44995</v>
      </c>
      <c r="C376" s="259">
        <v>388.84942599999999</v>
      </c>
      <c r="D376" s="260">
        <v>222.39420268941305</v>
      </c>
      <c r="E376" s="259">
        <f t="shared" si="15"/>
        <v>222.39420268941305</v>
      </c>
      <c r="F376" s="266"/>
      <c r="G376" s="190" t="str">
        <f t="shared" si="16"/>
        <v/>
      </c>
      <c r="H376" s="261" t="str">
        <f t="shared" si="17"/>
        <v/>
      </c>
      <c r="I376" s="262"/>
    </row>
    <row r="377" spans="1:9">
      <c r="A377" s="257">
        <v>375</v>
      </c>
      <c r="B377" s="258">
        <v>44996</v>
      </c>
      <c r="C377" s="259">
        <v>345.66956799999997</v>
      </c>
      <c r="D377" s="260">
        <v>222.39420268941305</v>
      </c>
      <c r="E377" s="259">
        <f t="shared" si="15"/>
        <v>222.39420268941305</v>
      </c>
      <c r="F377" s="266"/>
      <c r="G377" s="190" t="str">
        <f t="shared" si="16"/>
        <v/>
      </c>
      <c r="H377" s="261" t="str">
        <f t="shared" si="17"/>
        <v/>
      </c>
      <c r="I377" s="262"/>
    </row>
    <row r="378" spans="1:9">
      <c r="A378" s="257">
        <v>376</v>
      </c>
      <c r="B378" s="258">
        <v>44997</v>
      </c>
      <c r="C378" s="259">
        <v>178.32768299999998</v>
      </c>
      <c r="D378" s="260">
        <v>222.39420268941305</v>
      </c>
      <c r="E378" s="259">
        <f t="shared" si="15"/>
        <v>178.32768299999998</v>
      </c>
      <c r="F378" s="266"/>
      <c r="G378" s="190" t="str">
        <f t="shared" si="16"/>
        <v/>
      </c>
      <c r="H378" s="261" t="str">
        <f t="shared" si="17"/>
        <v/>
      </c>
      <c r="I378" s="262"/>
    </row>
    <row r="379" spans="1:9">
      <c r="A379" s="257">
        <v>377</v>
      </c>
      <c r="B379" s="258">
        <v>44998</v>
      </c>
      <c r="C379" s="259">
        <v>287.67311899999999</v>
      </c>
      <c r="D379" s="260">
        <v>222.39420268941305</v>
      </c>
      <c r="E379" s="259">
        <f t="shared" si="15"/>
        <v>222.39420268941305</v>
      </c>
      <c r="F379" s="266"/>
      <c r="G379" s="190" t="str">
        <f t="shared" si="16"/>
        <v/>
      </c>
      <c r="H379" s="261" t="str">
        <f t="shared" si="17"/>
        <v/>
      </c>
      <c r="I379" s="262"/>
    </row>
    <row r="380" spans="1:9">
      <c r="A380" s="257">
        <v>378</v>
      </c>
      <c r="B380" s="258">
        <v>44999</v>
      </c>
      <c r="C380" s="259">
        <v>257.504839</v>
      </c>
      <c r="D380" s="260">
        <v>222.39420268941305</v>
      </c>
      <c r="E380" s="259">
        <f t="shared" si="15"/>
        <v>222.39420268941305</v>
      </c>
      <c r="F380" s="266"/>
      <c r="G380" s="190" t="str">
        <f t="shared" si="16"/>
        <v/>
      </c>
      <c r="H380" s="261" t="str">
        <f t="shared" si="17"/>
        <v/>
      </c>
      <c r="I380" s="262"/>
    </row>
    <row r="381" spans="1:9">
      <c r="A381" s="257">
        <v>379</v>
      </c>
      <c r="B381" s="258">
        <v>45000</v>
      </c>
      <c r="C381" s="259">
        <v>90.665316000000004</v>
      </c>
      <c r="D381" s="260">
        <v>222.39420268941305</v>
      </c>
      <c r="E381" s="259">
        <f t="shared" si="15"/>
        <v>90.665316000000004</v>
      </c>
      <c r="F381" s="266"/>
      <c r="G381" s="190" t="str">
        <f t="shared" si="16"/>
        <v>M</v>
      </c>
      <c r="H381" s="261" t="str">
        <f t="shared" si="17"/>
        <v>222,4</v>
      </c>
      <c r="I381" s="262"/>
    </row>
    <row r="382" spans="1:9">
      <c r="A382" s="257">
        <v>380</v>
      </c>
      <c r="B382" s="258">
        <v>45001</v>
      </c>
      <c r="C382" s="259">
        <v>230.406139</v>
      </c>
      <c r="D382" s="260">
        <v>222.39420268941305</v>
      </c>
      <c r="E382" s="259">
        <f t="shared" si="15"/>
        <v>222.39420268941305</v>
      </c>
      <c r="F382" s="266"/>
      <c r="G382" s="190" t="str">
        <f t="shared" si="16"/>
        <v/>
      </c>
      <c r="H382" s="261" t="str">
        <f t="shared" si="17"/>
        <v/>
      </c>
      <c r="I382" s="262"/>
    </row>
    <row r="383" spans="1:9">
      <c r="A383" s="257">
        <v>381</v>
      </c>
      <c r="B383" s="258">
        <v>45002</v>
      </c>
      <c r="C383" s="259">
        <v>279.34986599999996</v>
      </c>
      <c r="D383" s="260">
        <v>222.39420268941305</v>
      </c>
      <c r="E383" s="259">
        <f t="shared" si="15"/>
        <v>222.39420268941305</v>
      </c>
      <c r="F383" s="266"/>
      <c r="G383" s="190" t="str">
        <f t="shared" si="16"/>
        <v/>
      </c>
      <c r="H383" s="261" t="str">
        <f t="shared" si="17"/>
        <v/>
      </c>
      <c r="I383" s="262"/>
    </row>
    <row r="384" spans="1:9">
      <c r="A384" s="257">
        <v>382</v>
      </c>
      <c r="B384" s="258">
        <v>45003</v>
      </c>
      <c r="C384" s="259">
        <v>180.96497999999997</v>
      </c>
      <c r="D384" s="260">
        <v>222.39420268941305</v>
      </c>
      <c r="E384" s="259">
        <f t="shared" si="15"/>
        <v>180.96497999999997</v>
      </c>
      <c r="F384" s="266"/>
      <c r="G384" s="190" t="str">
        <f t="shared" si="16"/>
        <v/>
      </c>
      <c r="H384" s="261" t="str">
        <f t="shared" si="17"/>
        <v/>
      </c>
      <c r="I384" s="262"/>
    </row>
    <row r="385" spans="1:9">
      <c r="A385" s="257">
        <v>383</v>
      </c>
      <c r="B385" s="258">
        <v>45004</v>
      </c>
      <c r="C385" s="259">
        <v>87.045945000000003</v>
      </c>
      <c r="D385" s="260">
        <v>222.39420268941305</v>
      </c>
      <c r="E385" s="259">
        <f t="shared" si="15"/>
        <v>87.045945000000003</v>
      </c>
      <c r="F385" s="266"/>
      <c r="G385" s="190" t="str">
        <f t="shared" si="16"/>
        <v/>
      </c>
      <c r="H385" s="261" t="str">
        <f t="shared" si="17"/>
        <v/>
      </c>
      <c r="I385" s="262"/>
    </row>
    <row r="386" spans="1:9">
      <c r="A386" s="257">
        <v>384</v>
      </c>
      <c r="B386" s="258">
        <v>45005</v>
      </c>
      <c r="C386" s="259">
        <v>70.674600999999996</v>
      </c>
      <c r="D386" s="260">
        <v>222.39420268941305</v>
      </c>
      <c r="E386" s="259">
        <f t="shared" si="15"/>
        <v>70.674600999999996</v>
      </c>
      <c r="F386" s="266"/>
      <c r="G386" s="190" t="str">
        <f t="shared" si="16"/>
        <v/>
      </c>
      <c r="H386" s="261" t="str">
        <f t="shared" si="17"/>
        <v/>
      </c>
      <c r="I386" s="262"/>
    </row>
    <row r="387" spans="1:9">
      <c r="A387" s="257">
        <v>385</v>
      </c>
      <c r="B387" s="258">
        <v>45006</v>
      </c>
      <c r="C387" s="259">
        <v>55.528963000000005</v>
      </c>
      <c r="D387" s="260">
        <v>222.39420268941305</v>
      </c>
      <c r="E387" s="259">
        <f t="shared" ref="E387:E394" si="18">IF(C387&gt;D387,D387,C387)</f>
        <v>55.528963000000005</v>
      </c>
      <c r="F387" s="266"/>
      <c r="G387" s="190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61" t="str">
        <f t="shared" ref="H387:H394" si="20">IF(DAY($B387)=15,TEXT(D387,"#,0"),"")</f>
        <v/>
      </c>
      <c r="I387" s="262"/>
    </row>
    <row r="388" spans="1:9">
      <c r="A388" s="257">
        <v>386</v>
      </c>
      <c r="B388" s="258">
        <v>45007</v>
      </c>
      <c r="C388" s="259">
        <v>123.83628299999999</v>
      </c>
      <c r="D388" s="260">
        <v>222.39420268941305</v>
      </c>
      <c r="E388" s="259">
        <f t="shared" si="18"/>
        <v>123.83628299999999</v>
      </c>
      <c r="F388" s="266"/>
      <c r="G388" s="190" t="str">
        <f t="shared" si="19"/>
        <v/>
      </c>
      <c r="H388" s="261" t="str">
        <f t="shared" si="20"/>
        <v/>
      </c>
      <c r="I388" s="262"/>
    </row>
    <row r="389" spans="1:9">
      <c r="A389" s="257">
        <v>387</v>
      </c>
      <c r="B389" s="258">
        <v>45008</v>
      </c>
      <c r="C389" s="259">
        <v>202.52402599999999</v>
      </c>
      <c r="D389" s="260">
        <v>222.39420268941305</v>
      </c>
      <c r="E389" s="259">
        <f t="shared" si="18"/>
        <v>202.52402599999999</v>
      </c>
      <c r="F389" s="266"/>
      <c r="G389" s="190" t="str">
        <f t="shared" si="19"/>
        <v/>
      </c>
      <c r="H389" s="261" t="str">
        <f t="shared" si="20"/>
        <v/>
      </c>
      <c r="I389" s="262"/>
    </row>
    <row r="390" spans="1:9">
      <c r="A390" s="257">
        <v>388</v>
      </c>
      <c r="B390" s="258">
        <v>45009</v>
      </c>
      <c r="C390" s="259">
        <v>251.95039000000003</v>
      </c>
      <c r="D390" s="260">
        <v>222.39420268941305</v>
      </c>
      <c r="E390" s="259">
        <f t="shared" si="18"/>
        <v>222.39420268941305</v>
      </c>
      <c r="F390" s="266"/>
      <c r="G390" s="190" t="str">
        <f t="shared" si="19"/>
        <v/>
      </c>
      <c r="H390" s="261" t="str">
        <f t="shared" si="20"/>
        <v/>
      </c>
      <c r="I390" s="262"/>
    </row>
    <row r="391" spans="1:9">
      <c r="A391" s="257">
        <v>389</v>
      </c>
      <c r="B391" s="258">
        <v>45010</v>
      </c>
      <c r="C391" s="259">
        <v>161.91980600000002</v>
      </c>
      <c r="D391" s="260">
        <v>222.39420268941305</v>
      </c>
      <c r="E391" s="259">
        <f t="shared" si="18"/>
        <v>161.91980600000002</v>
      </c>
      <c r="F391" s="266"/>
      <c r="G391" s="190" t="str">
        <f t="shared" si="19"/>
        <v/>
      </c>
      <c r="H391" s="261" t="str">
        <f t="shared" si="20"/>
        <v/>
      </c>
      <c r="I391" s="262"/>
    </row>
    <row r="392" spans="1:9">
      <c r="A392" s="257">
        <v>390</v>
      </c>
      <c r="B392" s="258">
        <v>45011</v>
      </c>
      <c r="C392" s="259">
        <v>252.65611799999999</v>
      </c>
      <c r="D392" s="260">
        <v>222.39420268941305</v>
      </c>
      <c r="E392" s="259">
        <f t="shared" si="18"/>
        <v>222.39420268941305</v>
      </c>
      <c r="F392" s="266"/>
      <c r="G392" s="190" t="str">
        <f t="shared" si="19"/>
        <v/>
      </c>
      <c r="H392" s="261" t="str">
        <f t="shared" si="20"/>
        <v/>
      </c>
      <c r="I392" s="262"/>
    </row>
    <row r="393" spans="1:9">
      <c r="A393" s="257">
        <v>391</v>
      </c>
      <c r="B393" s="258">
        <v>45012</v>
      </c>
      <c r="C393" s="259">
        <v>166.89284499999999</v>
      </c>
      <c r="D393" s="260">
        <v>222.39420268941305</v>
      </c>
      <c r="E393" s="259">
        <f t="shared" si="18"/>
        <v>166.89284499999999</v>
      </c>
      <c r="F393" s="266"/>
      <c r="G393" s="190" t="str">
        <f t="shared" si="19"/>
        <v/>
      </c>
      <c r="H393" s="261" t="str">
        <f t="shared" si="20"/>
        <v/>
      </c>
      <c r="I393" s="262"/>
    </row>
    <row r="394" spans="1:9">
      <c r="A394" s="257">
        <v>392</v>
      </c>
      <c r="B394" s="258">
        <v>45013</v>
      </c>
      <c r="C394" s="259">
        <v>105.192367</v>
      </c>
      <c r="D394" s="260">
        <v>222.39420268941305</v>
      </c>
      <c r="E394" s="259">
        <f t="shared" si="18"/>
        <v>105.192367</v>
      </c>
      <c r="F394" s="266"/>
      <c r="G394" s="190" t="str">
        <f t="shared" si="19"/>
        <v/>
      </c>
      <c r="H394" s="261" t="str">
        <f t="shared" si="20"/>
        <v/>
      </c>
      <c r="I394" s="262"/>
    </row>
    <row r="395" spans="1:9">
      <c r="A395" s="257">
        <v>393</v>
      </c>
      <c r="B395" s="258">
        <v>45014</v>
      </c>
      <c r="C395" s="259">
        <v>205.732089</v>
      </c>
      <c r="D395" s="260">
        <v>222.39420268941305</v>
      </c>
      <c r="E395" s="259">
        <f t="shared" ref="E395:E397" si="21">IF(C395&gt;D395,D395,C395)</f>
        <v>205.732089</v>
      </c>
      <c r="F395" s="266"/>
      <c r="G395" s="190"/>
      <c r="H395" s="261"/>
      <c r="I395" s="262"/>
    </row>
    <row r="396" spans="1:9">
      <c r="A396" s="257">
        <v>394</v>
      </c>
      <c r="B396" s="258">
        <v>45015</v>
      </c>
      <c r="C396" s="259">
        <v>254.96297300000001</v>
      </c>
      <c r="D396" s="260">
        <v>222.39420268941305</v>
      </c>
      <c r="E396" s="259">
        <f t="shared" si="21"/>
        <v>222.39420268941305</v>
      </c>
      <c r="F396" s="266"/>
      <c r="G396" s="190"/>
      <c r="H396" s="261"/>
      <c r="I396" s="262"/>
    </row>
    <row r="397" spans="1:9">
      <c r="A397" s="257">
        <v>395</v>
      </c>
      <c r="B397" s="258">
        <v>45016</v>
      </c>
      <c r="C397" s="259">
        <v>367.92338100000001</v>
      </c>
      <c r="D397" s="260">
        <v>222.39420268941305</v>
      </c>
      <c r="E397" s="259">
        <f t="shared" si="21"/>
        <v>222.39420268941305</v>
      </c>
      <c r="F397" s="266"/>
      <c r="G397" s="190"/>
      <c r="H397" s="261"/>
      <c r="I397" s="262"/>
    </row>
    <row r="398" spans="1:9">
      <c r="B398" s="258"/>
      <c r="C398" s="259"/>
      <c r="D398" s="260"/>
      <c r="E398" s="259"/>
      <c r="F398" s="266"/>
      <c r="G398" s="190"/>
      <c r="H398" s="261"/>
      <c r="I398" s="262"/>
    </row>
    <row r="399" spans="1:9">
      <c r="B399" s="258"/>
      <c r="C399" s="259"/>
      <c r="D399" s="260"/>
      <c r="E399" s="259"/>
      <c r="F399" s="266"/>
      <c r="G399" s="190"/>
      <c r="H399" s="261"/>
      <c r="I399" s="262"/>
    </row>
    <row r="400" spans="1:9">
      <c r="B400" s="258"/>
      <c r="C400" s="259"/>
      <c r="D400" s="260"/>
      <c r="E400" s="259"/>
      <c r="F400" s="266"/>
      <c r="G400" s="190"/>
      <c r="H400" s="261"/>
      <c r="I400" s="262"/>
    </row>
    <row r="401" spans="2:9">
      <c r="B401" s="258"/>
      <c r="C401" s="259"/>
      <c r="D401" s="260"/>
      <c r="E401" s="259"/>
      <c r="F401" s="266"/>
      <c r="G401" s="190"/>
      <c r="H401" s="261"/>
      <c r="I401" s="262"/>
    </row>
    <row r="402" spans="2:9">
      <c r="B402" s="258"/>
      <c r="C402" s="259"/>
      <c r="D402" s="260"/>
      <c r="E402" s="259"/>
      <c r="F402" s="266"/>
      <c r="G402" s="190"/>
      <c r="H402" s="261"/>
      <c r="I402" s="262"/>
    </row>
    <row r="403" spans="2:9">
      <c r="B403" s="258"/>
      <c r="C403" s="259"/>
      <c r="D403" s="260"/>
      <c r="E403" s="259"/>
      <c r="F403" s="266"/>
      <c r="G403" s="190"/>
      <c r="H403" s="261"/>
      <c r="I403" s="262"/>
    </row>
    <row r="404" spans="2:9">
      <c r="B404" s="258"/>
      <c r="C404" s="259"/>
      <c r="D404" s="260"/>
      <c r="E404" s="259"/>
      <c r="F404" s="266"/>
      <c r="G404" s="190"/>
      <c r="H404" s="261"/>
      <c r="I404" s="262"/>
    </row>
    <row r="405" spans="2:9">
      <c r="B405" s="258"/>
      <c r="C405" s="259"/>
      <c r="D405" s="260"/>
      <c r="E405" s="259"/>
      <c r="F405" s="266"/>
      <c r="G405" s="190"/>
      <c r="H405" s="261"/>
      <c r="I405" s="262"/>
    </row>
    <row r="406" spans="2:9">
      <c r="B406" s="258"/>
      <c r="C406" s="259"/>
      <c r="D406" s="260"/>
      <c r="E406" s="259"/>
      <c r="F406" s="266"/>
      <c r="G406" s="190"/>
      <c r="H406" s="261"/>
      <c r="I406" s="262"/>
    </row>
    <row r="407" spans="2:9">
      <c r="B407" s="258"/>
      <c r="C407" s="259"/>
      <c r="D407" s="260"/>
      <c r="E407" s="259"/>
      <c r="F407" s="266"/>
      <c r="G407" s="190"/>
      <c r="H407" s="261"/>
      <c r="I407" s="262"/>
    </row>
    <row r="408" spans="2:9">
      <c r="B408" s="258"/>
      <c r="C408" s="259"/>
      <c r="D408" s="260"/>
      <c r="E408" s="259"/>
      <c r="F408" s="266"/>
      <c r="G408" s="190"/>
      <c r="H408" s="261"/>
      <c r="I408" s="262"/>
    </row>
    <row r="409" spans="2:9">
      <c r="B409" s="258"/>
      <c r="C409" s="259"/>
      <c r="D409" s="260"/>
      <c r="E409" s="259"/>
      <c r="F409" s="266"/>
      <c r="G409" s="190"/>
      <c r="H409" s="261"/>
      <c r="I409" s="262"/>
    </row>
    <row r="410" spans="2:9">
      <c r="B410" s="258"/>
      <c r="C410" s="259"/>
      <c r="D410" s="260"/>
      <c r="E410" s="259"/>
      <c r="F410" s="266"/>
      <c r="G410" s="190"/>
      <c r="H410" s="261"/>
      <c r="I410" s="262"/>
    </row>
    <row r="411" spans="2:9">
      <c r="B411" s="258"/>
      <c r="C411" s="259"/>
      <c r="D411" s="260"/>
      <c r="E411" s="259"/>
      <c r="F411" s="266"/>
      <c r="G411" s="190"/>
      <c r="H411" s="261"/>
      <c r="I411" s="262"/>
    </row>
    <row r="412" spans="2:9">
      <c r="B412" s="258"/>
      <c r="C412" s="259"/>
      <c r="D412" s="260"/>
      <c r="E412" s="259"/>
      <c r="F412" s="266"/>
      <c r="G412" s="190"/>
      <c r="H412" s="261"/>
      <c r="I412" s="262"/>
    </row>
    <row r="413" spans="2:9">
      <c r="B413" s="258"/>
      <c r="C413" s="259"/>
      <c r="D413" s="260"/>
      <c r="E413" s="259"/>
      <c r="F413" s="266"/>
      <c r="G413" s="190"/>
      <c r="H413" s="261"/>
      <c r="I413" s="262"/>
    </row>
    <row r="414" spans="2:9">
      <c r="B414" s="258"/>
      <c r="C414" s="259"/>
      <c r="D414" s="260"/>
      <c r="E414" s="259"/>
      <c r="F414" s="266"/>
      <c r="G414" s="190"/>
      <c r="H414" s="261"/>
      <c r="I414" s="262"/>
    </row>
    <row r="415" spans="2:9">
      <c r="B415" s="258"/>
      <c r="C415" s="259"/>
      <c r="D415" s="260"/>
      <c r="E415" s="259"/>
      <c r="F415" s="266"/>
      <c r="G415" s="190"/>
      <c r="H415" s="261"/>
      <c r="I415" s="262"/>
    </row>
    <row r="416" spans="2:9">
      <c r="B416" s="258"/>
      <c r="C416" s="259"/>
      <c r="D416" s="260"/>
      <c r="E416" s="259"/>
      <c r="F416" s="266"/>
      <c r="G416" s="190"/>
      <c r="H416" s="261"/>
      <c r="I416" s="262"/>
    </row>
    <row r="417" spans="2:9">
      <c r="B417" s="258"/>
      <c r="C417" s="259"/>
      <c r="D417" s="260"/>
      <c r="E417" s="259"/>
      <c r="F417" s="266"/>
      <c r="G417" s="190"/>
      <c r="H417" s="261"/>
      <c r="I417" s="262"/>
    </row>
    <row r="418" spans="2:9">
      <c r="B418" s="258"/>
      <c r="C418" s="259"/>
      <c r="D418" s="260"/>
      <c r="E418" s="259"/>
      <c r="F418" s="266"/>
      <c r="G418" s="190"/>
      <c r="H418" s="261"/>
      <c r="I418" s="262"/>
    </row>
    <row r="419" spans="2:9">
      <c r="B419" s="258"/>
      <c r="C419" s="259"/>
      <c r="D419" s="260"/>
      <c r="E419" s="259"/>
      <c r="F419" s="266"/>
      <c r="G419" s="190"/>
      <c r="H419" s="261"/>
      <c r="I419" s="262"/>
    </row>
    <row r="420" spans="2:9">
      <c r="B420" s="258"/>
      <c r="C420" s="259"/>
      <c r="D420" s="260"/>
      <c r="E420" s="259"/>
      <c r="F420" s="266"/>
      <c r="G420" s="190"/>
      <c r="H420" s="261"/>
      <c r="I420" s="262"/>
    </row>
    <row r="421" spans="2:9">
      <c r="B421" s="258"/>
      <c r="C421" s="259"/>
      <c r="D421" s="260"/>
      <c r="E421" s="259"/>
      <c r="F421" s="266"/>
      <c r="G421" s="190"/>
      <c r="H421" s="261"/>
      <c r="I421" s="262"/>
    </row>
    <row r="422" spans="2:9">
      <c r="B422" s="258"/>
      <c r="C422" s="259"/>
      <c r="D422" s="260"/>
      <c r="E422" s="259"/>
      <c r="F422" s="266"/>
      <c r="G422" s="190"/>
      <c r="H422" s="261"/>
      <c r="I422" s="262"/>
    </row>
    <row r="423" spans="2:9">
      <c r="B423" s="258"/>
      <c r="C423" s="259"/>
      <c r="D423" s="260"/>
      <c r="E423" s="259"/>
      <c r="F423" s="266"/>
      <c r="G423" s="190"/>
      <c r="H423" s="261"/>
      <c r="I423" s="262"/>
    </row>
    <row r="424" spans="2:9">
      <c r="B424" s="258"/>
      <c r="C424" s="259"/>
      <c r="D424" s="260"/>
      <c r="E424" s="259"/>
      <c r="F424" s="266"/>
      <c r="G424" s="190"/>
      <c r="H424" s="261"/>
      <c r="I424" s="262"/>
    </row>
    <row r="425" spans="2:9">
      <c r="B425" s="258"/>
      <c r="C425" s="259"/>
      <c r="D425" s="260"/>
      <c r="E425" s="259"/>
      <c r="F425" s="266"/>
      <c r="G425" s="190"/>
      <c r="H425" s="261"/>
      <c r="I425" s="262"/>
    </row>
    <row r="426" spans="2:9">
      <c r="B426" s="258"/>
      <c r="C426" s="259"/>
      <c r="D426" s="260"/>
      <c r="E426" s="259"/>
      <c r="F426" s="266"/>
      <c r="G426" s="190"/>
      <c r="H426" s="261"/>
      <c r="I426" s="262"/>
    </row>
    <row r="427" spans="2:9">
      <c r="B427" s="258"/>
      <c r="C427" s="259"/>
      <c r="D427" s="260"/>
      <c r="E427" s="259"/>
      <c r="F427" s="266"/>
      <c r="G427" s="190"/>
      <c r="H427" s="261"/>
      <c r="I427" s="262"/>
    </row>
    <row r="428" spans="2:9">
      <c r="B428" s="258"/>
      <c r="C428" s="259"/>
      <c r="D428" s="260"/>
      <c r="E428" s="259"/>
      <c r="F428" s="266"/>
      <c r="G428" s="190"/>
      <c r="H428" s="261"/>
      <c r="I428" s="262"/>
    </row>
    <row r="429" spans="2:9">
      <c r="B429" s="258"/>
      <c r="C429" s="259"/>
      <c r="D429" s="260"/>
      <c r="E429" s="259"/>
      <c r="F429" s="266"/>
      <c r="G429" s="190"/>
      <c r="H429" s="261"/>
      <c r="I429" s="262"/>
    </row>
    <row r="430" spans="2:9">
      <c r="B430" s="258"/>
      <c r="C430" s="259"/>
      <c r="D430" s="260"/>
      <c r="E430" s="259"/>
      <c r="F430" s="266"/>
      <c r="G430" s="190"/>
      <c r="H430" s="261"/>
      <c r="I430" s="262"/>
    </row>
    <row r="431" spans="2:9">
      <c r="B431" s="258"/>
      <c r="C431" s="259"/>
      <c r="D431" s="260"/>
      <c r="E431" s="259"/>
      <c r="F431" s="266"/>
      <c r="G431" s="190"/>
      <c r="H431" s="261"/>
      <c r="I431" s="262"/>
    </row>
    <row r="432" spans="2:9">
      <c r="B432" s="258"/>
      <c r="C432" s="259"/>
      <c r="D432" s="260"/>
      <c r="E432" s="259"/>
      <c r="F432" s="266"/>
      <c r="G432" s="190"/>
      <c r="H432" s="261"/>
      <c r="I432" s="262"/>
    </row>
    <row r="433" spans="2:9">
      <c r="B433" s="258"/>
      <c r="C433" s="259"/>
      <c r="D433" s="260"/>
      <c r="E433" s="259"/>
      <c r="F433" s="266"/>
      <c r="G433" s="190"/>
      <c r="H433" s="261"/>
      <c r="I433" s="262"/>
    </row>
    <row r="434" spans="2:9">
      <c r="B434" s="258"/>
      <c r="C434" s="259"/>
      <c r="D434" s="260"/>
      <c r="E434" s="259"/>
      <c r="F434" s="266"/>
      <c r="G434" s="190"/>
      <c r="H434" s="261"/>
      <c r="I434" s="262"/>
    </row>
    <row r="435" spans="2:9">
      <c r="B435" s="258"/>
      <c r="C435" s="259"/>
      <c r="D435" s="260"/>
      <c r="E435" s="259"/>
      <c r="F435" s="266"/>
      <c r="G435" s="190"/>
      <c r="H435" s="261"/>
      <c r="I435" s="262"/>
    </row>
    <row r="436" spans="2:9">
      <c r="B436" s="258"/>
      <c r="C436" s="259"/>
      <c r="D436" s="260"/>
      <c r="E436" s="259"/>
      <c r="F436" s="266"/>
      <c r="G436" s="190"/>
      <c r="H436" s="261"/>
      <c r="I436" s="262"/>
    </row>
    <row r="437" spans="2:9">
      <c r="B437" s="258"/>
      <c r="C437" s="259"/>
      <c r="D437" s="260"/>
      <c r="E437" s="259"/>
      <c r="F437" s="266"/>
      <c r="G437" s="190"/>
      <c r="H437" s="261"/>
      <c r="I437" s="262"/>
    </row>
    <row r="438" spans="2:9">
      <c r="B438" s="258"/>
      <c r="C438" s="259"/>
      <c r="D438" s="260"/>
      <c r="E438" s="259"/>
      <c r="F438" s="266"/>
      <c r="G438" s="190"/>
      <c r="H438" s="261"/>
      <c r="I438" s="262"/>
    </row>
    <row r="439" spans="2:9">
      <c r="B439" s="258"/>
      <c r="C439" s="259"/>
      <c r="D439" s="260"/>
      <c r="E439" s="259"/>
      <c r="F439" s="266"/>
      <c r="G439" s="190"/>
      <c r="H439" s="261"/>
      <c r="I439" s="262"/>
    </row>
    <row r="440" spans="2:9">
      <c r="B440" s="258"/>
      <c r="C440" s="259"/>
      <c r="D440" s="260"/>
      <c r="E440" s="259"/>
      <c r="F440" s="266"/>
      <c r="G440" s="190"/>
      <c r="H440" s="261"/>
      <c r="I440" s="262"/>
    </row>
    <row r="441" spans="2:9">
      <c r="B441" s="258"/>
      <c r="C441" s="259"/>
      <c r="D441" s="260"/>
      <c r="E441" s="259"/>
      <c r="F441" s="266"/>
      <c r="G441" s="190"/>
      <c r="H441" s="261"/>
      <c r="I441" s="262"/>
    </row>
    <row r="442" spans="2:9">
      <c r="B442" s="258"/>
      <c r="C442" s="259"/>
      <c r="D442" s="260"/>
      <c r="E442" s="259"/>
      <c r="F442" s="266"/>
      <c r="G442" s="190"/>
      <c r="H442" s="261"/>
      <c r="I442" s="262"/>
    </row>
    <row r="443" spans="2:9">
      <c r="B443" s="258"/>
      <c r="C443" s="259"/>
      <c r="D443" s="260"/>
      <c r="E443" s="259"/>
      <c r="F443" s="266"/>
      <c r="G443" s="190"/>
      <c r="H443" s="261"/>
      <c r="I443" s="262"/>
    </row>
    <row r="444" spans="2:9">
      <c r="B444" s="258"/>
      <c r="C444" s="259"/>
      <c r="D444" s="260"/>
      <c r="E444" s="259"/>
      <c r="F444" s="266"/>
      <c r="G444" s="190"/>
      <c r="H444" s="261"/>
      <c r="I444" s="262"/>
    </row>
    <row r="445" spans="2:9">
      <c r="B445" s="258"/>
      <c r="C445" s="259"/>
      <c r="D445" s="260"/>
      <c r="E445" s="259"/>
      <c r="F445" s="266"/>
      <c r="G445" s="190"/>
      <c r="H445" s="261"/>
      <c r="I445" s="262"/>
    </row>
    <row r="446" spans="2:9">
      <c r="B446" s="258"/>
      <c r="C446" s="259"/>
      <c r="D446" s="260"/>
      <c r="E446" s="259"/>
      <c r="F446" s="266"/>
      <c r="G446" s="190"/>
      <c r="H446" s="261"/>
      <c r="I446" s="262"/>
    </row>
    <row r="447" spans="2:9">
      <c r="B447" s="258"/>
      <c r="C447" s="259"/>
      <c r="D447" s="260"/>
      <c r="E447" s="259"/>
      <c r="F447" s="266"/>
      <c r="G447" s="190"/>
      <c r="H447" s="261"/>
      <c r="I447" s="262"/>
    </row>
    <row r="448" spans="2:9">
      <c r="B448" s="258"/>
      <c r="C448" s="259"/>
      <c r="D448" s="260"/>
      <c r="E448" s="259"/>
      <c r="F448" s="266"/>
      <c r="G448" s="190"/>
      <c r="H448" s="261"/>
      <c r="I448" s="262"/>
    </row>
    <row r="449" spans="2:9">
      <c r="B449" s="258"/>
      <c r="C449" s="259"/>
      <c r="D449" s="260"/>
      <c r="E449" s="259"/>
      <c r="F449" s="266"/>
      <c r="G449" s="190"/>
      <c r="H449" s="261"/>
      <c r="I449" s="262"/>
    </row>
    <row r="450" spans="2:9">
      <c r="B450" s="258"/>
      <c r="C450" s="259"/>
      <c r="D450" s="260"/>
      <c r="E450" s="259"/>
      <c r="F450" s="266"/>
      <c r="G450" s="190"/>
      <c r="H450" s="261"/>
      <c r="I450" s="262"/>
    </row>
    <row r="451" spans="2:9">
      <c r="B451" s="258"/>
      <c r="C451" s="259"/>
      <c r="D451" s="260"/>
      <c r="E451" s="259"/>
      <c r="F451" s="266"/>
      <c r="G451" s="190"/>
      <c r="H451" s="261"/>
      <c r="I451" s="262"/>
    </row>
    <row r="452" spans="2:9">
      <c r="B452" s="258"/>
      <c r="C452" s="259"/>
      <c r="D452" s="260"/>
      <c r="E452" s="259"/>
      <c r="F452" s="266"/>
      <c r="G452" s="190"/>
      <c r="H452" s="261"/>
      <c r="I452" s="262"/>
    </row>
    <row r="453" spans="2:9">
      <c r="B453" s="258"/>
      <c r="C453" s="259"/>
      <c r="D453" s="260"/>
      <c r="E453" s="259"/>
      <c r="F453" s="266"/>
      <c r="G453" s="190"/>
      <c r="H453" s="261"/>
      <c r="I453" s="262"/>
    </row>
    <row r="454" spans="2:9">
      <c r="B454" s="258"/>
      <c r="C454" s="259"/>
      <c r="D454" s="260"/>
      <c r="E454" s="259"/>
      <c r="F454" s="266"/>
      <c r="G454" s="190"/>
      <c r="H454" s="261"/>
      <c r="I454" s="262"/>
    </row>
    <row r="455" spans="2:9">
      <c r="B455" s="258"/>
      <c r="C455" s="259"/>
      <c r="D455" s="260"/>
      <c r="E455" s="259"/>
      <c r="F455" s="266"/>
      <c r="G455" s="190"/>
      <c r="H455" s="261"/>
      <c r="I455" s="262"/>
    </row>
    <row r="456" spans="2:9">
      <c r="B456" s="258"/>
      <c r="C456" s="259"/>
      <c r="D456" s="260"/>
      <c r="E456" s="259"/>
      <c r="F456" s="266"/>
      <c r="G456" s="190"/>
      <c r="H456" s="261"/>
      <c r="I456" s="262"/>
    </row>
    <row r="457" spans="2:9">
      <c r="B457" s="258"/>
      <c r="C457" s="259"/>
      <c r="D457" s="260"/>
      <c r="E457" s="259"/>
      <c r="F457" s="266"/>
      <c r="G457" s="190"/>
      <c r="H457" s="261"/>
      <c r="I457" s="262"/>
    </row>
    <row r="458" spans="2:9">
      <c r="B458" s="258"/>
      <c r="C458" s="259"/>
      <c r="D458" s="260"/>
      <c r="E458" s="259"/>
      <c r="F458" s="266"/>
      <c r="G458" s="190"/>
      <c r="H458" s="261"/>
      <c r="I458" s="262"/>
    </row>
    <row r="459" spans="2:9">
      <c r="B459" s="258"/>
      <c r="C459" s="259"/>
      <c r="D459" s="260"/>
      <c r="E459" s="259"/>
      <c r="F459" s="266"/>
      <c r="G459" s="190"/>
      <c r="H459" s="261"/>
      <c r="I459" s="262"/>
    </row>
    <row r="460" spans="2:9">
      <c r="B460" s="258"/>
      <c r="C460" s="259"/>
      <c r="D460" s="260"/>
      <c r="E460" s="259"/>
      <c r="F460" s="266"/>
      <c r="G460" s="190"/>
      <c r="H460" s="261"/>
      <c r="I460" s="262"/>
    </row>
    <row r="461" spans="2:9">
      <c r="B461" s="258"/>
      <c r="C461" s="259"/>
      <c r="D461" s="260"/>
      <c r="E461" s="259"/>
      <c r="F461" s="266"/>
      <c r="G461" s="190"/>
      <c r="H461" s="261"/>
      <c r="I461" s="262"/>
    </row>
    <row r="462" spans="2:9">
      <c r="B462" s="258"/>
      <c r="C462" s="259"/>
      <c r="D462" s="260"/>
      <c r="E462" s="259"/>
      <c r="F462" s="266"/>
      <c r="G462" s="190"/>
      <c r="H462" s="261"/>
      <c r="I462" s="262"/>
    </row>
    <row r="463" spans="2:9">
      <c r="B463" s="258"/>
      <c r="C463" s="259"/>
      <c r="D463" s="260"/>
      <c r="E463" s="259"/>
      <c r="F463" s="266"/>
      <c r="G463" s="190"/>
      <c r="H463" s="261"/>
      <c r="I463" s="262"/>
    </row>
    <row r="464" spans="2:9">
      <c r="B464" s="258"/>
      <c r="C464" s="259"/>
      <c r="D464" s="260"/>
      <c r="E464" s="259"/>
      <c r="F464" s="266"/>
      <c r="G464" s="190"/>
      <c r="H464" s="261"/>
      <c r="I464" s="262"/>
    </row>
    <row r="465" spans="2:9">
      <c r="B465" s="258"/>
      <c r="C465" s="259"/>
      <c r="D465" s="260"/>
      <c r="E465" s="259"/>
      <c r="F465" s="266"/>
      <c r="G465" s="190"/>
      <c r="H465" s="261"/>
      <c r="I465" s="262"/>
    </row>
    <row r="466" spans="2:9">
      <c r="B466" s="258"/>
      <c r="C466" s="259"/>
      <c r="D466" s="260"/>
      <c r="E466" s="259"/>
      <c r="F466" s="266"/>
      <c r="G466" s="190"/>
      <c r="H466" s="261"/>
      <c r="I466" s="262"/>
    </row>
    <row r="467" spans="2:9">
      <c r="B467" s="258"/>
      <c r="C467" s="259"/>
      <c r="D467" s="260"/>
      <c r="E467" s="259"/>
      <c r="F467" s="266"/>
      <c r="G467" s="190"/>
      <c r="H467" s="261"/>
      <c r="I467" s="262"/>
    </row>
    <row r="468" spans="2:9">
      <c r="B468" s="258"/>
      <c r="C468" s="259"/>
      <c r="D468" s="260"/>
      <c r="E468" s="259"/>
      <c r="F468" s="266"/>
      <c r="G468" s="190"/>
      <c r="H468" s="261"/>
      <c r="I468" s="262"/>
    </row>
    <row r="469" spans="2:9">
      <c r="B469" s="258"/>
      <c r="C469" s="259"/>
      <c r="D469" s="260"/>
      <c r="E469" s="259"/>
      <c r="F469" s="266"/>
      <c r="G469" s="190"/>
      <c r="H469" s="261"/>
      <c r="I469" s="262"/>
    </row>
    <row r="470" spans="2:9">
      <c r="B470" s="258"/>
      <c r="C470" s="259"/>
      <c r="D470" s="260"/>
      <c r="E470" s="259"/>
      <c r="F470" s="266"/>
      <c r="G470" s="190"/>
      <c r="H470" s="261"/>
      <c r="I470" s="262"/>
    </row>
    <row r="471" spans="2:9">
      <c r="B471" s="258"/>
      <c r="C471" s="259"/>
      <c r="D471" s="260"/>
      <c r="E471" s="259"/>
      <c r="F471" s="266"/>
      <c r="G471" s="190"/>
      <c r="H471" s="261"/>
      <c r="I471" s="262"/>
    </row>
    <row r="472" spans="2:9">
      <c r="B472" s="258"/>
      <c r="C472" s="259"/>
      <c r="D472" s="260"/>
      <c r="E472" s="259"/>
      <c r="F472" s="266"/>
      <c r="G472" s="190"/>
      <c r="H472" s="261"/>
      <c r="I472" s="262"/>
    </row>
    <row r="473" spans="2:9">
      <c r="B473" s="258"/>
      <c r="C473" s="259"/>
      <c r="D473" s="260"/>
      <c r="E473" s="259"/>
      <c r="F473" s="266"/>
      <c r="G473" s="190"/>
      <c r="H473" s="261"/>
      <c r="I473" s="262"/>
    </row>
    <row r="474" spans="2:9">
      <c r="B474" s="258"/>
      <c r="C474" s="259"/>
      <c r="D474" s="260"/>
      <c r="E474" s="259"/>
      <c r="F474" s="266"/>
      <c r="G474" s="190"/>
      <c r="H474" s="261"/>
      <c r="I474" s="262"/>
    </row>
    <row r="475" spans="2:9">
      <c r="B475" s="258"/>
      <c r="C475" s="259"/>
      <c r="D475" s="260"/>
      <c r="E475" s="259"/>
      <c r="F475" s="266"/>
      <c r="G475" s="190"/>
      <c r="H475" s="261"/>
      <c r="I475" s="262"/>
    </row>
    <row r="476" spans="2:9">
      <c r="B476" s="258"/>
      <c r="C476" s="259"/>
      <c r="D476" s="260"/>
      <c r="E476" s="259"/>
      <c r="F476" s="266"/>
      <c r="G476" s="190"/>
      <c r="H476" s="261"/>
      <c r="I476" s="262"/>
    </row>
    <row r="477" spans="2:9">
      <c r="B477" s="258"/>
      <c r="C477" s="259"/>
      <c r="D477" s="260"/>
      <c r="E477" s="259"/>
      <c r="F477" s="266"/>
      <c r="G477" s="190"/>
      <c r="H477" s="261"/>
      <c r="I477" s="262"/>
    </row>
    <row r="478" spans="2:9">
      <c r="B478" s="258"/>
      <c r="C478" s="259"/>
      <c r="D478" s="260"/>
      <c r="E478" s="259"/>
      <c r="F478" s="266"/>
      <c r="G478" s="190"/>
      <c r="H478" s="261"/>
      <c r="I478" s="262"/>
    </row>
    <row r="479" spans="2:9">
      <c r="B479" s="258"/>
      <c r="C479" s="259"/>
      <c r="D479" s="260"/>
      <c r="E479" s="259"/>
      <c r="F479" s="266"/>
      <c r="G479" s="190"/>
      <c r="H479" s="261"/>
      <c r="I479" s="262"/>
    </row>
    <row r="480" spans="2:9">
      <c r="B480" s="258"/>
      <c r="C480" s="259"/>
      <c r="D480" s="260"/>
      <c r="E480" s="259"/>
      <c r="F480" s="266"/>
      <c r="G480" s="190"/>
      <c r="H480" s="261"/>
      <c r="I480" s="262"/>
    </row>
    <row r="481" spans="2:9">
      <c r="B481" s="258"/>
      <c r="C481" s="259"/>
      <c r="D481" s="260"/>
      <c r="E481" s="259"/>
      <c r="F481" s="266"/>
      <c r="G481" s="190"/>
      <c r="H481" s="261"/>
      <c r="I481" s="262"/>
    </row>
    <row r="482" spans="2:9">
      <c r="B482" s="258"/>
      <c r="C482" s="259"/>
      <c r="D482" s="260"/>
      <c r="E482" s="259"/>
      <c r="F482" s="266"/>
      <c r="G482" s="190"/>
      <c r="H482" s="261"/>
      <c r="I482" s="262"/>
    </row>
    <row r="483" spans="2:9">
      <c r="B483" s="258"/>
      <c r="C483" s="259"/>
      <c r="D483" s="260"/>
      <c r="E483" s="259"/>
      <c r="F483" s="266"/>
      <c r="G483" s="190"/>
      <c r="H483" s="261"/>
      <c r="I483" s="262"/>
    </row>
    <row r="484" spans="2:9">
      <c r="B484" s="258"/>
      <c r="C484" s="259"/>
      <c r="D484" s="260"/>
      <c r="E484" s="259"/>
      <c r="F484" s="266"/>
      <c r="G484" s="190"/>
      <c r="H484" s="261"/>
      <c r="I484" s="262"/>
    </row>
    <row r="485" spans="2:9">
      <c r="B485" s="258"/>
      <c r="C485" s="259"/>
      <c r="D485" s="260"/>
      <c r="E485" s="259"/>
      <c r="F485" s="266"/>
      <c r="G485" s="190"/>
      <c r="H485" s="261"/>
      <c r="I485" s="262"/>
    </row>
    <row r="486" spans="2:9">
      <c r="B486" s="258"/>
      <c r="C486" s="259"/>
      <c r="D486" s="260"/>
      <c r="E486" s="259"/>
      <c r="F486" s="266"/>
      <c r="G486" s="190"/>
      <c r="H486" s="261"/>
      <c r="I486" s="262"/>
    </row>
    <row r="487" spans="2:9">
      <c r="B487" s="258"/>
      <c r="C487" s="259"/>
      <c r="D487" s="260"/>
      <c r="E487" s="259"/>
      <c r="F487" s="266"/>
      <c r="G487" s="190"/>
      <c r="H487" s="261"/>
      <c r="I487" s="262"/>
    </row>
    <row r="488" spans="2:9">
      <c r="B488" s="258"/>
      <c r="C488" s="259"/>
      <c r="D488" s="260"/>
      <c r="E488" s="259"/>
      <c r="F488" s="266"/>
      <c r="G488" s="190"/>
      <c r="H488" s="261"/>
      <c r="I488" s="26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0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1" t="str">
        <f>Indice!E3</f>
        <v>Marzo 2023</v>
      </c>
    </row>
    <row r="4" spans="1:19" s="7" customFormat="1" ht="20.25" customHeight="1">
      <c r="B4" s="8"/>
      <c r="C4" s="99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8" t="s">
        <v>63</v>
      </c>
      <c r="D7" s="12"/>
      <c r="E7" s="13"/>
      <c r="F7" s="299" t="str">
        <f>K3</f>
        <v>Marzo 2023</v>
      </c>
      <c r="G7" s="300"/>
      <c r="H7" s="301" t="s">
        <v>64</v>
      </c>
      <c r="I7" s="301"/>
      <c r="J7" s="301" t="s">
        <v>71</v>
      </c>
      <c r="K7" s="301"/>
      <c r="L7" s="9"/>
    </row>
    <row r="8" spans="1:19" ht="12.75" customHeight="1">
      <c r="A8" s="7"/>
      <c r="B8" s="8"/>
      <c r="C8" s="298"/>
      <c r="D8" s="12"/>
      <c r="E8" s="14"/>
      <c r="F8" s="15" t="s">
        <v>0</v>
      </c>
      <c r="G8" s="25" t="str">
        <f>CONCATENATE("% ",MID(YEAR(F7),3,2),"/",MID(YEAR(F7)-1,3,2))</f>
        <v>% 23/22</v>
      </c>
      <c r="H8" s="15" t="s">
        <v>0</v>
      </c>
      <c r="I8" s="25" t="str">
        <f>G8</f>
        <v>% 23/22</v>
      </c>
      <c r="J8" s="15" t="s">
        <v>0</v>
      </c>
      <c r="K8" s="25" t="str">
        <f>G8</f>
        <v>% 23/22</v>
      </c>
      <c r="L8" s="16"/>
    </row>
    <row r="9" spans="1:19">
      <c r="A9" s="7"/>
      <c r="B9" s="8"/>
      <c r="C9" s="18"/>
      <c r="D9" s="12"/>
      <c r="E9" s="87" t="s">
        <v>2</v>
      </c>
      <c r="F9" s="88">
        <f>VLOOKUP("Hidráulica",Dat_01!$A$8:$J$29,2,FALSE)/1000</f>
        <v>2039.877995889</v>
      </c>
      <c r="G9" s="89">
        <f>VLOOKUP("Hidráulica",Dat_01!$A$8:$J$29,4,FALSE)*100</f>
        <v>15.605934499999998</v>
      </c>
      <c r="H9" s="88">
        <f>VLOOKUP("Hidráulica",Dat_01!$A$8:$J$29,5,FALSE)/1000</f>
        <v>8344.4548244230009</v>
      </c>
      <c r="I9" s="89">
        <f>VLOOKUP("Hidráulica",Dat_01!$A$8:$J$29,7,FALSE)*100</f>
        <v>66.065656090000004</v>
      </c>
      <c r="J9" s="88">
        <f>VLOOKUP("Hidráulica",Dat_01!$A$8:$J$29,8,FALSE)/1000</f>
        <v>21179.270475641999</v>
      </c>
      <c r="K9" s="89">
        <f>VLOOKUP("Hidráulica",Dat_01!$A$8:$J$29,10,FALSE)*100</f>
        <v>-5.2730512899999997</v>
      </c>
      <c r="L9" s="19"/>
      <c r="M9" s="171"/>
      <c r="N9" s="171"/>
      <c r="O9" s="172"/>
      <c r="P9" s="171"/>
      <c r="Q9" s="172"/>
      <c r="R9" s="171"/>
      <c r="S9" s="172"/>
    </row>
    <row r="10" spans="1:19">
      <c r="A10" s="7"/>
      <c r="B10" s="8"/>
      <c r="C10" s="18"/>
      <c r="D10" s="12"/>
      <c r="E10" s="87" t="s">
        <v>5</v>
      </c>
      <c r="F10" s="88">
        <f>VLOOKUP("Eólica",Dat_01!$A$8:$J$29,2,FALSE)/1000</f>
        <v>6561.4920899999997</v>
      </c>
      <c r="G10" s="89">
        <f>VLOOKUP("Eólica",Dat_01!$A$8:$J$29,4,FALSE)*100</f>
        <v>2.2248271499999999</v>
      </c>
      <c r="H10" s="88">
        <f>VLOOKUP("Eólica",Dat_01!$A$8:$J$29,5,FALSE)/1000</f>
        <v>18512.755159</v>
      </c>
      <c r="I10" s="89">
        <f>VLOOKUP("Eólica",Dat_01!$A$8:$J$29,7,FALSE)*100</f>
        <v>12.9040386</v>
      </c>
      <c r="J10" s="88">
        <f>VLOOKUP("Eólica",Dat_01!$A$8:$J$29,8,FALSE)/1000</f>
        <v>61921.256719999998</v>
      </c>
      <c r="K10" s="89">
        <f>VLOOKUP("Eólica",Dat_01!$A$8:$J$29,10,FALSE)*100</f>
        <v>8.968713600000001</v>
      </c>
      <c r="L10" s="19"/>
      <c r="M10" s="171"/>
      <c r="N10" s="171"/>
      <c r="O10" s="172"/>
      <c r="P10" s="171"/>
      <c r="Q10" s="172"/>
      <c r="R10" s="171"/>
      <c r="S10" s="172"/>
    </row>
    <row r="11" spans="1:19">
      <c r="A11" s="7"/>
      <c r="B11" s="8"/>
      <c r="C11" s="11"/>
      <c r="D11" s="12"/>
      <c r="E11" s="87" t="s">
        <v>6</v>
      </c>
      <c r="F11" s="88">
        <f>VLOOKUP("Solar fotovoltaica",Dat_01!$A$8:$J$29,2,FALSE)/1000</f>
        <v>3049.4190860000003</v>
      </c>
      <c r="G11" s="89">
        <f>VLOOKUP("Solar fotovoltaica",Dat_01!$A$8:$J$29,4,FALSE)*100</f>
        <v>115.26361473999999</v>
      </c>
      <c r="H11" s="88">
        <f>VLOOKUP("Solar fotovoltaica",Dat_01!$A$8:$J$29,5,FALSE)/1000</f>
        <v>6712.1016679999993</v>
      </c>
      <c r="I11" s="89">
        <f>VLOOKUP("Solar fotovoltaica",Dat_01!$A$8:$J$29,7,FALSE)*100</f>
        <v>45.60934159</v>
      </c>
      <c r="J11" s="88">
        <f>VLOOKUP("Solar fotovoltaica",Dat_01!$A$8:$J$29,8,FALSE)/1000</f>
        <v>29385.234658000001</v>
      </c>
      <c r="K11" s="89">
        <f>VLOOKUP("Solar fotovoltaica",Dat_01!$A$8:$J$29,10,FALSE)*100</f>
        <v>35.294839469999999</v>
      </c>
      <c r="L11" s="19"/>
      <c r="M11" s="171"/>
      <c r="N11" s="171"/>
      <c r="O11" s="172"/>
      <c r="P11" s="171"/>
      <c r="Q11" s="172"/>
      <c r="R11" s="171"/>
      <c r="S11" s="172"/>
    </row>
    <row r="12" spans="1:19">
      <c r="A12" s="7"/>
      <c r="B12" s="8"/>
      <c r="C12" s="11"/>
      <c r="D12" s="12"/>
      <c r="E12" s="87" t="s">
        <v>7</v>
      </c>
      <c r="F12" s="88">
        <f>VLOOKUP("Solar térmica",Dat_01!$A$8:$J$29,2,FALSE)/1000</f>
        <v>409.577922</v>
      </c>
      <c r="G12" s="89">
        <f>VLOOKUP("Solar térmica",Dat_01!$A$8:$J$29,4,FALSE)*100</f>
        <v>239.70593482000001</v>
      </c>
      <c r="H12" s="88">
        <f>VLOOKUP("Solar térmica",Dat_01!$A$8:$J$29,5,FALSE)/1000</f>
        <v>707.87384799999995</v>
      </c>
      <c r="I12" s="89">
        <f>VLOOKUP("Solar térmica",Dat_01!$A$8:$J$29,7,FALSE)*100</f>
        <v>41.648546679999995</v>
      </c>
      <c r="J12" s="88">
        <f>VLOOKUP("Solar térmica",Dat_01!$A$8:$J$29,8,FALSE)/1000</f>
        <v>4331.4096460000001</v>
      </c>
      <c r="K12" s="89">
        <f>VLOOKUP("Solar térmica",Dat_01!$A$8:$J$29,10,FALSE)*100</f>
        <v>-6.0316307199999999</v>
      </c>
      <c r="L12" s="19"/>
      <c r="M12" s="171"/>
      <c r="N12" s="171"/>
      <c r="O12" s="172"/>
      <c r="P12" s="171"/>
      <c r="Q12" s="172"/>
      <c r="R12" s="171"/>
      <c r="S12" s="172"/>
    </row>
    <row r="13" spans="1:19">
      <c r="A13" s="7"/>
      <c r="B13" s="8"/>
      <c r="C13" s="20"/>
      <c r="D13" s="12"/>
      <c r="E13" s="87" t="s">
        <v>150</v>
      </c>
      <c r="F13" s="88">
        <f>VLOOKUP("Otras renovables",Dat_01!$A$8:$J$29,2,FALSE)/1000</f>
        <v>306.82023900000002</v>
      </c>
      <c r="G13" s="89">
        <f>VLOOKUP("Otras renovables",Dat_01!$A$8:$J$29,4,FALSE)*100</f>
        <v>-27.411858709999997</v>
      </c>
      <c r="H13" s="88">
        <f>VLOOKUP("Otras renovables",Dat_01!$A$8:$J$29,5,FALSE)/1000</f>
        <v>951.20567700000004</v>
      </c>
      <c r="I13" s="89">
        <f>VLOOKUP("Otras renovables",Dat_01!$A$8:$J$29,7,FALSE)*100</f>
        <v>-22.2944344</v>
      </c>
      <c r="J13" s="88">
        <f>VLOOKUP("Otras renovables",Dat_01!$A$8:$J$29,8,FALSE)/1000</f>
        <v>4372.6805539999996</v>
      </c>
      <c r="K13" s="89">
        <f>VLOOKUP("Otras renovables",Dat_01!$A$8:$J$29,10,FALSE)*100</f>
        <v>-9.3037899199999998</v>
      </c>
      <c r="L13" s="19"/>
      <c r="M13" s="171"/>
      <c r="N13" s="171"/>
      <c r="O13" s="172"/>
      <c r="P13" s="171"/>
      <c r="Q13" s="172"/>
      <c r="R13" s="171"/>
      <c r="S13" s="172"/>
    </row>
    <row r="14" spans="1:19" ht="12.75" customHeight="1">
      <c r="A14" s="7"/>
      <c r="B14" s="8"/>
      <c r="C14" s="11"/>
      <c r="D14" s="12"/>
      <c r="E14" s="87" t="s">
        <v>82</v>
      </c>
      <c r="F14" s="88">
        <f>VLOOKUP("Residuos renovables",Dat_01!$A$8:$J$29,2,FALSE)/1000</f>
        <v>62.238713499999996</v>
      </c>
      <c r="G14" s="89">
        <f>VLOOKUP("Residuos renovables",Dat_01!$A$8:$J$29,4,FALSE)*100</f>
        <v>-13.531225790000001</v>
      </c>
      <c r="H14" s="88">
        <f>VLOOKUP("Residuos renovables",Dat_01!$A$8:$J$29,5,FALSE)/1000</f>
        <v>184.22969800000001</v>
      </c>
      <c r="I14" s="89">
        <f>VLOOKUP("Residuos renovables",Dat_01!$A$8:$J$29,7,FALSE)*100</f>
        <v>-11.36848541</v>
      </c>
      <c r="J14" s="88">
        <f>VLOOKUP("Residuos renovables",Dat_01!$A$8:$J$29,8,FALSE)/1000</f>
        <v>715.16839000000004</v>
      </c>
      <c r="K14" s="89">
        <f>VLOOKUP("Residuos renovables",Dat_01!$A$8:$J$29,10,FALSE)*100</f>
        <v>-9.1195516399999992</v>
      </c>
      <c r="L14" s="19"/>
      <c r="M14" s="171"/>
      <c r="N14" s="171"/>
      <c r="O14" s="172"/>
      <c r="P14" s="171"/>
      <c r="Q14" s="172"/>
      <c r="R14" s="171"/>
      <c r="S14" s="172"/>
    </row>
    <row r="15" spans="1:19" ht="12.75" customHeight="1">
      <c r="A15" s="7"/>
      <c r="B15" s="8"/>
      <c r="C15" s="11"/>
      <c r="D15" s="12"/>
      <c r="E15" s="90" t="s">
        <v>148</v>
      </c>
      <c r="F15" s="91">
        <f>SUM(F9:F14)</f>
        <v>12429.426046389002</v>
      </c>
      <c r="G15" s="92">
        <f>((SUM(Dat_01!B8,Dat_01!B14:B17,Dat_01!B19)/SUM(Dat_01!C8,Dat_01!C14:C17,Dat_01!C19))-1)*100</f>
        <v>21.677848752135898</v>
      </c>
      <c r="H15" s="91">
        <f>SUM(H9:H14)</f>
        <v>35412.62087442301</v>
      </c>
      <c r="I15" s="92">
        <f>((SUM(Dat_01!E8,Dat_01!E14:E17,Dat_01!E19)/SUM(Dat_01!F8,Dat_01!F14:F17,Dat_01!F19))-1)*100</f>
        <v>26.640696110592611</v>
      </c>
      <c r="J15" s="91">
        <f>SUM(J9:J14)</f>
        <v>121905.02044364202</v>
      </c>
      <c r="K15" s="92">
        <f>((SUM(Dat_01!H8,Dat_01!H14:H17,Dat_01!H19)/SUM(Dat_01!I8,Dat_01!I14:I17,Dat_01!I19))-1)*100</f>
        <v>9.7056974553522135</v>
      </c>
      <c r="L15" s="19"/>
      <c r="M15" s="171"/>
      <c r="N15" s="171"/>
      <c r="O15" s="172"/>
      <c r="P15" s="171"/>
      <c r="Q15" s="172"/>
      <c r="R15" s="171"/>
      <c r="S15" s="172"/>
    </row>
    <row r="16" spans="1:19">
      <c r="A16" s="7"/>
      <c r="B16" s="8"/>
      <c r="C16" s="11"/>
      <c r="D16" s="12"/>
      <c r="E16" s="87" t="s">
        <v>152</v>
      </c>
      <c r="F16" s="88">
        <f>VLOOKUP("Turbinación bombeo",Dat_01!$A$8:$J$29,2,FALSE)/1000</f>
        <v>540.07979424799998</v>
      </c>
      <c r="G16" s="89">
        <f>VLOOKUP("Turbinación bombeo",Dat_01!$A$8:$J$29,4,FALSE)*100</f>
        <v>97.218710060000006</v>
      </c>
      <c r="H16" s="88">
        <f>VLOOKUP("Turbinación bombeo",Dat_01!$A$8:$J$29,5,FALSE)/1000</f>
        <v>1343.74843345</v>
      </c>
      <c r="I16" s="89">
        <f>VLOOKUP("Turbinación bombeo",Dat_01!$A$8:$J$29,7,FALSE)*100</f>
        <v>73.484083139999996</v>
      </c>
      <c r="J16" s="88">
        <f>VLOOKUP("Turbinación bombeo",Dat_01!$A$8:$J$29,8,FALSE)/1000</f>
        <v>4344.7495145810008</v>
      </c>
      <c r="K16" s="89">
        <f>VLOOKUP("Turbinación bombeo",Dat_01!$A$8:$J$29,10,FALSE)*100</f>
        <v>83.224509459999993</v>
      </c>
      <c r="L16" s="19"/>
      <c r="M16" s="171"/>
      <c r="N16" s="171"/>
      <c r="O16" s="172"/>
      <c r="P16" s="171"/>
      <c r="Q16" s="172"/>
      <c r="R16" s="171"/>
      <c r="S16" s="172"/>
    </row>
    <row r="17" spans="1:19">
      <c r="A17" s="7"/>
      <c r="B17" s="8"/>
      <c r="C17" s="11"/>
      <c r="D17" s="12"/>
      <c r="E17" s="87" t="s">
        <v>3</v>
      </c>
      <c r="F17" s="88">
        <f>VLOOKUP("Nuclear",Dat_01!$A$8:$J$29,2,FALSE)/1000</f>
        <v>5102.2896650000002</v>
      </c>
      <c r="G17" s="89">
        <f>VLOOKUP("Nuclear",Dat_01!$A$8:$J$29,4,FALSE)*100</f>
        <v>7.0405167799999999</v>
      </c>
      <c r="H17" s="88">
        <f>VLOOKUP("Nuclear",Dat_01!$A$8:$J$29,5,FALSE)/1000</f>
        <v>14787.01297</v>
      </c>
      <c r="I17" s="89">
        <f>VLOOKUP("Nuclear",Dat_01!$A$8:$J$29,7,FALSE)*100</f>
        <v>1.3769183600000001</v>
      </c>
      <c r="J17" s="88">
        <f>VLOOKUP("Nuclear",Dat_01!$A$8:$J$29,8,FALSE)/1000</f>
        <v>56184.339961000005</v>
      </c>
      <c r="K17" s="89">
        <f>VLOOKUP("Nuclear",Dat_01!$A$8:$J$29,10,FALSE)*100</f>
        <v>3.5925808799999999</v>
      </c>
      <c r="L17" s="19"/>
      <c r="M17" s="171"/>
      <c r="N17" s="171"/>
      <c r="O17" s="172"/>
      <c r="P17" s="171"/>
      <c r="Q17" s="172"/>
      <c r="R17" s="171"/>
      <c r="S17" s="172"/>
    </row>
    <row r="18" spans="1:19">
      <c r="A18" s="7"/>
      <c r="B18" s="8"/>
      <c r="C18" s="11"/>
      <c r="D18" s="12"/>
      <c r="E18" s="87" t="s">
        <v>154</v>
      </c>
      <c r="F18" s="88">
        <f>VLOOKUP("Ciclo combinado",Dat_01!$A$8:$J$29,2,FALSE)/1000</f>
        <v>2596.673096</v>
      </c>
      <c r="G18" s="89">
        <f>VLOOKUP("Ciclo combinado",Dat_01!$A$8:$J$29,4,FALSE)*100</f>
        <v>-20.19275142</v>
      </c>
      <c r="H18" s="88">
        <f>VLOOKUP("Ciclo combinado",Dat_01!$A$8:$J$29,5,FALSE)/1000</f>
        <v>8617.2336779999987</v>
      </c>
      <c r="I18" s="89">
        <f>VLOOKUP("Ciclo combinado",Dat_01!$A$8:$J$29,7,FALSE)*100</f>
        <v>-31.276272770000002</v>
      </c>
      <c r="J18" s="88">
        <f>VLOOKUP("Ciclo combinado",Dat_01!$A$8:$J$29,8,FALSE)/1000</f>
        <v>56640.140128999999</v>
      </c>
      <c r="K18" s="89">
        <f>VLOOKUP("Ciclo combinado",Dat_01!$A$8:$J$29,10,FALSE)*100</f>
        <v>25.304419190000001</v>
      </c>
      <c r="L18" s="19"/>
      <c r="M18" s="171"/>
      <c r="N18" s="171"/>
      <c r="O18" s="172"/>
      <c r="P18" s="171"/>
      <c r="Q18" s="172"/>
      <c r="R18" s="171"/>
      <c r="S18" s="172"/>
    </row>
    <row r="19" spans="1:19">
      <c r="A19" s="7"/>
      <c r="B19" s="8"/>
      <c r="C19" s="11"/>
      <c r="D19" s="12"/>
      <c r="E19" s="87" t="s">
        <v>4</v>
      </c>
      <c r="F19" s="88">
        <f>VLOOKUP("Carbón",Dat_01!$A$8:$J$29,2,FALSE)/1000</f>
        <v>424.61757400000005</v>
      </c>
      <c r="G19" s="89">
        <f>VLOOKUP("Carbón",Dat_01!$A$8:$J$29,4,FALSE)*100</f>
        <v>-39.846921260000002</v>
      </c>
      <c r="H19" s="88">
        <f>VLOOKUP("Carbón",Dat_01!$A$8:$J$29,5,FALSE)/1000</f>
        <v>1140.209411</v>
      </c>
      <c r="I19" s="89">
        <f>VLOOKUP("Carbón",Dat_01!$A$8:$J$29,7,FALSE)*100</f>
        <v>-42.578834300000004</v>
      </c>
      <c r="J19" s="88">
        <f>VLOOKUP("Carbón",Dat_01!$A$8:$J$29,8,FALSE)/1000</f>
        <v>6841.0668720000003</v>
      </c>
      <c r="K19" s="89">
        <f>VLOOKUP("Carbón",Dat_01!$A$8:$J$29,10,FALSE)*100</f>
        <v>15.05386689</v>
      </c>
      <c r="L19" s="19"/>
      <c r="M19" s="171"/>
      <c r="N19" s="171"/>
      <c r="O19" s="172"/>
      <c r="P19" s="171"/>
      <c r="Q19" s="172"/>
      <c r="R19" s="171"/>
      <c r="S19" s="172"/>
    </row>
    <row r="20" spans="1:19">
      <c r="A20" s="7"/>
      <c r="B20" s="8"/>
      <c r="C20" s="156">
        <f>ABS(F14)</f>
        <v>62.238713499999996</v>
      </c>
      <c r="D20" s="12"/>
      <c r="E20" s="87" t="s">
        <v>9</v>
      </c>
      <c r="F20" s="88">
        <f>VLOOKUP("Cogeneración",Dat_01!$A$8:$J$29,2,FALSE)/1000</f>
        <v>1694.13301</v>
      </c>
      <c r="G20" s="89">
        <f>VLOOKUP("Cogeneración",Dat_01!$A$8:$J$29,4,FALSE)*100</f>
        <v>-23.448479890000002</v>
      </c>
      <c r="H20" s="88">
        <f>VLOOKUP("Cogeneración",Dat_01!$A$8:$J$29,5,FALSE)/1000</f>
        <v>4602.3178790000002</v>
      </c>
      <c r="I20" s="89">
        <f>VLOOKUP("Cogeneración",Dat_01!$A$8:$J$29,7,FALSE)*100</f>
        <v>-28.907100749999998</v>
      </c>
      <c r="J20" s="88">
        <f>VLOOKUP("Cogeneración",Dat_01!$A$8:$J$29,8,FALSE)/1000</f>
        <v>15860.275345</v>
      </c>
      <c r="K20" s="89">
        <f>VLOOKUP("Cogeneración",Dat_01!$A$8:$J$29,10,FALSE)*100</f>
        <v>-39.085283589999996</v>
      </c>
      <c r="L20" s="19"/>
      <c r="M20" s="171"/>
      <c r="N20" s="171"/>
      <c r="O20" s="172"/>
      <c r="P20" s="171"/>
      <c r="Q20" s="172"/>
      <c r="R20" s="171"/>
      <c r="S20" s="172"/>
    </row>
    <row r="21" spans="1:19">
      <c r="A21" s="7"/>
      <c r="B21" s="8"/>
      <c r="C21" s="11"/>
      <c r="D21" s="12"/>
      <c r="E21" s="87" t="s">
        <v>70</v>
      </c>
      <c r="F21" s="88">
        <f>VLOOKUP("Residuos no renovables",Dat_01!$A$8:$J$29,2,FALSE)/1000</f>
        <v>110.4263425</v>
      </c>
      <c r="G21" s="89">
        <f>VLOOKUP("Residuos no renovables",Dat_01!$A$8:$J$29,4,FALSE)*100</f>
        <v>-36.501773329999999</v>
      </c>
      <c r="H21" s="88">
        <f>VLOOKUP("Residuos no renovables",Dat_01!$A$8:$J$29,5,FALSE)/1000</f>
        <v>307.39284999999995</v>
      </c>
      <c r="I21" s="89">
        <f>VLOOKUP("Residuos no renovables",Dat_01!$A$8:$J$29,7,FALSE)*100</f>
        <v>-34.87220937</v>
      </c>
      <c r="J21" s="88">
        <f>VLOOKUP("Residuos no renovables",Dat_01!$A$8:$J$29,8,FALSE)/1000</f>
        <v>1596.2666200000001</v>
      </c>
      <c r="K21" s="89">
        <f>VLOOKUP("Residuos no renovables",Dat_01!$A$8:$J$29,10,FALSE)*100</f>
        <v>-23.01054384</v>
      </c>
      <c r="L21" s="19"/>
      <c r="M21" s="171"/>
      <c r="N21" s="171"/>
      <c r="O21" s="172"/>
      <c r="P21" s="171"/>
      <c r="Q21" s="172"/>
      <c r="R21" s="171"/>
      <c r="S21" s="172"/>
    </row>
    <row r="22" spans="1:19">
      <c r="A22" s="7"/>
      <c r="B22" s="8"/>
      <c r="C22" s="11"/>
      <c r="D22" s="12"/>
      <c r="E22" s="90" t="s">
        <v>149</v>
      </c>
      <c r="F22" s="91">
        <f>SUM(F16:F21)</f>
        <v>10468.219481748001</v>
      </c>
      <c r="G22" s="92">
        <f>((SUM(Dat_01!B9:B13,Dat_01!B18,Dat_01!B20)/SUM(Dat_01!C9:C13,Dat_01!C18,Dat_01!C20))-1)*100</f>
        <v>-8.0693341834099606</v>
      </c>
      <c r="H22" s="91">
        <f>SUM(H16:H21)</f>
        <v>30797.915221449995</v>
      </c>
      <c r="I22" s="92">
        <f>((SUM(Dat_01!E9:E13,Dat_01!E18,Dat_01!E20)/SUM(Dat_01!F9:F13,Dat_01!F18,Dat_01!F20))-1)*100</f>
        <v>-16.380534816646609</v>
      </c>
      <c r="J22" s="91">
        <f>SUM(J16:J21)</f>
        <v>141466.838441581</v>
      </c>
      <c r="K22" s="92">
        <f>((SUM(Dat_01!H9:H13,Dat_01!H18,Dat_01!H20)/SUM(Dat_01!I9:I13,Dat_01!I18,Dat_01!I20))-1)*100</f>
        <v>4.1228219561745272</v>
      </c>
      <c r="L22" s="19"/>
      <c r="M22" s="171"/>
      <c r="N22" s="171"/>
      <c r="O22" s="172"/>
      <c r="P22" s="171"/>
      <c r="Q22" s="172"/>
      <c r="R22" s="171"/>
      <c r="S22" s="172"/>
    </row>
    <row r="23" spans="1:19">
      <c r="A23" s="7"/>
      <c r="B23" s="8"/>
      <c r="C23" s="11"/>
      <c r="D23" s="12"/>
      <c r="E23" s="93" t="s">
        <v>12</v>
      </c>
      <c r="F23" s="88">
        <f>VLOOKUP("Consumo de bombeo",Dat_01!$A$8:$J$29,2,FALSE)/1000</f>
        <v>-930.18213100000003</v>
      </c>
      <c r="G23" s="89">
        <f>VLOOKUP("Consumo de bombeo",Dat_01!$A$8:$J$29,4,FALSE)*100</f>
        <v>126.26846334999999</v>
      </c>
      <c r="H23" s="88">
        <f>VLOOKUP("Consumo de bombeo",Dat_01!$A$8:$J$29,5,FALSE)/1000</f>
        <v>-2278.018886068</v>
      </c>
      <c r="I23" s="89">
        <f>VLOOKUP("Consumo de bombeo",Dat_01!$A$8:$J$29,7,FALSE)*100</f>
        <v>76.752774369999997</v>
      </c>
      <c r="J23" s="88">
        <f>VLOOKUP("Consumo de bombeo",Dat_01!$A$8:$J$29,8,FALSE)/1000</f>
        <v>-7081.6481752359996</v>
      </c>
      <c r="K23" s="89">
        <f>VLOOKUP("Consumo de bombeo",Dat_01!$A$8:$J$29,10,FALSE)*100</f>
        <v>89.244419710000003</v>
      </c>
      <c r="L23" s="19"/>
      <c r="M23" s="171"/>
      <c r="N23" s="171"/>
      <c r="O23" s="172"/>
      <c r="P23" s="171"/>
      <c r="Q23" s="172"/>
      <c r="R23" s="171"/>
      <c r="S23" s="172"/>
    </row>
    <row r="24" spans="1:19">
      <c r="A24" s="7"/>
      <c r="B24" s="8"/>
      <c r="C24" s="11"/>
      <c r="D24" s="12"/>
      <c r="E24" s="93" t="s">
        <v>75</v>
      </c>
      <c r="F24" s="88">
        <f>VLOOKUP("Enlace Península-Baleares",Dat_01!$A$8:$J$29,2,FALSE)/1000</f>
        <v>-82.194308000000007</v>
      </c>
      <c r="G24" s="89">
        <f>VLOOKUP("Enlace Península-Baleares",Dat_01!$A$8:$J$29,4,FALSE)*100</f>
        <v>167.82741505000001</v>
      </c>
      <c r="H24" s="88">
        <f>VLOOKUP("Enlace Península-Baleares",Dat_01!$A$8:$J$29,5,FALSE)/1000</f>
        <v>-295.87870099999998</v>
      </c>
      <c r="I24" s="89">
        <f>VLOOKUP("Enlace Península-Baleares",Dat_01!$A$8:$J$29,7,FALSE)*100</f>
        <v>231.14156194</v>
      </c>
      <c r="J24" s="88">
        <f>VLOOKUP("Enlace Península-Baleares",Dat_01!$A$8:$J$29,8,FALSE)/1000</f>
        <v>-809.26128300000005</v>
      </c>
      <c r="K24" s="89">
        <f>VLOOKUP("Enlace Península-Baleares",Dat_01!$A$8:$J$29,10,FALSE)*100</f>
        <v>34.892146920000002</v>
      </c>
      <c r="L24" s="19"/>
      <c r="M24" s="171"/>
      <c r="N24" s="171"/>
      <c r="O24" s="172"/>
      <c r="P24" s="171"/>
      <c r="Q24" s="172"/>
      <c r="R24" s="171"/>
      <c r="S24" s="172"/>
    </row>
    <row r="25" spans="1:19" ht="12.75" customHeight="1">
      <c r="E25" s="93" t="s">
        <v>76</v>
      </c>
      <c r="F25" s="94">
        <f>VLOOKUP("Saldos intercambios internacionales",Dat_01!$A$8:$J$29,2,FALSE)/1000</f>
        <v>-2606.845859</v>
      </c>
      <c r="G25" s="95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196.13219275</v>
      </c>
      <c r="H25" s="94">
        <f>VLOOKUP("Saldos intercambios internacionales",Dat_01!$A$8:$J$29,5,FALSE)/1000</f>
        <v>-4452.4019680000001</v>
      </c>
      <c r="I25" s="95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76.110458170000001</v>
      </c>
      <c r="J25" s="94">
        <f>VLOOKUP("Saldos intercambios internacionales",Dat_01!$A$8:$J$29,8,FALSE)/1000</f>
        <v>-21725.952189</v>
      </c>
      <c r="K25" s="95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1032.78558118</v>
      </c>
      <c r="L25" s="19"/>
      <c r="M25" s="171"/>
      <c r="N25" s="171"/>
      <c r="O25" s="172"/>
      <c r="P25" s="171"/>
      <c r="Q25" s="172"/>
      <c r="R25" s="171"/>
      <c r="S25" s="172"/>
    </row>
    <row r="26" spans="1:19" ht="16.149999999999999" customHeight="1">
      <c r="E26" s="96" t="s">
        <v>13</v>
      </c>
      <c r="F26" s="97">
        <f>VLOOKUP("Demanda transporte (b.c.)",Dat_01!$A$8:$J$29,2,FALSE)/1000</f>
        <v>19278.423229136999</v>
      </c>
      <c r="G26" s="98">
        <f>VLOOKUP("Demanda transporte (b.c.)",Dat_01!$A$8:$J$29,4,FALSE)*100</f>
        <v>-4.9388581799999995</v>
      </c>
      <c r="H26" s="97">
        <f>VLOOKUP("Demanda transporte (b.c.)",Dat_01!$A$8:$J$29,5,FALSE)/1000</f>
        <v>59184.236539805002</v>
      </c>
      <c r="I26" s="98">
        <f>VLOOKUP("Demanda transporte (b.c.)",Dat_01!$A$8:$J$29,7,FALSE)*100</f>
        <v>-2.7977881199999999</v>
      </c>
      <c r="J26" s="97">
        <f>VLOOKUP("Demanda transporte (b.c.)",Dat_01!$A$8:$J$29,8,FALSE)/1000</f>
        <v>233754.99723698699</v>
      </c>
      <c r="K26" s="98">
        <f>VLOOKUP("Demanda transporte (b.c.)",Dat_01!$A$8:$J$29,10,FALSE)*100</f>
        <v>-2.8956139099999998</v>
      </c>
      <c r="L26" s="19"/>
    </row>
    <row r="27" spans="1:19" ht="16.350000000000001" customHeight="1">
      <c r="E27" s="304" t="s">
        <v>83</v>
      </c>
      <c r="F27" s="305"/>
      <c r="G27" s="305"/>
      <c r="H27" s="305"/>
      <c r="I27" s="305"/>
      <c r="J27" s="305"/>
      <c r="K27" s="305"/>
      <c r="L27" s="16"/>
      <c r="M27" s="303"/>
      <c r="N27" s="303"/>
      <c r="O27" s="303"/>
      <c r="P27" s="303"/>
      <c r="Q27" s="303"/>
      <c r="R27" s="303"/>
      <c r="S27" s="303"/>
    </row>
    <row r="28" spans="1:19" ht="34.5" customHeight="1">
      <c r="E28" s="302" t="s">
        <v>173</v>
      </c>
      <c r="F28" s="306"/>
      <c r="G28" s="306"/>
      <c r="H28" s="306"/>
      <c r="I28" s="306"/>
      <c r="J28" s="306"/>
      <c r="K28" s="306"/>
      <c r="L28" s="16"/>
      <c r="M28" s="265"/>
      <c r="N28" s="265"/>
      <c r="O28" s="265"/>
      <c r="P28" s="265"/>
      <c r="Q28" s="265"/>
      <c r="R28" s="265"/>
      <c r="S28" s="265"/>
    </row>
    <row r="29" spans="1:19" ht="12.75" customHeight="1">
      <c r="E29" s="303" t="s">
        <v>54</v>
      </c>
      <c r="F29" s="303"/>
      <c r="G29" s="303"/>
      <c r="H29" s="303"/>
      <c r="I29" s="303"/>
      <c r="J29" s="303"/>
      <c r="K29" s="303"/>
      <c r="L29" s="16"/>
    </row>
    <row r="30" spans="1:19" ht="12.75" customHeight="1">
      <c r="E30" s="303" t="s">
        <v>72</v>
      </c>
      <c r="F30" s="303"/>
      <c r="G30" s="303"/>
      <c r="H30" s="303"/>
      <c r="I30" s="303"/>
      <c r="J30" s="303"/>
      <c r="K30" s="303"/>
      <c r="L30" s="16"/>
    </row>
    <row r="31" spans="1:19" ht="12.75" customHeight="1">
      <c r="E31" s="303" t="s">
        <v>151</v>
      </c>
      <c r="F31" s="303"/>
      <c r="G31" s="303"/>
      <c r="H31" s="303"/>
      <c r="I31" s="303"/>
      <c r="J31" s="303"/>
      <c r="K31" s="303"/>
      <c r="L31" s="16"/>
    </row>
    <row r="32" spans="1:19" ht="12.75" customHeight="1">
      <c r="E32" s="302" t="s">
        <v>153</v>
      </c>
      <c r="F32" s="302"/>
      <c r="G32" s="302"/>
      <c r="H32" s="302"/>
      <c r="I32" s="302"/>
      <c r="J32" s="302"/>
      <c r="K32" s="302"/>
      <c r="L32" s="16"/>
    </row>
    <row r="33" spans="5:12" ht="12.75" customHeight="1">
      <c r="E33" s="303" t="s">
        <v>155</v>
      </c>
      <c r="F33" s="303"/>
      <c r="G33" s="303"/>
      <c r="H33" s="303"/>
      <c r="I33" s="303"/>
      <c r="J33" s="303"/>
      <c r="K33" s="303"/>
      <c r="L33" s="16"/>
    </row>
    <row r="34" spans="5:12" ht="15" customHeight="1">
      <c r="E34" s="302" t="s">
        <v>74</v>
      </c>
      <c r="F34" s="302"/>
      <c r="G34" s="302"/>
      <c r="H34" s="302"/>
      <c r="I34" s="302"/>
      <c r="J34" s="302"/>
      <c r="K34" s="302"/>
    </row>
    <row r="35" spans="5:12" ht="24" customHeight="1">
      <c r="E35" s="302" t="s">
        <v>79</v>
      </c>
      <c r="F35" s="302"/>
      <c r="G35" s="302"/>
      <c r="H35" s="302"/>
      <c r="I35" s="302"/>
      <c r="J35" s="302"/>
      <c r="K35" s="302"/>
    </row>
    <row r="36" spans="5:12">
      <c r="F36" s="247"/>
      <c r="G36" s="247"/>
      <c r="H36" s="247"/>
      <c r="I36" s="247"/>
      <c r="J36" s="247"/>
      <c r="K36" s="247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I23" sqref="I23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0" t="s">
        <v>1</v>
      </c>
    </row>
    <row r="3" spans="2:7" s="26" customFormat="1" ht="15" customHeight="1">
      <c r="E3" s="101" t="str">
        <f>Indice!E3</f>
        <v>Marzo 2023</v>
      </c>
    </row>
    <row r="4" spans="2:7" s="29" customFormat="1" ht="20.25" customHeight="1">
      <c r="B4" s="28"/>
      <c r="C4" s="99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7" t="s">
        <v>58</v>
      </c>
      <c r="D7" s="32"/>
      <c r="E7" s="39"/>
    </row>
    <row r="8" spans="2:7" s="29" customFormat="1" ht="12.75" customHeight="1">
      <c r="B8" s="28"/>
      <c r="C8" s="307"/>
      <c r="D8" s="32"/>
      <c r="E8" s="39"/>
      <c r="F8" s="33"/>
    </row>
    <row r="9" spans="2:7" s="29" customFormat="1" ht="12.75" customHeight="1">
      <c r="B9" s="28"/>
      <c r="C9" s="254"/>
      <c r="D9" s="32"/>
      <c r="E9" s="39"/>
      <c r="F9" s="235"/>
      <c r="G9" s="236"/>
    </row>
    <row r="10" spans="2:7" s="29" customFormat="1" ht="12.75" customHeight="1">
      <c r="B10" s="28"/>
      <c r="C10" s="12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7" t="s">
        <v>60</v>
      </c>
      <c r="E23" s="41"/>
    </row>
    <row r="24" spans="2:6" ht="12.75" customHeight="1">
      <c r="C24" s="307"/>
      <c r="E24" s="37"/>
    </row>
    <row r="25" spans="2:6" ht="12.75" customHeight="1">
      <c r="C25" s="307"/>
      <c r="E25" s="38"/>
    </row>
    <row r="26" spans="2:6" ht="12.75" customHeight="1">
      <c r="C26" s="126"/>
    </row>
    <row r="27" spans="2:6">
      <c r="C27" s="12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2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J15" sqref="J15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0" t="s">
        <v>1</v>
      </c>
    </row>
    <row r="3" spans="2:7" s="26" customFormat="1" ht="15" customHeight="1">
      <c r="E3" s="27"/>
      <c r="G3" s="101" t="str">
        <f>Indice!E3</f>
        <v>Marzo 2023</v>
      </c>
    </row>
    <row r="4" spans="2:7" s="29" customFormat="1" ht="20.25" customHeight="1">
      <c r="B4" s="28"/>
      <c r="C4" s="99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8" t="s">
        <v>73</v>
      </c>
      <c r="D7" s="32"/>
      <c r="E7" s="39"/>
      <c r="F7" s="32"/>
    </row>
    <row r="8" spans="2:7" s="29" customFormat="1" ht="12.75" customHeight="1">
      <c r="B8" s="28"/>
      <c r="C8" s="308"/>
      <c r="D8" s="32"/>
      <c r="E8" s="39"/>
      <c r="F8" s="32"/>
    </row>
    <row r="9" spans="2:7" s="29" customFormat="1" ht="12.75" customHeight="1">
      <c r="B9" s="28"/>
      <c r="C9" s="308"/>
      <c r="D9" s="32"/>
      <c r="E9" s="39"/>
      <c r="F9" s="32"/>
    </row>
    <row r="10" spans="2:7" s="29" customFormat="1" ht="12.75" customHeight="1">
      <c r="B10" s="28"/>
      <c r="C10" s="308"/>
      <c r="D10" s="32"/>
      <c r="E10" s="39"/>
      <c r="F10" s="32"/>
    </row>
    <row r="11" spans="2:7" s="29" customFormat="1" ht="12.75" customHeight="1">
      <c r="B11" s="28"/>
      <c r="C11" s="12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0"/>
      <c r="G22" s="255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2023</v>
      </c>
    </row>
    <row r="4" spans="3:25" ht="19.899999999999999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8" t="s">
        <v>62</v>
      </c>
      <c r="E7" s="4"/>
    </row>
    <row r="8" spans="3:25">
      <c r="C8" s="308"/>
      <c r="E8" s="4"/>
    </row>
    <row r="9" spans="3:25">
      <c r="C9" s="30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2023</v>
      </c>
    </row>
    <row r="4" spans="3:25" ht="19.899999999999999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8" t="s">
        <v>176</v>
      </c>
      <c r="E7" s="4"/>
    </row>
    <row r="8" spans="3:25">
      <c r="C8" s="308"/>
      <c r="E8" s="4"/>
    </row>
    <row r="9" spans="3:25">
      <c r="C9" s="308"/>
      <c r="E9" s="4"/>
    </row>
    <row r="10" spans="3:25">
      <c r="C10" s="30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2023</v>
      </c>
    </row>
    <row r="4" spans="3:25" ht="19.899999999999999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8" t="s">
        <v>55</v>
      </c>
      <c r="E7" s="4"/>
    </row>
    <row r="8" spans="3:25">
      <c r="C8" s="308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67" t="s">
        <v>173</v>
      </c>
      <c r="F26" s="268"/>
      <c r="G26" s="268"/>
      <c r="H26" s="268"/>
      <c r="I26" s="268"/>
      <c r="J26" s="268"/>
      <c r="K26" s="268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2023</v>
      </c>
    </row>
    <row r="4" spans="3:25" ht="19.899999999999999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8" t="s">
        <v>61</v>
      </c>
      <c r="E7" s="4"/>
    </row>
    <row r="8" spans="3:25">
      <c r="C8" s="308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67" t="s">
        <v>173</v>
      </c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schemas.openxmlformats.org/package/2006/metadata/core-properties"/>
    <ds:schemaRef ds:uri="8a808b56-9519-4f3c-a07e-328060d9d6d3"/>
    <ds:schemaRef ds:uri="http://www.w3.org/XML/1998/namespace"/>
    <ds:schemaRef ds:uri="http://purl.org/dc/terms/"/>
    <ds:schemaRef ds:uri="fdc812d0-7ad8-4a82-9195-c1c1a874533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2023-04-13T14:59:07Z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