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2\JUL\INF_ELABORADA\"/>
    </mc:Choice>
  </mc:AlternateContent>
  <xr:revisionPtr revIDLastSave="0" documentId="13_ncr:1_{99A5391F-15BF-4332-AF57-6888BE0C38A3}" xr6:coauthVersionLast="47" xr6:coauthVersionMax="47" xr10:uidLastSave="{00000000-0000-0000-0000-000000000000}"/>
  <bookViews>
    <workbookView xWindow="-120" yWindow="-120" windowWidth="29040" windowHeight="15840" tabRatio="674" xr2:uid="{00000000-000D-0000-FFFF-FFFF00000000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9" sheetId="15" r:id="rId10"/>
    <sheet name="P8" sheetId="14" r:id="rId11"/>
    <sheet name="P10" sheetId="58" r:id="rId12"/>
    <sheet name="P11" sheetId="57" r:id="rId13"/>
    <sheet name="P12" sheetId="21" r:id="rId14"/>
    <sheet name="P13" sheetId="23" r:id="rId15"/>
    <sheet name="Data 1" sheetId="48" r:id="rId16"/>
    <sheet name="Dat_01" sheetId="44" r:id="rId17"/>
    <sheet name="Dat_02" sheetId="47" r:id="rId18"/>
    <sheet name="Data 2" sheetId="49" r:id="rId19"/>
    <sheet name="Data 3" sheetId="43" r:id="rId20"/>
    <sheet name="Data 4" sheetId="59" r:id="rId21"/>
  </sheets>
  <externalReferences>
    <externalReference r:id="rId22"/>
    <externalReference r:id="rId23"/>
    <externalReference r:id="rId24"/>
  </externalReferences>
  <definedNames>
    <definedName name="_xlnm._FilterDatabase" localSheetId="20" hidden="1">'Data 4'!$B$1:$H$487</definedName>
    <definedName name="_xlnm.Print_Area" localSheetId="11">#REF!</definedName>
    <definedName name="_xlnm.Print_Area" localSheetId="12">#REF!</definedName>
    <definedName name="_xlnm.Print_Area">#REF!</definedName>
    <definedName name="_xlnm.Database" localSheetId="11">#REF!</definedName>
    <definedName name="_xlnm.Database" localSheetId="12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 localSheetId="11">#REF!</definedName>
    <definedName name="CCCCV" localSheetId="12">#REF!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 localSheetId="11">#REF!</definedName>
    <definedName name="DATOS" localSheetId="12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 localSheetId="11">OFFSET([3]Dat_01!$W$180,0,0,COUNT([3]Dat_01!$W$180:$W$211),1)</definedName>
    <definedName name="Eol_Dia">OFFSET(Dat_01!$W$180,0,0,COUNT(Dat_01!$W$180:$W$211),1)</definedName>
    <definedName name="Eol_Fechas" localSheetId="11">OFFSET([3]Dat_01!$A$180,0,0,COUNT([3]Dat_01!$A$180:$A$211),1)</definedName>
    <definedName name="Eol_Fechas">OFFSET(Dat_01!$A$180,0,0,COUNT(Dat_01!$A$180:$A$211),1)</definedName>
    <definedName name="Eol_Porcentaje" localSheetId="11">OFFSET([3]Dat_01!$V$180,0,0,COUNT([3]Dat_01!$V$180:$V$211),1)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 localSheetId="11">OFFSET([3]Dat_01!$J$220,0,0,COUNT([3]Dat_01!$I$220:$I$245),1)</definedName>
    <definedName name="H_Eol">OFFSET(Dat_01!$K$220,0,0,COUNT(Dat_01!$I$220:$I$245),1)</definedName>
    <definedName name="H_Gen" localSheetId="11">OFFSET([3]Dat_01!$Q$220,0,0,COUNT([3]Dat_01!$P$220:$P$245),1)</definedName>
    <definedName name="H_Gen">OFFSET(Dat_01!$R$220,0,0,COUNT(Dat_01!$P$220:$P$245),1)</definedName>
    <definedName name="H_Porcentaje" localSheetId="11">OFFSET([3]Dat_01!$V$220,0,0,COUNT([3]Dat_01!$V$220:$V$245),1)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lance_B.C._Mensual_Sistema_eléctrico" localSheetId="11">#REF!</definedName>
    <definedName name="MSTR.Balance_B.C._Mensual_Sistema_eléctrico">#REF!</definedName>
    <definedName name="MSTR.BANDA_PARA_CONSEJO_PROCESOS" localSheetId="11">#REF!</definedName>
    <definedName name="MSTR.BANDA_PARA_CONSEJO_PROCESOS" localSheetId="12">#REF!</definedName>
    <definedName name="MSTR.BANDA_PARA_CONSEJO_PROCESOS">#REF!</definedName>
    <definedName name="MSTR.BANDA_PARA_CONSEJO_PROCESOS1" localSheetId="11">#REF!</definedName>
    <definedName name="MSTR.BANDA_PARA_CONSEJO_PROCESOS1" localSheetId="12">#REF!</definedName>
    <definedName name="MSTR.BANDA_PARA_CONSEJO_PROCESOS1">#REF!</definedName>
    <definedName name="MSTR.BANDA_PARA_CONSEJO_PROCESOS10" localSheetId="11">#REF!</definedName>
    <definedName name="MSTR.BANDA_PARA_CONSEJO_PROCESOS10" localSheetId="12">#REF!</definedName>
    <definedName name="MSTR.BANDA_PARA_CONSEJO_PROCESOS10">#REF!</definedName>
    <definedName name="MSTR.BANDA_PARA_CONSEJO_PROCESOS2" localSheetId="11">#REF!</definedName>
    <definedName name="MSTR.BANDA_PARA_CONSEJO_PROCESOS2" localSheetId="12">#REF!</definedName>
    <definedName name="MSTR.BANDA_PARA_CONSEJO_PROCESOS2">#REF!</definedName>
    <definedName name="MSTR.BANDA_PARA_CONSEJO_PROCESOS3" localSheetId="11">#REF!</definedName>
    <definedName name="MSTR.BANDA_PARA_CONSEJO_PROCESOS3" localSheetId="12">#REF!</definedName>
    <definedName name="MSTR.BANDA_PARA_CONSEJO_PROCESOS3">#REF!</definedName>
    <definedName name="MSTR.BANDA_PARA_CONSEJO_PROCESOS4" localSheetId="11">#REF!</definedName>
    <definedName name="MSTR.BANDA_PARA_CONSEJO_PROCESOS4" localSheetId="12">#REF!</definedName>
    <definedName name="MSTR.BANDA_PARA_CONSEJO_PROCESOS4">#REF!</definedName>
    <definedName name="MSTR.BANDA_PARA_CONSEJO_PROCESOS5" localSheetId="11">#REF!</definedName>
    <definedName name="MSTR.BANDA_PARA_CONSEJO_PROCESOS5" localSheetId="12">#REF!</definedName>
    <definedName name="MSTR.BANDA_PARA_CONSEJO_PROCESOS5">#REF!</definedName>
    <definedName name="MSTR.BANDA_PARA_CONSEJO_PROCESOS6" localSheetId="11">#REF!</definedName>
    <definedName name="MSTR.BANDA_PARA_CONSEJO_PROCESOS6" localSheetId="12">#REF!</definedName>
    <definedName name="MSTR.BANDA_PARA_CONSEJO_PROCESOS6">#REF!</definedName>
    <definedName name="MSTR.BANDA_PARA_CONSEJO_PROCESOS7" localSheetId="11">#REF!</definedName>
    <definedName name="MSTR.BANDA_PARA_CONSEJO_PROCESOS7" localSheetId="12">#REF!</definedName>
    <definedName name="MSTR.BANDA_PARA_CONSEJO_PROCESOS7">#REF!</definedName>
    <definedName name="MSTR.BANDA_PARA_CONSEJO_PROCESOS8" localSheetId="11">#REF!</definedName>
    <definedName name="MSTR.BANDA_PARA_CONSEJO_PROCESOS8" localSheetId="12">#REF!</definedName>
    <definedName name="MSTR.BANDA_PARA_CONSEJO_PROCESOS8">#REF!</definedName>
    <definedName name="MSTR.BANDA_PARA_CONSEJO_PROCESOS9" localSheetId="11">#REF!</definedName>
    <definedName name="MSTR.BANDA_PARA_CONSEJO_PROCESOS9" localSheetId="12">#REF!</definedName>
    <definedName name="MSTR.BANDA_PARA_CONSEJO_PROCESOS9">#REF!</definedName>
    <definedName name="MSTR.Emisiones_CO2" localSheetId="11">#REF!</definedName>
    <definedName name="MSTR.Emisiones_CO2">#REF!</definedName>
    <definedName name="MSTR.Eolica_diaria_Balance">#REF!</definedName>
    <definedName name="MSTR.Liquidación_por_Segmentos" localSheetId="11">#REF!</definedName>
    <definedName name="MSTR.Liquidación_por_Segmentos" localSheetId="12">#REF!</definedName>
    <definedName name="MSTR.Liquidación_por_Segmentos">#REF!</definedName>
    <definedName name="MSTR.Liquidación_por_Segmentos1" localSheetId="11">#REF!</definedName>
    <definedName name="MSTR.Liquidación_por_Segmentos1" localSheetId="12">#REF!</definedName>
    <definedName name="MSTR.Liquidación_por_Segmentos1">#REF!</definedName>
    <definedName name="MSTR.Liquidación_por_Segmentos10" localSheetId="11">#REF!</definedName>
    <definedName name="MSTR.Liquidación_por_Segmentos10" localSheetId="12">#REF!</definedName>
    <definedName name="MSTR.Liquidación_por_Segmentos10">#REF!</definedName>
    <definedName name="MSTR.Liquidación_por_Segmentos11" localSheetId="11">#REF!</definedName>
    <definedName name="MSTR.Liquidación_por_Segmentos11" localSheetId="12">#REF!</definedName>
    <definedName name="MSTR.Liquidación_por_Segmentos11">#REF!</definedName>
    <definedName name="MSTR.Liquidación_por_Segmentos2" localSheetId="11">#REF!</definedName>
    <definedName name="MSTR.Liquidación_por_Segmentos2" localSheetId="12">#REF!</definedName>
    <definedName name="MSTR.Liquidación_por_Segmentos2">#REF!</definedName>
    <definedName name="MSTR.Liquidación_por_Segmentos3" localSheetId="11">#REF!</definedName>
    <definedName name="MSTR.Liquidación_por_Segmentos3" localSheetId="12">#REF!</definedName>
    <definedName name="MSTR.Liquidación_por_Segmentos3">#REF!</definedName>
    <definedName name="MSTR.Liquidación_por_Segmentos4" localSheetId="11">#REF!</definedName>
    <definedName name="MSTR.Liquidación_por_Segmentos4" localSheetId="12">#REF!</definedName>
    <definedName name="MSTR.Liquidación_por_Segmentos4">#REF!</definedName>
    <definedName name="MSTR.Liquidación_por_Segmentos5" localSheetId="11">#REF!</definedName>
    <definedName name="MSTR.Liquidación_por_Segmentos5" localSheetId="12">#REF!</definedName>
    <definedName name="MSTR.Liquidación_por_Segmentos5">#REF!</definedName>
    <definedName name="MSTR.Liquidación_por_Segmentos6" localSheetId="11">#REF!</definedName>
    <definedName name="MSTR.Liquidación_por_Segmentos6" localSheetId="12">#REF!</definedName>
    <definedName name="MSTR.Liquidación_por_Segmentos6">#REF!</definedName>
    <definedName name="MSTR.Liquidación_por_Segmentos7" localSheetId="11">#REF!</definedName>
    <definedName name="MSTR.Liquidación_por_Segmentos7" localSheetId="12">#REF!</definedName>
    <definedName name="MSTR.Liquidación_por_Segmentos7">#REF!</definedName>
    <definedName name="MSTR.Liquidación_por_Segmentos8" localSheetId="11">#REF!</definedName>
    <definedName name="MSTR.Liquidación_por_Segmentos8" localSheetId="12">#REF!</definedName>
    <definedName name="MSTR.Liquidación_por_Segmentos8">#REF!</definedName>
    <definedName name="MSTR.Liquidación_por_Segmentos9" localSheetId="11">#REF!</definedName>
    <definedName name="MSTR.Liquidación_por_Segmentos9" localSheetId="12">#REF!</definedName>
    <definedName name="MSTR.Liquidación_por_Segmentos9">#REF!</definedName>
    <definedName name="MSTR.Potencia_instalada">#REF!</definedName>
    <definedName name="MSTR.Serie_Balance_Nuevo_Energía_Eléctrica_Mensual.1" localSheetId="11">#REF!</definedName>
    <definedName name="MSTR.Serie_Balance_Nuevo_Energía_Eléctrica_Mensual.1" localSheetId="12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2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 localSheetId="11">OFFSET([3]Dat_02!$E$3,0,0,COUNT([3]Dat_02!$E$3:$E$500),1)</definedName>
    <definedName name="Prod">OFFSET(Dat_02!$E$3,0,0,COUNT(Dat_02!$E$3:$E$500),1)</definedName>
    <definedName name="Prod_Dia" localSheetId="11">OFFSET([3]Dat_02!$C$3,0,0,COUNT([3]Dat_02!$C$3:$C$500),1)</definedName>
    <definedName name="Prod_Dia">OFFSET(Dat_02!$C$3,0,0,COUNT(Dat_02!$C$3:$C$500),1)</definedName>
    <definedName name="Prod_Inter" localSheetId="11">OFFSET([3]Dat_02!$H$3,0,0,COUNT([3]Dat_02!#REF!),1)</definedName>
    <definedName name="Prod_Inter" localSheetId="12">OFFSET(Dat_02!$H$3,0,0,COUNT(Dat_02!#REF!),1)</definedName>
    <definedName name="Prod_Inter">OFFSET(Dat_02!$H$3,0,0,COUNT(Dat_02!#REF!),1)</definedName>
    <definedName name="Prod_Med" localSheetId="11">OFFSET([3]Dat_02!$D$3,0,0,COUNT([3]Dat_02!$D$3:$D$500),1)</definedName>
    <definedName name="Prod_Med">OFFSET(Dat_02!$D$3,0,0,COUNT(Dat_02!$D$3:$D$500),1)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 localSheetId="11">Dat_01!$A$248:$O$262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9" i="43" l="1"/>
  <c r="J58" i="43" l="1"/>
  <c r="F70" i="43" l="1"/>
  <c r="Q262" i="44" l="1"/>
  <c r="F398" i="47" l="1"/>
  <c r="E398" i="47"/>
  <c r="H70" i="43" l="1"/>
  <c r="I76" i="43" l="1"/>
  <c r="E396" i="59" l="1"/>
  <c r="E395" i="59"/>
  <c r="E397" i="47" l="1"/>
  <c r="E396" i="47"/>
  <c r="G25" i="6" l="1"/>
  <c r="I25" i="6"/>
  <c r="K25" i="6"/>
  <c r="G76" i="43" l="1"/>
  <c r="I53" i="43" l="1"/>
  <c r="B52" i="43"/>
  <c r="B51" i="43"/>
  <c r="B50" i="43"/>
  <c r="B49" i="43"/>
  <c r="B48" i="43"/>
  <c r="B47" i="43"/>
  <c r="B46" i="43"/>
  <c r="B45" i="43"/>
  <c r="B44" i="43"/>
  <c r="B43" i="43"/>
  <c r="B42" i="43"/>
  <c r="B40" i="43"/>
  <c r="B39" i="43"/>
  <c r="B38" i="43"/>
  <c r="B37" i="43"/>
  <c r="B36" i="43"/>
  <c r="B35" i="43"/>
  <c r="B34" i="43"/>
  <c r="B33" i="43"/>
  <c r="B32" i="43"/>
  <c r="B31" i="43"/>
  <c r="B30" i="43"/>
  <c r="B28" i="43"/>
  <c r="B27" i="43"/>
  <c r="B26" i="43"/>
  <c r="B25" i="43"/>
  <c r="B24" i="43"/>
  <c r="B23" i="43"/>
  <c r="B22" i="43"/>
  <c r="B21" i="43"/>
  <c r="B20" i="43"/>
  <c r="B19" i="43"/>
  <c r="B18" i="43"/>
  <c r="B16" i="43"/>
  <c r="B15" i="43"/>
  <c r="B14" i="43"/>
  <c r="B13" i="43"/>
  <c r="B12" i="43"/>
  <c r="B11" i="43"/>
  <c r="B10" i="43"/>
  <c r="B9" i="43"/>
  <c r="B8" i="43"/>
  <c r="B7" i="43"/>
  <c r="B6" i="43"/>
  <c r="V181" i="44" l="1"/>
  <c r="V182" i="44"/>
  <c r="V183" i="44"/>
  <c r="V184" i="44"/>
  <c r="V185" i="44"/>
  <c r="V186" i="44"/>
  <c r="V187" i="44"/>
  <c r="V188" i="44"/>
  <c r="V189" i="44"/>
  <c r="V190" i="44"/>
  <c r="V191" i="44"/>
  <c r="V192" i="44"/>
  <c r="V193" i="44"/>
  <c r="V194" i="44"/>
  <c r="V195" i="44"/>
  <c r="V196" i="44"/>
  <c r="V197" i="44"/>
  <c r="V198" i="44"/>
  <c r="V199" i="44"/>
  <c r="V200" i="44"/>
  <c r="V201" i="44"/>
  <c r="V202" i="44"/>
  <c r="V203" i="44"/>
  <c r="V204" i="44"/>
  <c r="V205" i="44"/>
  <c r="V206" i="44"/>
  <c r="V207" i="44"/>
  <c r="V208" i="44"/>
  <c r="V209" i="44"/>
  <c r="V210" i="44"/>
  <c r="V180" i="44"/>
  <c r="W181" i="44"/>
  <c r="W182" i="44"/>
  <c r="W183" i="44"/>
  <c r="W184" i="44"/>
  <c r="W185" i="44"/>
  <c r="W186" i="44"/>
  <c r="W187" i="44"/>
  <c r="W188" i="44"/>
  <c r="W189" i="44"/>
  <c r="W190" i="44"/>
  <c r="W191" i="44"/>
  <c r="W192" i="44"/>
  <c r="W193" i="44"/>
  <c r="W194" i="44"/>
  <c r="W195" i="44"/>
  <c r="W196" i="44"/>
  <c r="W197" i="44"/>
  <c r="W198" i="44"/>
  <c r="W199" i="44"/>
  <c r="W200" i="44"/>
  <c r="W201" i="44"/>
  <c r="W202" i="44"/>
  <c r="W203" i="44"/>
  <c r="W204" i="44"/>
  <c r="W205" i="44"/>
  <c r="W206" i="44"/>
  <c r="W207" i="44"/>
  <c r="W208" i="44"/>
  <c r="W209" i="44"/>
  <c r="W210" i="44"/>
  <c r="W180" i="44"/>
  <c r="G211" i="44" l="1"/>
  <c r="I211" i="44"/>
  <c r="H211" i="44"/>
  <c r="V221" i="44" l="1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V244" i="44"/>
  <c r="V245" i="44"/>
  <c r="V246" i="44"/>
  <c r="V220" i="44"/>
  <c r="I47" i="49" l="1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8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70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1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3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4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I399" i="49"/>
  <c r="I400" i="49"/>
  <c r="B41" i="44" l="1"/>
  <c r="B34" i="44"/>
  <c r="B35" i="44"/>
  <c r="B36" i="44"/>
  <c r="B37" i="44"/>
  <c r="B38" i="44"/>
  <c r="B39" i="44"/>
  <c r="B40" i="44"/>
  <c r="B42" i="44"/>
  <c r="B43" i="44"/>
  <c r="B44" i="44"/>
  <c r="B45" i="44"/>
  <c r="B33" i="44"/>
  <c r="B46" i="44" l="1"/>
  <c r="C33" i="44" s="1"/>
  <c r="I19" i="49" l="1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C18" i="48" l="1"/>
  <c r="E398" i="49" l="1"/>
  <c r="C398" i="49"/>
  <c r="G398" i="49" l="1"/>
  <c r="F398" i="49"/>
  <c r="F72" i="43"/>
  <c r="H96" i="44" l="1"/>
  <c r="B96" i="44"/>
  <c r="K70" i="43" l="1"/>
  <c r="J70" i="43" s="1"/>
  <c r="K71" i="43"/>
  <c r="K72" i="43"/>
  <c r="K73" i="43"/>
  <c r="K74" i="43"/>
  <c r="K75" i="43"/>
  <c r="I52" i="43" l="1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B67" i="43" l="1"/>
  <c r="B80" i="43"/>
  <c r="B79" i="43"/>
  <c r="B105" i="44" l="1"/>
  <c r="B104" i="44"/>
  <c r="B103" i="44"/>
  <c r="B102" i="44"/>
  <c r="B101" i="44"/>
  <c r="B100" i="44"/>
  <c r="B99" i="44"/>
  <c r="B98" i="44"/>
  <c r="B97" i="44"/>
  <c r="C39" i="48"/>
  <c r="B95" i="44"/>
  <c r="B94" i="44"/>
  <c r="B106" i="44" l="1"/>
  <c r="F400" i="47" l="1"/>
  <c r="F399" i="47" l="1"/>
  <c r="H94" i="44" l="1"/>
  <c r="H97" i="44"/>
  <c r="H98" i="44"/>
  <c r="H99" i="44"/>
  <c r="H100" i="44"/>
  <c r="H101" i="44"/>
  <c r="H102" i="44"/>
  <c r="H103" i="44"/>
  <c r="H104" i="44"/>
  <c r="H105" i="44"/>
  <c r="H95" i="44"/>
  <c r="E18" i="40" l="1"/>
  <c r="B54" i="43" l="1"/>
  <c r="I54" i="43"/>
  <c r="B55" i="43"/>
  <c r="I55" i="43"/>
  <c r="B56" i="43"/>
  <c r="I56" i="43"/>
  <c r="B57" i="43"/>
  <c r="I57" i="43"/>
  <c r="B58" i="43"/>
  <c r="I58" i="43"/>
  <c r="B59" i="43"/>
  <c r="I59" i="43"/>
  <c r="B60" i="43"/>
  <c r="I60" i="43"/>
  <c r="B61" i="43"/>
  <c r="I61" i="43"/>
  <c r="B62" i="43"/>
  <c r="I62" i="43"/>
  <c r="B63" i="43"/>
  <c r="I63" i="43"/>
  <c r="B64" i="43"/>
  <c r="I64" i="43"/>
  <c r="B50" i="44" l="1"/>
  <c r="G3" i="59" l="1"/>
  <c r="G4" i="59"/>
  <c r="G6" i="59"/>
  <c r="G8" i="59"/>
  <c r="G10" i="59"/>
  <c r="G11" i="59"/>
  <c r="G12" i="59"/>
  <c r="G14" i="59"/>
  <c r="G18" i="59"/>
  <c r="G19" i="59"/>
  <c r="G28" i="59"/>
  <c r="G31" i="59"/>
  <c r="G32" i="59"/>
  <c r="G35" i="59"/>
  <c r="G36" i="59"/>
  <c r="G39" i="59"/>
  <c r="G40" i="59"/>
  <c r="G43" i="59"/>
  <c r="G51" i="59"/>
  <c r="G52" i="59"/>
  <c r="G55" i="59"/>
  <c r="G56" i="59"/>
  <c r="G59" i="59"/>
  <c r="G71" i="59"/>
  <c r="G76" i="59"/>
  <c r="G96" i="59"/>
  <c r="G108" i="59"/>
  <c r="G135" i="59"/>
  <c r="G152" i="59"/>
  <c r="G164" i="59"/>
  <c r="G171" i="59"/>
  <c r="G180" i="59"/>
  <c r="F186" i="59"/>
  <c r="G199" i="59"/>
  <c r="G204" i="59"/>
  <c r="G207" i="59"/>
  <c r="G236" i="59"/>
  <c r="G239" i="59"/>
  <c r="G256" i="59"/>
  <c r="G283" i="59"/>
  <c r="G288" i="59"/>
  <c r="G311" i="59"/>
  <c r="G319" i="59"/>
  <c r="G327" i="59"/>
  <c r="G332" i="59"/>
  <c r="G335" i="59"/>
  <c r="F2" i="59"/>
  <c r="C4" i="49"/>
  <c r="G23" i="59"/>
  <c r="G24" i="59"/>
  <c r="G27" i="59"/>
  <c r="G44" i="59"/>
  <c r="G47" i="59"/>
  <c r="G7" i="59"/>
  <c r="G15" i="59"/>
  <c r="G63" i="59" l="1"/>
  <c r="H393" i="59"/>
  <c r="H381" i="59"/>
  <c r="H369" i="59"/>
  <c r="H357" i="59"/>
  <c r="H345" i="59"/>
  <c r="G333" i="59"/>
  <c r="H333" i="59"/>
  <c r="H321" i="59"/>
  <c r="H309" i="59"/>
  <c r="H297" i="59"/>
  <c r="H285" i="59"/>
  <c r="H273" i="59"/>
  <c r="H257" i="59"/>
  <c r="H245" i="59"/>
  <c r="H233" i="59"/>
  <c r="H221" i="59"/>
  <c r="G209" i="59"/>
  <c r="H209" i="59"/>
  <c r="H197" i="59"/>
  <c r="G185" i="59"/>
  <c r="H185" i="59"/>
  <c r="H173" i="59"/>
  <c r="H161" i="59"/>
  <c r="H149" i="59"/>
  <c r="H137" i="59"/>
  <c r="H125" i="59"/>
  <c r="H113" i="59"/>
  <c r="H101" i="59"/>
  <c r="H89" i="59"/>
  <c r="H73" i="59"/>
  <c r="H394" i="59"/>
  <c r="H390" i="59"/>
  <c r="H386" i="59"/>
  <c r="H382" i="59"/>
  <c r="H378" i="59"/>
  <c r="H374" i="59"/>
  <c r="H370" i="59"/>
  <c r="H366" i="59"/>
  <c r="H362" i="59"/>
  <c r="H358" i="59"/>
  <c r="H354" i="59"/>
  <c r="H350" i="59"/>
  <c r="H346" i="59"/>
  <c r="G342" i="59"/>
  <c r="H342" i="59"/>
  <c r="H338" i="59"/>
  <c r="H334" i="59"/>
  <c r="H330" i="59"/>
  <c r="H326" i="59"/>
  <c r="H322" i="59"/>
  <c r="H318" i="59"/>
  <c r="H314" i="59"/>
  <c r="H310" i="59"/>
  <c r="H306" i="59"/>
  <c r="H302" i="59"/>
  <c r="G298" i="59"/>
  <c r="H298" i="59"/>
  <c r="H294" i="59"/>
  <c r="H290" i="59"/>
  <c r="G286" i="59"/>
  <c r="H286" i="59"/>
  <c r="H282" i="59"/>
  <c r="G278" i="59"/>
  <c r="H278" i="59"/>
  <c r="H274" i="59"/>
  <c r="G270" i="59"/>
  <c r="H270" i="59"/>
  <c r="H266" i="59"/>
  <c r="H262" i="59"/>
  <c r="G258" i="59"/>
  <c r="H258" i="59"/>
  <c r="H254" i="59"/>
  <c r="G250" i="59"/>
  <c r="H250" i="59"/>
  <c r="H246" i="59"/>
  <c r="G242" i="59"/>
  <c r="H242" i="59"/>
  <c r="H238" i="59"/>
  <c r="G234" i="59"/>
  <c r="H234" i="59"/>
  <c r="H230" i="59"/>
  <c r="H226" i="59"/>
  <c r="H222" i="59"/>
  <c r="G218" i="59"/>
  <c r="H218" i="59"/>
  <c r="G214" i="59"/>
  <c r="H214" i="59"/>
  <c r="H210" i="59"/>
  <c r="H206" i="59"/>
  <c r="G202" i="59"/>
  <c r="H202" i="59"/>
  <c r="G198" i="59"/>
  <c r="H198" i="59"/>
  <c r="H194" i="59"/>
  <c r="G190" i="59"/>
  <c r="H190" i="59"/>
  <c r="H186" i="59"/>
  <c r="G182" i="59"/>
  <c r="H182" i="59"/>
  <c r="H178" i="59"/>
  <c r="G174" i="59"/>
  <c r="H174" i="59"/>
  <c r="H170" i="59"/>
  <c r="H166" i="59"/>
  <c r="H162" i="59"/>
  <c r="H158" i="59"/>
  <c r="H154" i="59"/>
  <c r="H150" i="59"/>
  <c r="H146" i="59"/>
  <c r="H142" i="59"/>
  <c r="G138" i="59"/>
  <c r="H138" i="59"/>
  <c r="H134" i="59"/>
  <c r="H130" i="59"/>
  <c r="H126" i="59"/>
  <c r="H122" i="59"/>
  <c r="H118" i="59"/>
  <c r="H114" i="59"/>
  <c r="H110" i="59"/>
  <c r="H106" i="59"/>
  <c r="H102" i="59"/>
  <c r="H98" i="59"/>
  <c r="H94" i="59"/>
  <c r="H90" i="59"/>
  <c r="H86" i="59"/>
  <c r="H82" i="59"/>
  <c r="H78" i="59"/>
  <c r="H74" i="59"/>
  <c r="H70" i="59"/>
  <c r="H66" i="59"/>
  <c r="H62" i="59"/>
  <c r="G58" i="59"/>
  <c r="H58" i="59"/>
  <c r="G54" i="59"/>
  <c r="H54" i="59"/>
  <c r="G50" i="59"/>
  <c r="H50" i="59"/>
  <c r="G46" i="59"/>
  <c r="H46" i="59"/>
  <c r="G42" i="59"/>
  <c r="H42" i="59"/>
  <c r="G38" i="59"/>
  <c r="H38" i="59"/>
  <c r="G34" i="59"/>
  <c r="H34" i="59"/>
  <c r="G30" i="59"/>
  <c r="H30" i="59"/>
  <c r="G26" i="59"/>
  <c r="H26" i="59"/>
  <c r="G22" i="59"/>
  <c r="H22" i="59"/>
  <c r="H18" i="59"/>
  <c r="H14" i="59"/>
  <c r="H10" i="59"/>
  <c r="H6" i="59"/>
  <c r="H389" i="59"/>
  <c r="H377" i="59"/>
  <c r="G365" i="59"/>
  <c r="H365" i="59"/>
  <c r="H353" i="59"/>
  <c r="H341" i="59"/>
  <c r="H329" i="59"/>
  <c r="H317" i="59"/>
  <c r="H305" i="59"/>
  <c r="H293" i="59"/>
  <c r="H277" i="59"/>
  <c r="H265" i="59"/>
  <c r="H253" i="59"/>
  <c r="H241" i="59"/>
  <c r="H229" i="59"/>
  <c r="H217" i="59"/>
  <c r="H205" i="59"/>
  <c r="H193" i="59"/>
  <c r="H181" i="59"/>
  <c r="G169" i="59"/>
  <c r="H169" i="59"/>
  <c r="H157" i="59"/>
  <c r="H145" i="59"/>
  <c r="H133" i="59"/>
  <c r="H117" i="59"/>
  <c r="H105" i="59"/>
  <c r="H93" i="59"/>
  <c r="H81" i="59"/>
  <c r="H69" i="59"/>
  <c r="H61" i="59"/>
  <c r="H53" i="59"/>
  <c r="H45" i="59"/>
  <c r="H37" i="59"/>
  <c r="H29" i="59"/>
  <c r="H21" i="59"/>
  <c r="G13" i="59"/>
  <c r="H13" i="59"/>
  <c r="G9" i="59"/>
  <c r="H9" i="59"/>
  <c r="H2" i="59"/>
  <c r="H392" i="59"/>
  <c r="H388" i="59"/>
  <c r="G384" i="59"/>
  <c r="H384" i="59"/>
  <c r="H380" i="59"/>
  <c r="G376" i="59"/>
  <c r="H376" i="59"/>
  <c r="H372" i="59"/>
  <c r="G368" i="59"/>
  <c r="H368" i="59"/>
  <c r="H364" i="59"/>
  <c r="H360" i="59"/>
  <c r="H356" i="59"/>
  <c r="H352" i="59"/>
  <c r="H348" i="59"/>
  <c r="H344" i="59"/>
  <c r="G340" i="59"/>
  <c r="H340" i="59"/>
  <c r="H336" i="59"/>
  <c r="H332" i="59"/>
  <c r="H328" i="59"/>
  <c r="H324" i="59"/>
  <c r="H320" i="59"/>
  <c r="H316" i="59"/>
  <c r="H312" i="59"/>
  <c r="G308" i="59"/>
  <c r="H308" i="59"/>
  <c r="H304" i="59"/>
  <c r="H300" i="59"/>
  <c r="H296" i="59"/>
  <c r="G292" i="59"/>
  <c r="H292" i="59"/>
  <c r="H288" i="59"/>
  <c r="G284" i="59"/>
  <c r="H284" i="59"/>
  <c r="G280" i="59"/>
  <c r="H280" i="59"/>
  <c r="G276" i="59"/>
  <c r="H276" i="59"/>
  <c r="G272" i="59"/>
  <c r="H272" i="59"/>
  <c r="H268" i="59"/>
  <c r="G264" i="59"/>
  <c r="H264" i="59"/>
  <c r="G260" i="59"/>
  <c r="H260" i="59"/>
  <c r="H256" i="59"/>
  <c r="H252" i="59"/>
  <c r="H248" i="59"/>
  <c r="H244" i="59"/>
  <c r="H240" i="59"/>
  <c r="H236" i="59"/>
  <c r="H232" i="59"/>
  <c r="G228" i="59"/>
  <c r="H228" i="59"/>
  <c r="G224" i="59"/>
  <c r="H224" i="59"/>
  <c r="G220" i="59"/>
  <c r="H220" i="59"/>
  <c r="H216" i="59"/>
  <c r="H212" i="59"/>
  <c r="H208" i="59"/>
  <c r="H204" i="59"/>
  <c r="G200" i="59"/>
  <c r="H200" i="59"/>
  <c r="H196" i="59"/>
  <c r="H192" i="59"/>
  <c r="G188" i="59"/>
  <c r="H188" i="59"/>
  <c r="H184" i="59"/>
  <c r="H180" i="59"/>
  <c r="G176" i="59"/>
  <c r="H176" i="59"/>
  <c r="H172" i="59"/>
  <c r="G168" i="59"/>
  <c r="H168" i="59"/>
  <c r="H164" i="59"/>
  <c r="H160" i="59"/>
  <c r="H156" i="59"/>
  <c r="H152" i="59"/>
  <c r="H148" i="59"/>
  <c r="G144" i="59"/>
  <c r="H144" i="59"/>
  <c r="G140" i="59"/>
  <c r="H140" i="59"/>
  <c r="H136" i="59"/>
  <c r="H132" i="59"/>
  <c r="G128" i="59"/>
  <c r="H128" i="59"/>
  <c r="H124" i="59"/>
  <c r="H120" i="59"/>
  <c r="H116" i="59"/>
  <c r="G112" i="59"/>
  <c r="H112" i="59"/>
  <c r="G104" i="59"/>
  <c r="H104" i="59"/>
  <c r="G100" i="59"/>
  <c r="H100" i="59"/>
  <c r="H96" i="59"/>
  <c r="G92" i="59"/>
  <c r="H92" i="59"/>
  <c r="G88" i="59"/>
  <c r="H88" i="59"/>
  <c r="G84" i="59"/>
  <c r="H84" i="59"/>
  <c r="G80" i="59"/>
  <c r="H80" i="59"/>
  <c r="H76" i="59"/>
  <c r="G72" i="59"/>
  <c r="H72" i="59"/>
  <c r="G68" i="59"/>
  <c r="H68" i="59"/>
  <c r="G64" i="59"/>
  <c r="H64" i="59"/>
  <c r="G60" i="59"/>
  <c r="H60" i="59"/>
  <c r="H56" i="59"/>
  <c r="H52" i="59"/>
  <c r="G48" i="59"/>
  <c r="H48" i="59"/>
  <c r="H44" i="59"/>
  <c r="H40" i="59"/>
  <c r="H36" i="59"/>
  <c r="H32" i="59"/>
  <c r="H28" i="59"/>
  <c r="H24" i="59"/>
  <c r="G20" i="59"/>
  <c r="H20" i="59"/>
  <c r="H16" i="59"/>
  <c r="G16" i="59"/>
  <c r="H12" i="59"/>
  <c r="H8" i="59"/>
  <c r="H4" i="59"/>
  <c r="H385" i="59"/>
  <c r="H373" i="59"/>
  <c r="H361" i="59"/>
  <c r="H349" i="59"/>
  <c r="H337" i="59"/>
  <c r="G325" i="59"/>
  <c r="H325" i="59"/>
  <c r="H313" i="59"/>
  <c r="H301" i="59"/>
  <c r="H289" i="59"/>
  <c r="H281" i="59"/>
  <c r="H269" i="59"/>
  <c r="H261" i="59"/>
  <c r="H249" i="59"/>
  <c r="H237" i="59"/>
  <c r="G225" i="59"/>
  <c r="H225" i="59"/>
  <c r="H213" i="59"/>
  <c r="G201" i="59"/>
  <c r="H201" i="59"/>
  <c r="H189" i="59"/>
  <c r="H177" i="59"/>
  <c r="H165" i="59"/>
  <c r="H153" i="59"/>
  <c r="H141" i="59"/>
  <c r="H129" i="59"/>
  <c r="H121" i="59"/>
  <c r="H109" i="59"/>
  <c r="H97" i="59"/>
  <c r="H85" i="59"/>
  <c r="H77" i="59"/>
  <c r="H65" i="59"/>
  <c r="H57" i="59"/>
  <c r="H49" i="59"/>
  <c r="H41" i="59"/>
  <c r="H33" i="59"/>
  <c r="H25" i="59"/>
  <c r="G17" i="59"/>
  <c r="H17" i="59"/>
  <c r="G5" i="59"/>
  <c r="H5" i="59"/>
  <c r="H391" i="59"/>
  <c r="H387" i="59"/>
  <c r="H383" i="59"/>
  <c r="H379" i="59"/>
  <c r="H375" i="59"/>
  <c r="H371" i="59"/>
  <c r="H367" i="59"/>
  <c r="H363" i="59"/>
  <c r="G359" i="59"/>
  <c r="H359" i="59"/>
  <c r="H355" i="59"/>
  <c r="H351" i="59"/>
  <c r="H347" i="59"/>
  <c r="H343" i="59"/>
  <c r="H339" i="59"/>
  <c r="H335" i="59"/>
  <c r="H331" i="59"/>
  <c r="H327" i="59"/>
  <c r="H323" i="59"/>
  <c r="H319" i="59"/>
  <c r="H315" i="59"/>
  <c r="H311" i="59"/>
  <c r="H307" i="59"/>
  <c r="H303" i="59"/>
  <c r="G299" i="59"/>
  <c r="H299" i="59"/>
  <c r="G295" i="59"/>
  <c r="H295" i="59"/>
  <c r="H291" i="59"/>
  <c r="H287" i="59"/>
  <c r="H283" i="59"/>
  <c r="H279" i="59"/>
  <c r="H275" i="59"/>
  <c r="G271" i="59"/>
  <c r="H271" i="59"/>
  <c r="H267" i="59"/>
  <c r="H263" i="59"/>
  <c r="G259" i="59"/>
  <c r="H259" i="59"/>
  <c r="H255" i="59"/>
  <c r="G251" i="59"/>
  <c r="H251" i="59"/>
  <c r="H247" i="59"/>
  <c r="G243" i="59"/>
  <c r="H243" i="59"/>
  <c r="H239" i="59"/>
  <c r="H235" i="59"/>
  <c r="H231" i="59"/>
  <c r="H227" i="59"/>
  <c r="G223" i="59"/>
  <c r="H223" i="59"/>
  <c r="H219" i="59"/>
  <c r="H215" i="59"/>
  <c r="G211" i="59"/>
  <c r="H211" i="59"/>
  <c r="H207" i="59"/>
  <c r="G203" i="59"/>
  <c r="H203" i="59"/>
  <c r="H199" i="59"/>
  <c r="G195" i="59"/>
  <c r="H195" i="59"/>
  <c r="G191" i="59"/>
  <c r="H191" i="59"/>
  <c r="H187" i="59"/>
  <c r="G183" i="59"/>
  <c r="H183" i="59"/>
  <c r="H179" i="59"/>
  <c r="G175" i="59"/>
  <c r="H175" i="59"/>
  <c r="H171" i="59"/>
  <c r="H167" i="59"/>
  <c r="G163" i="59"/>
  <c r="H163" i="59"/>
  <c r="H159" i="59"/>
  <c r="G155" i="59"/>
  <c r="H155" i="59"/>
  <c r="H151" i="59"/>
  <c r="G147" i="59"/>
  <c r="H147" i="59"/>
  <c r="H143" i="59"/>
  <c r="H139" i="59"/>
  <c r="H135" i="59"/>
  <c r="H131" i="59"/>
  <c r="H127" i="59"/>
  <c r="G123" i="59"/>
  <c r="H123" i="59"/>
  <c r="G119" i="59"/>
  <c r="H119" i="59"/>
  <c r="G115" i="59"/>
  <c r="H115" i="59"/>
  <c r="H111" i="59"/>
  <c r="H107" i="59"/>
  <c r="G103" i="59"/>
  <c r="H103" i="59"/>
  <c r="G99" i="59"/>
  <c r="H99" i="59"/>
  <c r="G95" i="59"/>
  <c r="H95" i="59"/>
  <c r="G91" i="59"/>
  <c r="H91" i="59"/>
  <c r="G87" i="59"/>
  <c r="H87" i="59"/>
  <c r="G83" i="59"/>
  <c r="H83" i="59"/>
  <c r="G79" i="59"/>
  <c r="H79" i="59"/>
  <c r="G75" i="59"/>
  <c r="H75" i="59"/>
  <c r="H71" i="59"/>
  <c r="G67" i="59"/>
  <c r="H67" i="59"/>
  <c r="H63" i="59"/>
  <c r="H59" i="59"/>
  <c r="H55" i="59"/>
  <c r="H51" i="59"/>
  <c r="H47" i="59"/>
  <c r="H43" i="59"/>
  <c r="H39" i="59"/>
  <c r="H35" i="59"/>
  <c r="H31" i="59"/>
  <c r="H27" i="59"/>
  <c r="H23" i="59"/>
  <c r="H19" i="59"/>
  <c r="H15" i="59"/>
  <c r="H11" i="59"/>
  <c r="H7" i="59"/>
  <c r="H3" i="59"/>
  <c r="G109" i="59"/>
  <c r="G53" i="59"/>
  <c r="G45" i="59"/>
  <c r="G312" i="59"/>
  <c r="G268" i="59"/>
  <c r="G132" i="59"/>
  <c r="G257" i="59"/>
  <c r="G221" i="59"/>
  <c r="G189" i="59"/>
  <c r="G145" i="59"/>
  <c r="G173" i="59"/>
  <c r="G61" i="59"/>
  <c r="G352" i="59"/>
  <c r="G149" i="59"/>
  <c r="G125" i="59"/>
  <c r="G307" i="59"/>
  <c r="G291" i="59"/>
  <c r="G275" i="59"/>
  <c r="G263" i="59"/>
  <c r="G255" i="59"/>
  <c r="G247" i="59"/>
  <c r="G351" i="59"/>
  <c r="G267" i="59"/>
  <c r="G184" i="59"/>
  <c r="G167" i="59"/>
  <c r="G111" i="59"/>
  <c r="G69" i="59"/>
  <c r="G301" i="59"/>
  <c r="G229" i="59"/>
  <c r="G177" i="59"/>
  <c r="G129" i="59"/>
  <c r="G117" i="59"/>
  <c r="G348" i="59"/>
  <c r="G324" i="59"/>
  <c r="G320" i="59"/>
  <c r="G316" i="59"/>
  <c r="G304" i="59"/>
  <c r="G300" i="59"/>
  <c r="G296" i="59"/>
  <c r="G252" i="59"/>
  <c r="G248" i="59"/>
  <c r="G244" i="59"/>
  <c r="G240" i="59"/>
  <c r="G232" i="59"/>
  <c r="G216" i="59"/>
  <c r="G212" i="59"/>
  <c r="G208" i="59"/>
  <c r="G196" i="59"/>
  <c r="G192" i="59"/>
  <c r="G172" i="59"/>
  <c r="G160" i="59"/>
  <c r="G156" i="59"/>
  <c r="G148" i="59"/>
  <c r="G136" i="59"/>
  <c r="G124" i="59"/>
  <c r="G120" i="59"/>
  <c r="G116" i="59"/>
  <c r="G261" i="59"/>
  <c r="G235" i="59"/>
  <c r="G227" i="59"/>
  <c r="G219" i="59"/>
  <c r="G187" i="59"/>
  <c r="G159" i="59"/>
  <c r="G151" i="59"/>
  <c r="G143" i="59"/>
  <c r="G139" i="59"/>
  <c r="G131" i="59"/>
  <c r="G127" i="59"/>
  <c r="G107" i="59"/>
  <c r="G249" i="59"/>
  <c r="G153" i="59"/>
  <c r="G133" i="59"/>
  <c r="G73" i="59"/>
  <c r="G57" i="59"/>
  <c r="G49" i="59"/>
  <c r="G37" i="59"/>
  <c r="G33" i="59"/>
  <c r="G25" i="59"/>
  <c r="G21" i="59"/>
  <c r="G341" i="59"/>
  <c r="G293" i="59"/>
  <c r="G253" i="59"/>
  <c r="G245" i="59"/>
  <c r="G237" i="59"/>
  <c r="G217" i="59"/>
  <c r="G213" i="59"/>
  <c r="G181" i="59"/>
  <c r="G165" i="59"/>
  <c r="G157" i="59"/>
  <c r="G137" i="59"/>
  <c r="G121" i="59"/>
  <c r="G113" i="59"/>
  <c r="G105" i="59"/>
  <c r="G97" i="59"/>
  <c r="G85" i="59"/>
  <c r="G65" i="59"/>
  <c r="G277" i="59"/>
  <c r="G265" i="59"/>
  <c r="G205" i="59"/>
  <c r="G93" i="59"/>
  <c r="G77" i="59"/>
  <c r="G29" i="59"/>
  <c r="G361" i="59"/>
  <c r="G329" i="59"/>
  <c r="G317" i="59"/>
  <c r="G309" i="59"/>
  <c r="G297" i="59"/>
  <c r="G241" i="59"/>
  <c r="G233" i="59"/>
  <c r="G197" i="59"/>
  <c r="G193" i="59"/>
  <c r="G161" i="59"/>
  <c r="G141" i="59"/>
  <c r="G81" i="59"/>
  <c r="G382" i="59"/>
  <c r="G349" i="59"/>
  <c r="G313" i="59"/>
  <c r="G101" i="59"/>
  <c r="G89" i="59"/>
  <c r="G41" i="59"/>
  <c r="G381" i="59"/>
  <c r="G393" i="59"/>
  <c r="G373" i="59"/>
  <c r="G389" i="59"/>
  <c r="G369" i="59"/>
  <c r="G62" i="59"/>
  <c r="G386" i="59"/>
  <c r="G322" i="59"/>
  <c r="G310" i="59"/>
  <c r="G290" i="59"/>
  <c r="G266" i="59"/>
  <c r="G254" i="59"/>
  <c r="G230" i="59"/>
  <c r="G194" i="59"/>
  <c r="G170" i="59"/>
  <c r="G158" i="59"/>
  <c r="G146" i="59"/>
  <c r="G134" i="59"/>
  <c r="G126" i="59"/>
  <c r="G118" i="59"/>
  <c r="G110" i="59"/>
  <c r="G98" i="59"/>
  <c r="G90" i="59"/>
  <c r="G82" i="59"/>
  <c r="G66" i="59"/>
  <c r="G370" i="59"/>
  <c r="G362" i="59"/>
  <c r="G350" i="59"/>
  <c r="G326" i="59"/>
  <c r="G314" i="59"/>
  <c r="G302" i="59"/>
  <c r="G246" i="59"/>
  <c r="G222" i="59"/>
  <c r="G210" i="59"/>
  <c r="G186" i="59"/>
  <c r="G178" i="59"/>
  <c r="G162" i="59"/>
  <c r="G150" i="59"/>
  <c r="G142" i="59"/>
  <c r="G130" i="59"/>
  <c r="G122" i="59"/>
  <c r="G114" i="59"/>
  <c r="G102" i="59"/>
  <c r="G94" i="59"/>
  <c r="G86" i="59"/>
  <c r="G78" i="59"/>
  <c r="G74" i="59"/>
  <c r="G70" i="59"/>
  <c r="G374" i="59"/>
  <c r="G390" i="59"/>
  <c r="G366" i="59"/>
  <c r="G330" i="59"/>
  <c r="G318" i="59"/>
  <c r="G306" i="59"/>
  <c r="G294" i="59"/>
  <c r="G282" i="59"/>
  <c r="G274" i="59"/>
  <c r="G262" i="59"/>
  <c r="G238" i="59"/>
  <c r="G226" i="59"/>
  <c r="G206" i="59"/>
  <c r="G166" i="59"/>
  <c r="G154" i="59"/>
  <c r="G106" i="59"/>
  <c r="G391" i="59"/>
  <c r="G387" i="59"/>
  <c r="G379" i="59"/>
  <c r="G375" i="59"/>
  <c r="G371" i="59"/>
  <c r="G363" i="59"/>
  <c r="G385" i="59"/>
  <c r="G377" i="59"/>
  <c r="G353" i="59"/>
  <c r="G337" i="59"/>
  <c r="G321" i="59"/>
  <c r="G305" i="59"/>
  <c r="G289" i="59"/>
  <c r="G281" i="59"/>
  <c r="G273" i="59"/>
  <c r="G269" i="59"/>
  <c r="G357" i="59"/>
  <c r="G345" i="59"/>
  <c r="G285" i="59"/>
  <c r="G231" i="59"/>
  <c r="G179" i="59"/>
  <c r="G343" i="59"/>
  <c r="G323" i="59"/>
  <c r="G315" i="59"/>
  <c r="G303" i="59"/>
  <c r="G287" i="59"/>
  <c r="G279" i="59"/>
  <c r="G215" i="59"/>
  <c r="G394" i="59"/>
  <c r="G358" i="59"/>
  <c r="G334" i="59"/>
  <c r="G378" i="59"/>
  <c r="G354" i="59"/>
  <c r="G346" i="59"/>
  <c r="G338" i="59"/>
  <c r="G392" i="59"/>
  <c r="G388" i="59"/>
  <c r="G380" i="59"/>
  <c r="G372" i="59"/>
  <c r="G364" i="59"/>
  <c r="G360" i="59"/>
  <c r="G328" i="59"/>
  <c r="G383" i="59"/>
  <c r="G367" i="59"/>
  <c r="G355" i="59"/>
  <c r="G347" i="59"/>
  <c r="G339" i="59"/>
  <c r="G331" i="59"/>
  <c r="G356" i="59"/>
  <c r="G344" i="59"/>
  <c r="G336" i="59"/>
  <c r="G2" i="59"/>
  <c r="E197" i="59" l="1"/>
  <c r="E393" i="59"/>
  <c r="E332" i="59"/>
  <c r="E70" i="59"/>
  <c r="E102" i="59"/>
  <c r="E73" i="59"/>
  <c r="E173" i="59"/>
  <c r="E233" i="59"/>
  <c r="E363" i="59"/>
  <c r="E14" i="59"/>
  <c r="E369" i="59"/>
  <c r="E292" i="59"/>
  <c r="E349" i="59"/>
  <c r="E256" i="59"/>
  <c r="E247" i="59"/>
  <c r="E383" i="59"/>
  <c r="E81" i="59"/>
  <c r="E117" i="59"/>
  <c r="E169" i="59"/>
  <c r="E366" i="59"/>
  <c r="E153" i="59"/>
  <c r="E141" i="59"/>
  <c r="E140" i="59"/>
  <c r="E208" i="59"/>
  <c r="E229" i="59"/>
  <c r="E277" i="59"/>
  <c r="E296" i="59"/>
  <c r="E316" i="59"/>
  <c r="E18" i="59"/>
  <c r="E122" i="59"/>
  <c r="E338" i="59"/>
  <c r="E125" i="59"/>
  <c r="E95" i="59"/>
  <c r="E99" i="59"/>
  <c r="E236" i="59"/>
  <c r="E252" i="59"/>
  <c r="E276" i="59"/>
  <c r="E284" i="59"/>
  <c r="E288" i="59"/>
  <c r="E308" i="59"/>
  <c r="E312" i="59"/>
  <c r="E328" i="59"/>
  <c r="E348" i="59"/>
  <c r="E364" i="59"/>
  <c r="E392" i="59"/>
  <c r="E69" i="59"/>
  <c r="E265" i="59"/>
  <c r="E317" i="59"/>
  <c r="E365" i="59"/>
  <c r="E387" i="59"/>
  <c r="E8" i="59"/>
  <c r="E44" i="59"/>
  <c r="E320" i="59"/>
  <c r="E336" i="59"/>
  <c r="E380" i="59"/>
  <c r="E9" i="59"/>
  <c r="E13" i="59"/>
  <c r="E21" i="59"/>
  <c r="E53" i="59"/>
  <c r="E93" i="59"/>
  <c r="E133" i="59"/>
  <c r="E193" i="59"/>
  <c r="E293" i="59"/>
  <c r="E5" i="59"/>
  <c r="E10" i="59"/>
  <c r="E64" i="59"/>
  <c r="E190" i="59"/>
  <c r="E194" i="59"/>
  <c r="E270" i="59"/>
  <c r="E274" i="59"/>
  <c r="E278" i="59"/>
  <c r="E306" i="59"/>
  <c r="E101" i="59"/>
  <c r="E74" i="59"/>
  <c r="E106" i="59"/>
  <c r="E138" i="59"/>
  <c r="E154" i="59"/>
  <c r="E386" i="59"/>
  <c r="E89" i="59"/>
  <c r="E137" i="59"/>
  <c r="E17" i="59"/>
  <c r="E120" i="59"/>
  <c r="E160" i="59"/>
  <c r="E184" i="59"/>
  <c r="E204" i="59"/>
  <c r="E220" i="59"/>
  <c r="E228" i="59"/>
  <c r="E248" i="59"/>
  <c r="E131" i="59"/>
  <c r="E147" i="59"/>
  <c r="E179" i="59"/>
  <c r="E187" i="59"/>
  <c r="E211" i="59"/>
  <c r="E239" i="59"/>
  <c r="E283" i="59"/>
  <c r="E361" i="59"/>
  <c r="E20" i="59"/>
  <c r="E24" i="59"/>
  <c r="E40" i="59"/>
  <c r="E56" i="59"/>
  <c r="E152" i="59"/>
  <c r="E212" i="59"/>
  <c r="E240" i="59"/>
  <c r="E25" i="59"/>
  <c r="E57" i="59"/>
  <c r="E224" i="59"/>
  <c r="E232" i="59"/>
  <c r="E258" i="59"/>
  <c r="E151" i="59"/>
  <c r="E167" i="59"/>
  <c r="E263" i="59"/>
  <c r="E33" i="59"/>
  <c r="E158" i="59"/>
  <c r="E202" i="59"/>
  <c r="E319" i="59"/>
  <c r="E16" i="59"/>
  <c r="E149" i="59"/>
  <c r="E82" i="59"/>
  <c r="E98" i="59"/>
  <c r="E114" i="59"/>
  <c r="E130" i="59"/>
  <c r="E326" i="59"/>
  <c r="E346" i="59"/>
  <c r="E358" i="59"/>
  <c r="E59" i="59"/>
  <c r="E150" i="59"/>
  <c r="E379" i="59"/>
  <c r="E49" i="59"/>
  <c r="E269" i="59"/>
  <c r="E301" i="59"/>
  <c r="E373" i="59"/>
  <c r="E12" i="59"/>
  <c r="E28" i="59"/>
  <c r="E60" i="59"/>
  <c r="E68" i="59"/>
  <c r="E72" i="59"/>
  <c r="E76" i="59"/>
  <c r="E112" i="59"/>
  <c r="E116" i="59"/>
  <c r="E156" i="59"/>
  <c r="E176" i="59"/>
  <c r="E180" i="59"/>
  <c r="E63" i="59"/>
  <c r="E139" i="59"/>
  <c r="E163" i="59"/>
  <c r="E195" i="59"/>
  <c r="E223" i="59"/>
  <c r="E227" i="59"/>
  <c r="E243" i="59"/>
  <c r="E271" i="59"/>
  <c r="E323" i="59"/>
  <c r="E355" i="59"/>
  <c r="E97" i="59"/>
  <c r="E189" i="59"/>
  <c r="E124" i="59"/>
  <c r="E144" i="59"/>
  <c r="E148" i="59"/>
  <c r="E164" i="59"/>
  <c r="E188" i="59"/>
  <c r="E192" i="59"/>
  <c r="E87" i="59"/>
  <c r="E115" i="59"/>
  <c r="E123" i="59"/>
  <c r="E135" i="59"/>
  <c r="E143" i="59"/>
  <c r="E171" i="59"/>
  <c r="E207" i="59"/>
  <c r="E255" i="59"/>
  <c r="E109" i="59"/>
  <c r="E213" i="59"/>
  <c r="E234" i="59"/>
  <c r="E286" i="59"/>
  <c r="E310" i="59"/>
  <c r="E75" i="59"/>
  <c r="E67" i="59"/>
  <c r="E103" i="59"/>
  <c r="E119" i="59"/>
  <c r="E127" i="59"/>
  <c r="E183" i="59"/>
  <c r="E231" i="59"/>
  <c r="E251" i="59"/>
  <c r="E351" i="59"/>
  <c r="E371" i="59"/>
  <c r="E32" i="59"/>
  <c r="E80" i="59"/>
  <c r="E84" i="59"/>
  <c r="E88" i="59"/>
  <c r="E92" i="59"/>
  <c r="E96" i="59"/>
  <c r="E178" i="59"/>
  <c r="E210" i="59"/>
  <c r="E205" i="59"/>
  <c r="E353" i="59"/>
  <c r="E6" i="59"/>
  <c r="E22" i="59"/>
  <c r="E26" i="59"/>
  <c r="E30" i="59"/>
  <c r="E34" i="59"/>
  <c r="E38" i="59"/>
  <c r="E42" i="59"/>
  <c r="E46" i="59"/>
  <c r="E50" i="59"/>
  <c r="E54" i="59"/>
  <c r="E58" i="59"/>
  <c r="E94" i="59"/>
  <c r="E110" i="59"/>
  <c r="E126" i="59"/>
  <c r="E200" i="59"/>
  <c r="E31" i="59"/>
  <c r="E35" i="59"/>
  <c r="E155" i="59"/>
  <c r="E128" i="59"/>
  <c r="E132" i="59"/>
  <c r="E168" i="59"/>
  <c r="E172" i="59"/>
  <c r="E216" i="59"/>
  <c r="E244" i="59"/>
  <c r="E260" i="59"/>
  <c r="E268" i="59"/>
  <c r="E304" i="59"/>
  <c r="E324" i="59"/>
  <c r="E344" i="59"/>
  <c r="E360" i="59"/>
  <c r="E384" i="59"/>
  <c r="E388" i="59"/>
  <c r="E29" i="59"/>
  <c r="E61" i="59"/>
  <c r="E253" i="59"/>
  <c r="E136" i="59"/>
  <c r="E85" i="59"/>
  <c r="E121" i="59"/>
  <c r="E165" i="59"/>
  <c r="E177" i="59"/>
  <c r="E225" i="59"/>
  <c r="E237" i="59"/>
  <c r="E249" i="59"/>
  <c r="E281" i="59"/>
  <c r="E313" i="59"/>
  <c r="E385" i="59"/>
  <c r="E4" i="59"/>
  <c r="E36" i="59"/>
  <c r="E48" i="59"/>
  <c r="E52" i="59"/>
  <c r="E100" i="59"/>
  <c r="E104" i="59"/>
  <c r="E108" i="59"/>
  <c r="E295" i="59"/>
  <c r="E299" i="59"/>
  <c r="E311" i="59"/>
  <c r="E315" i="59"/>
  <c r="E327" i="59"/>
  <c r="E331" i="59"/>
  <c r="E343" i="59"/>
  <c r="E347" i="59"/>
  <c r="E391" i="59"/>
  <c r="E41" i="59"/>
  <c r="E77" i="59"/>
  <c r="E186" i="59"/>
  <c r="E214" i="59"/>
  <c r="E218" i="59"/>
  <c r="E222" i="59"/>
  <c r="E242" i="59"/>
  <c r="E246" i="59"/>
  <c r="E262" i="59"/>
  <c r="E314" i="59"/>
  <c r="E362" i="59"/>
  <c r="E378" i="59"/>
  <c r="E113" i="59"/>
  <c r="E161" i="59"/>
  <c r="E221" i="59"/>
  <c r="E273" i="59"/>
  <c r="E321" i="59"/>
  <c r="H108" i="59"/>
  <c r="E166" i="59"/>
  <c r="E79" i="59"/>
  <c r="E83" i="59"/>
  <c r="E91" i="59"/>
  <c r="E159" i="59"/>
  <c r="E289" i="59"/>
  <c r="E23" i="59"/>
  <c r="E39" i="59"/>
  <c r="E43" i="59"/>
  <c r="E55" i="59"/>
  <c r="E19" i="59"/>
  <c r="E7" i="59"/>
  <c r="E27" i="59"/>
  <c r="E111" i="59"/>
  <c r="E47" i="59"/>
  <c r="E11" i="59"/>
  <c r="E71" i="59"/>
  <c r="E215" i="59"/>
  <c r="E3" i="59"/>
  <c r="E15" i="59"/>
  <c r="E51" i="59"/>
  <c r="E303" i="59"/>
  <c r="E199" i="59"/>
  <c r="E254" i="59"/>
  <c r="E294" i="59"/>
  <c r="E335" i="59"/>
  <c r="E341" i="59"/>
  <c r="E305" i="59"/>
  <c r="E257" i="59"/>
  <c r="E37" i="59"/>
  <c r="E359" i="59"/>
  <c r="E203" i="59"/>
  <c r="E191" i="59"/>
  <c r="E90" i="59"/>
  <c r="E230" i="59"/>
  <c r="E345" i="59"/>
  <c r="E145" i="59"/>
  <c r="E300" i="59"/>
  <c r="E275" i="59"/>
  <c r="E65" i="59"/>
  <c r="E280" i="59"/>
  <c r="E372" i="59"/>
  <c r="E264" i="59"/>
  <c r="E307" i="59"/>
  <c r="E219" i="59"/>
  <c r="E377" i="59"/>
  <c r="E394" i="59"/>
  <c r="E157" i="59"/>
  <c r="E245" i="59"/>
  <c r="E45" i="59"/>
  <c r="E376" i="59"/>
  <c r="E279" i="59"/>
  <c r="E226" i="59"/>
  <c r="E206" i="59"/>
  <c r="E196" i="59"/>
  <c r="E285" i="59"/>
  <c r="E318" i="59"/>
  <c r="E146" i="59"/>
  <c r="E162" i="59"/>
  <c r="E350" i="59"/>
  <c r="E282" i="59"/>
  <c r="E266" i="59"/>
  <c r="E66" i="59"/>
  <c r="E322" i="59"/>
  <c r="E374" i="59"/>
  <c r="E62" i="59"/>
  <c r="E181" i="59"/>
  <c r="E185" i="59"/>
  <c r="E241" i="59"/>
  <c r="E309" i="59"/>
  <c r="E325" i="59"/>
  <c r="E329" i="59"/>
  <c r="E381" i="59"/>
  <c r="E105" i="59"/>
  <c r="E217" i="59"/>
  <c r="E357" i="59"/>
  <c r="E209" i="59"/>
  <c r="E261" i="59"/>
  <c r="E129" i="59"/>
  <c r="E267" i="59"/>
  <c r="E356" i="59"/>
  <c r="E382" i="59"/>
  <c r="E290" i="59"/>
  <c r="E368" i="59"/>
  <c r="E340" i="59"/>
  <c r="E107" i="59"/>
  <c r="E390" i="59"/>
  <c r="E370" i="59"/>
  <c r="E250" i="59"/>
  <c r="E238" i="59"/>
  <c r="E334" i="59"/>
  <c r="E259" i="59"/>
  <c r="E337" i="59"/>
  <c r="E342" i="59"/>
  <c r="E367" i="59"/>
  <c r="E302" i="59"/>
  <c r="E333" i="59"/>
  <c r="E235" i="59"/>
  <c r="E201" i="59"/>
  <c r="E142" i="59"/>
  <c r="E86" i="59"/>
  <c r="E297" i="59"/>
  <c r="E272" i="59"/>
  <c r="E339" i="59"/>
  <c r="E375" i="59"/>
  <c r="E330" i="59"/>
  <c r="E134" i="59"/>
  <c r="E389" i="59"/>
  <c r="E354" i="59"/>
  <c r="E175" i="59"/>
  <c r="E298" i="59"/>
  <c r="E287" i="59"/>
  <c r="E78" i="59"/>
  <c r="E291" i="59"/>
  <c r="E118" i="59"/>
  <c r="E182" i="59"/>
  <c r="E198" i="59"/>
  <c r="E174" i="59"/>
  <c r="E170" i="59"/>
  <c r="E352" i="59"/>
  <c r="E2" i="59"/>
  <c r="N141" i="44" l="1"/>
  <c r="E76" i="43" l="1"/>
  <c r="E19" i="40" l="1"/>
  <c r="B91" i="44" l="1"/>
  <c r="G15" i="6" l="1"/>
  <c r="E3" i="47" l="1"/>
  <c r="C20" i="49" l="1"/>
  <c r="C23" i="49"/>
  <c r="C24" i="49"/>
  <c r="C25" i="49"/>
  <c r="C26" i="49"/>
  <c r="C27" i="49"/>
  <c r="C28" i="49"/>
  <c r="C31" i="49"/>
  <c r="C32" i="49"/>
  <c r="C33" i="49"/>
  <c r="C34" i="49"/>
  <c r="C36" i="49"/>
  <c r="C39" i="49"/>
  <c r="C40" i="49"/>
  <c r="C41" i="49"/>
  <c r="C42" i="49"/>
  <c r="C43" i="49"/>
  <c r="C44" i="49"/>
  <c r="C50" i="49"/>
  <c r="C51" i="49"/>
  <c r="C52" i="49"/>
  <c r="C55" i="49"/>
  <c r="C56" i="49"/>
  <c r="C57" i="49"/>
  <c r="C58" i="49"/>
  <c r="C59" i="49"/>
  <c r="C60" i="49"/>
  <c r="C63" i="49"/>
  <c r="C64" i="49"/>
  <c r="C65" i="49"/>
  <c r="C66" i="49"/>
  <c r="C67" i="49"/>
  <c r="C68" i="49"/>
  <c r="C71" i="49"/>
  <c r="C72" i="49"/>
  <c r="C73" i="49"/>
  <c r="C74" i="49"/>
  <c r="C75" i="49"/>
  <c r="C76" i="49"/>
  <c r="C81" i="49"/>
  <c r="C82" i="49"/>
  <c r="C83" i="49"/>
  <c r="C84" i="49"/>
  <c r="C87" i="49"/>
  <c r="C88" i="49"/>
  <c r="C89" i="49"/>
  <c r="C90" i="49"/>
  <c r="C91" i="49"/>
  <c r="C92" i="49"/>
  <c r="C95" i="49"/>
  <c r="C96" i="49"/>
  <c r="C97" i="49"/>
  <c r="C98" i="49"/>
  <c r="C99" i="49"/>
  <c r="C100" i="49"/>
  <c r="C103" i="49"/>
  <c r="C104" i="49"/>
  <c r="C105" i="49"/>
  <c r="C106" i="49"/>
  <c r="C111" i="49"/>
  <c r="C112" i="49"/>
  <c r="C113" i="49"/>
  <c r="C114" i="49"/>
  <c r="C115" i="49"/>
  <c r="C116" i="49"/>
  <c r="C119" i="49"/>
  <c r="C120" i="49"/>
  <c r="C121" i="49"/>
  <c r="C122" i="49"/>
  <c r="C123" i="49"/>
  <c r="C124" i="49"/>
  <c r="C127" i="49"/>
  <c r="C128" i="49"/>
  <c r="C129" i="49"/>
  <c r="C130" i="49"/>
  <c r="C131" i="49"/>
  <c r="C132" i="49"/>
  <c r="C135" i="49"/>
  <c r="C136" i="49"/>
  <c r="C137" i="49"/>
  <c r="I139" i="49"/>
  <c r="C143" i="49"/>
  <c r="C144" i="49"/>
  <c r="C145" i="49"/>
  <c r="C146" i="49"/>
  <c r="C147" i="49"/>
  <c r="C148" i="49"/>
  <c r="C151" i="49"/>
  <c r="C152" i="49"/>
  <c r="C153" i="49"/>
  <c r="C154" i="49"/>
  <c r="C155" i="49"/>
  <c r="C156" i="49"/>
  <c r="C159" i="49"/>
  <c r="C160" i="49"/>
  <c r="C161" i="49"/>
  <c r="C162" i="49"/>
  <c r="C163" i="49"/>
  <c r="C164" i="49"/>
  <c r="C167" i="49"/>
  <c r="C170" i="49"/>
  <c r="C172" i="49"/>
  <c r="C175" i="49"/>
  <c r="C176" i="49"/>
  <c r="C177" i="49"/>
  <c r="C179" i="49"/>
  <c r="C180" i="49"/>
  <c r="C181" i="49"/>
  <c r="C183" i="49"/>
  <c r="C184" i="49"/>
  <c r="C185" i="49"/>
  <c r="C187" i="49"/>
  <c r="C188" i="49"/>
  <c r="C189" i="49"/>
  <c r="C191" i="49"/>
  <c r="C192" i="49"/>
  <c r="C193" i="49"/>
  <c r="C195" i="49"/>
  <c r="C196" i="49"/>
  <c r="C197" i="49"/>
  <c r="C203" i="49"/>
  <c r="C204" i="49"/>
  <c r="C205" i="49"/>
  <c r="C207" i="49"/>
  <c r="C208" i="49"/>
  <c r="C209" i="49"/>
  <c r="C211" i="49"/>
  <c r="C212" i="49"/>
  <c r="C213" i="49"/>
  <c r="C215" i="49"/>
  <c r="C216" i="49"/>
  <c r="C217" i="49"/>
  <c r="C219" i="49"/>
  <c r="C220" i="49"/>
  <c r="C221" i="49"/>
  <c r="C223" i="49"/>
  <c r="C224" i="49"/>
  <c r="C225" i="49"/>
  <c r="C227" i="49"/>
  <c r="C228" i="49"/>
  <c r="C229" i="49"/>
  <c r="C235" i="49"/>
  <c r="C238" i="49"/>
  <c r="C241" i="49"/>
  <c r="C243" i="49"/>
  <c r="C246" i="49"/>
  <c r="C249" i="49"/>
  <c r="C251" i="49"/>
  <c r="C254" i="49"/>
  <c r="C257" i="49"/>
  <c r="C259" i="49"/>
  <c r="C323" i="49"/>
  <c r="C329" i="49"/>
  <c r="C330" i="49"/>
  <c r="C331" i="49"/>
  <c r="C332" i="49"/>
  <c r="C333" i="49"/>
  <c r="C334" i="49"/>
  <c r="C335" i="49"/>
  <c r="C336" i="49"/>
  <c r="C337" i="49"/>
  <c r="C338" i="49"/>
  <c r="C339" i="49"/>
  <c r="C340" i="49"/>
  <c r="C341" i="49"/>
  <c r="C342" i="49"/>
  <c r="C343" i="49"/>
  <c r="C344" i="49"/>
  <c r="C345" i="49"/>
  <c r="C346" i="49"/>
  <c r="C347" i="49"/>
  <c r="C348" i="49"/>
  <c r="C349" i="49"/>
  <c r="C350" i="49"/>
  <c r="C351" i="49"/>
  <c r="C354" i="49"/>
  <c r="I355" i="49"/>
  <c r="C356" i="49"/>
  <c r="C357" i="49"/>
  <c r="C358" i="49"/>
  <c r="C359" i="49"/>
  <c r="C360" i="49"/>
  <c r="C361" i="49"/>
  <c r="C362" i="49"/>
  <c r="C363" i="49"/>
  <c r="C364" i="49"/>
  <c r="C365" i="49"/>
  <c r="C366" i="49"/>
  <c r="C374" i="49"/>
  <c r="C390" i="49"/>
  <c r="C7" i="49"/>
  <c r="C8" i="49"/>
  <c r="C9" i="49"/>
  <c r="C10" i="49"/>
  <c r="C11" i="49"/>
  <c r="C12" i="49"/>
  <c r="C15" i="49"/>
  <c r="C16" i="49"/>
  <c r="C17" i="49"/>
  <c r="C18" i="49"/>
  <c r="C19" i="49"/>
  <c r="F290" i="47" l="1"/>
  <c r="F200" i="47"/>
  <c r="F351" i="47"/>
  <c r="F47" i="47"/>
  <c r="F139" i="47"/>
  <c r="F352" i="47"/>
  <c r="F48" i="47"/>
  <c r="F321" i="47"/>
  <c r="F201" i="47"/>
  <c r="F262" i="47"/>
  <c r="I294" i="49"/>
  <c r="F293" i="47"/>
  <c r="F109" i="47"/>
  <c r="F140" i="47"/>
  <c r="I262" i="49"/>
  <c r="F261" i="47"/>
  <c r="I109" i="49"/>
  <c r="F108" i="47"/>
  <c r="C110" i="49"/>
  <c r="C79" i="49"/>
  <c r="C107" i="49"/>
  <c r="C168" i="49"/>
  <c r="C46" i="49"/>
  <c r="I46" i="49"/>
  <c r="C77" i="49"/>
  <c r="C49" i="49"/>
  <c r="C108" i="49"/>
  <c r="C138" i="49"/>
  <c r="C321" i="49"/>
  <c r="C199" i="49"/>
  <c r="C260" i="49"/>
  <c r="C230" i="49"/>
  <c r="C233" i="49"/>
  <c r="F232" i="47"/>
  <c r="C80" i="49"/>
  <c r="F79" i="47"/>
  <c r="C294" i="49"/>
  <c r="C141" i="49"/>
  <c r="C384" i="49"/>
  <c r="C383" i="49"/>
  <c r="C355" i="49"/>
  <c r="C353" i="49"/>
  <c r="C324" i="49"/>
  <c r="C322" i="49"/>
  <c r="C293" i="49"/>
  <c r="C292" i="49"/>
  <c r="C263" i="49"/>
  <c r="C261" i="49"/>
  <c r="C232" i="49"/>
  <c r="C231" i="49"/>
  <c r="C202" i="49"/>
  <c r="C200" i="49"/>
  <c r="C171" i="49"/>
  <c r="C169" i="49"/>
  <c r="C140" i="49"/>
  <c r="C139" i="49"/>
  <c r="C78" i="49"/>
  <c r="C47" i="49"/>
  <c r="C262" i="49"/>
  <c r="C201" i="49"/>
  <c r="C109" i="49"/>
  <c r="C352" i="49"/>
  <c r="C48" i="49"/>
  <c r="C6" i="49"/>
  <c r="C317" i="49"/>
  <c r="C277" i="49"/>
  <c r="C395" i="49"/>
  <c r="C387" i="49"/>
  <c r="C379" i="49"/>
  <c r="C371" i="49"/>
  <c r="C315" i="49"/>
  <c r="C307" i="49"/>
  <c r="C299" i="49"/>
  <c r="C291" i="49"/>
  <c r="C283" i="49"/>
  <c r="C275" i="49"/>
  <c r="C267" i="49"/>
  <c r="C35" i="49"/>
  <c r="C373" i="49"/>
  <c r="C325" i="49"/>
  <c r="C285" i="49"/>
  <c r="C394" i="49"/>
  <c r="C386" i="49"/>
  <c r="C378" i="49"/>
  <c r="C370" i="49"/>
  <c r="C314" i="49"/>
  <c r="C306" i="49"/>
  <c r="C298" i="49"/>
  <c r="C290" i="49"/>
  <c r="C282" i="49"/>
  <c r="C274" i="49"/>
  <c r="C266" i="49"/>
  <c r="C258" i="49"/>
  <c r="C250" i="49"/>
  <c r="C242" i="49"/>
  <c r="C234" i="49"/>
  <c r="C226" i="49"/>
  <c r="C218" i="49"/>
  <c r="C210" i="49"/>
  <c r="C194" i="49"/>
  <c r="C186" i="49"/>
  <c r="C178" i="49"/>
  <c r="C14" i="49"/>
  <c r="C389" i="49"/>
  <c r="C301" i="49"/>
  <c r="C245" i="49"/>
  <c r="C393" i="49"/>
  <c r="C385" i="49"/>
  <c r="C377" i="49"/>
  <c r="C369" i="49"/>
  <c r="C313" i="49"/>
  <c r="C305" i="49"/>
  <c r="C297" i="49"/>
  <c r="C289" i="49"/>
  <c r="C281" i="49"/>
  <c r="C273" i="49"/>
  <c r="C265" i="49"/>
  <c r="C391" i="49"/>
  <c r="C382" i="49"/>
  <c r="C381" i="49"/>
  <c r="C253" i="49"/>
  <c r="C392" i="49"/>
  <c r="C376" i="49"/>
  <c r="C368" i="49"/>
  <c r="C328" i="49"/>
  <c r="C320" i="49"/>
  <c r="C312" i="49"/>
  <c r="C304" i="49"/>
  <c r="C296" i="49"/>
  <c r="C288" i="49"/>
  <c r="C280" i="49"/>
  <c r="C272" i="49"/>
  <c r="C264" i="49"/>
  <c r="C256" i="49"/>
  <c r="C248" i="49"/>
  <c r="C240" i="49"/>
  <c r="C375" i="49"/>
  <c r="C367" i="49"/>
  <c r="C327" i="49"/>
  <c r="C319" i="49"/>
  <c r="C311" i="49"/>
  <c r="C303" i="49"/>
  <c r="C295" i="49"/>
  <c r="C287" i="49"/>
  <c r="C279" i="49"/>
  <c r="C271" i="49"/>
  <c r="C255" i="49"/>
  <c r="C247" i="49"/>
  <c r="C239" i="49"/>
  <c r="C5" i="49"/>
  <c r="C326" i="49"/>
  <c r="C318" i="49"/>
  <c r="C310" i="49"/>
  <c r="C302" i="49"/>
  <c r="C286" i="49"/>
  <c r="C278" i="49"/>
  <c r="C270" i="49"/>
  <c r="C222" i="49"/>
  <c r="C214" i="49"/>
  <c r="C206" i="49"/>
  <c r="C198" i="49"/>
  <c r="C190" i="49"/>
  <c r="C182" i="49"/>
  <c r="C174" i="49"/>
  <c r="C166" i="49"/>
  <c r="C158" i="49"/>
  <c r="C150" i="49"/>
  <c r="C142" i="49"/>
  <c r="C134" i="49"/>
  <c r="C126" i="49"/>
  <c r="C118" i="49"/>
  <c r="C102" i="49"/>
  <c r="C94" i="49"/>
  <c r="C86" i="49"/>
  <c r="C70" i="49"/>
  <c r="C62" i="49"/>
  <c r="C54" i="49"/>
  <c r="C38" i="49"/>
  <c r="C30" i="49"/>
  <c r="C22" i="49"/>
  <c r="C237" i="49"/>
  <c r="C173" i="49"/>
  <c r="C165" i="49"/>
  <c r="C157" i="49"/>
  <c r="C149" i="49"/>
  <c r="C133" i="49"/>
  <c r="C125" i="49"/>
  <c r="C117" i="49"/>
  <c r="C101" i="49"/>
  <c r="C93" i="49"/>
  <c r="C85" i="49"/>
  <c r="C69" i="49"/>
  <c r="C61" i="49"/>
  <c r="C53" i="49"/>
  <c r="C45" i="49"/>
  <c r="C37" i="49"/>
  <c r="C29" i="49"/>
  <c r="C21" i="49"/>
  <c r="C13" i="49"/>
  <c r="E397" i="49"/>
  <c r="C397" i="49"/>
  <c r="C309" i="49"/>
  <c r="C269" i="49"/>
  <c r="C396" i="49"/>
  <c r="C388" i="49"/>
  <c r="C380" i="49"/>
  <c r="C372" i="49"/>
  <c r="C316" i="49"/>
  <c r="C308" i="49"/>
  <c r="C300" i="49"/>
  <c r="C284" i="49"/>
  <c r="C276" i="49"/>
  <c r="C268" i="49"/>
  <c r="C252" i="49"/>
  <c r="C244" i="49"/>
  <c r="C236" i="49"/>
  <c r="F17" i="47"/>
  <c r="F78" i="47"/>
  <c r="F230" i="47"/>
  <c r="F291" i="47"/>
  <c r="I263" i="49"/>
  <c r="I293" i="49"/>
  <c r="F362" i="47"/>
  <c r="F358" i="47"/>
  <c r="F354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47" i="47"/>
  <c r="F343" i="47"/>
  <c r="F339" i="47"/>
  <c r="F335" i="47"/>
  <c r="F331" i="47"/>
  <c r="I321" i="49"/>
  <c r="G260" i="47"/>
  <c r="I199" i="49"/>
  <c r="G170" i="47"/>
  <c r="I171" i="49" s="1"/>
  <c r="I107" i="49"/>
  <c r="I230" i="49"/>
  <c r="I138" i="49"/>
  <c r="G140" i="47"/>
  <c r="I77" i="49"/>
  <c r="G232" i="47"/>
  <c r="I233" i="49" s="1"/>
  <c r="I201" i="49"/>
  <c r="I169" i="49"/>
  <c r="G48" i="47"/>
  <c r="I49" i="49" s="1"/>
  <c r="G201" i="47"/>
  <c r="I202" i="49" s="1"/>
  <c r="G17" i="47"/>
  <c r="I18" i="49" s="1"/>
  <c r="I232" i="49"/>
  <c r="I200" i="49"/>
  <c r="I168" i="49"/>
  <c r="I108" i="49"/>
  <c r="G79" i="47"/>
  <c r="I80" i="49" s="1"/>
  <c r="I48" i="49"/>
  <c r="I324" i="49"/>
  <c r="G291" i="47"/>
  <c r="I292" i="49" s="1"/>
  <c r="I260" i="49"/>
  <c r="F397" i="49"/>
  <c r="G382" i="47"/>
  <c r="I383" i="49" s="1"/>
  <c r="I141" i="49" l="1"/>
  <c r="G352" i="47"/>
  <c r="I353" i="49" s="1"/>
  <c r="I352" i="49"/>
  <c r="I140" i="49"/>
  <c r="G109" i="47"/>
  <c r="I110" i="49" s="1"/>
  <c r="G321" i="47"/>
  <c r="I322" i="49" s="1"/>
  <c r="I79" i="49"/>
  <c r="I291" i="49"/>
  <c r="I261" i="49"/>
  <c r="F397" i="47"/>
  <c r="F396" i="47"/>
  <c r="G397" i="49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F382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F323" i="47"/>
  <c r="E323" i="47"/>
  <c r="F322" i="47"/>
  <c r="E322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E293" i="47"/>
  <c r="F292" i="47"/>
  <c r="E292" i="47"/>
  <c r="E291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E262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E232" i="47"/>
  <c r="F231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F170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E140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E109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F50" i="47"/>
  <c r="E50" i="47"/>
  <c r="F49" i="47"/>
  <c r="E49" i="47"/>
  <c r="E48" i="47"/>
  <c r="E47" i="47"/>
  <c r="F46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K22" i="6" l="1"/>
  <c r="I22" i="6"/>
  <c r="G22" i="6"/>
  <c r="K15" i="6"/>
  <c r="I15" i="6"/>
  <c r="I26" i="6" l="1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2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C42" i="44" l="1"/>
  <c r="E1209" i="47"/>
  <c r="E1208" i="47"/>
  <c r="E1207" i="47"/>
  <c r="E1206" i="47"/>
  <c r="E1205" i="47"/>
  <c r="E1204" i="47"/>
  <c r="E1203" i="47"/>
  <c r="E1202" i="47"/>
  <c r="E1201" i="47"/>
  <c r="E1200" i="47"/>
  <c r="E1199" i="47"/>
  <c r="E1198" i="47"/>
  <c r="E1197" i="47"/>
  <c r="E1196" i="47"/>
  <c r="E1195" i="47"/>
  <c r="E1194" i="47"/>
  <c r="E1193" i="47"/>
  <c r="E1192" i="47"/>
  <c r="E1191" i="47"/>
  <c r="E1190" i="47"/>
  <c r="E1189" i="47"/>
  <c r="E1188" i="47"/>
  <c r="E1187" i="47"/>
  <c r="E1186" i="47"/>
  <c r="E1185" i="47"/>
  <c r="E1184" i="47"/>
  <c r="E1183" i="47"/>
  <c r="E1182" i="47"/>
  <c r="E1181" i="47"/>
  <c r="E1180" i="47"/>
  <c r="E1179" i="47"/>
  <c r="E1178" i="47"/>
  <c r="E1177" i="47"/>
  <c r="E1176" i="47"/>
  <c r="E1175" i="47"/>
  <c r="E1174" i="47"/>
  <c r="E1173" i="47"/>
  <c r="E1172" i="47"/>
  <c r="E1171" i="47"/>
  <c r="E1170" i="47"/>
  <c r="E1169" i="47"/>
  <c r="E1168" i="47"/>
  <c r="E1167" i="47"/>
  <c r="E1166" i="47"/>
  <c r="E1165" i="47"/>
  <c r="E1164" i="47"/>
  <c r="E1163" i="47"/>
  <c r="E1162" i="47"/>
  <c r="E1161" i="47"/>
  <c r="E1160" i="47"/>
  <c r="E1159" i="47"/>
  <c r="E1158" i="47"/>
  <c r="E1157" i="47"/>
  <c r="E1156" i="47"/>
  <c r="E1155" i="47"/>
  <c r="E1154" i="47"/>
  <c r="E1153" i="47"/>
  <c r="E1152" i="47"/>
  <c r="E1151" i="47"/>
  <c r="E1150" i="47"/>
  <c r="E1149" i="47"/>
  <c r="E1148" i="47"/>
  <c r="E1147" i="47"/>
  <c r="E1146" i="47"/>
  <c r="E1145" i="47"/>
  <c r="E1144" i="47"/>
  <c r="E1143" i="47"/>
  <c r="E1142" i="47"/>
  <c r="E1141" i="47"/>
  <c r="E1140" i="47"/>
  <c r="E1139" i="47"/>
  <c r="E1138" i="47"/>
  <c r="E1137" i="47"/>
  <c r="E1136" i="47"/>
  <c r="E1135" i="47"/>
  <c r="E1134" i="47"/>
  <c r="E1133" i="47"/>
  <c r="E1132" i="47"/>
  <c r="E1131" i="47"/>
  <c r="E1130" i="47"/>
  <c r="E1129" i="47"/>
  <c r="E1128" i="47"/>
  <c r="E1127" i="47"/>
  <c r="E1126" i="47"/>
  <c r="E1125" i="47"/>
  <c r="E1124" i="47"/>
  <c r="E1123" i="47"/>
  <c r="E1122" i="47"/>
  <c r="E1121" i="47"/>
  <c r="E1120" i="47"/>
  <c r="E1119" i="47"/>
  <c r="E1118" i="47"/>
  <c r="E1117" i="47"/>
  <c r="E1116" i="47"/>
  <c r="E1115" i="47"/>
  <c r="E1114" i="47"/>
  <c r="E1113" i="47"/>
  <c r="E1112" i="47"/>
  <c r="E1111" i="47"/>
  <c r="E1110" i="47"/>
  <c r="E1109" i="47"/>
  <c r="E1108" i="47"/>
  <c r="E1107" i="47"/>
  <c r="E1106" i="47"/>
  <c r="E1105" i="47"/>
  <c r="E1104" i="47"/>
  <c r="E1103" i="47"/>
  <c r="E1102" i="47"/>
  <c r="E1101" i="47"/>
  <c r="E1100" i="47"/>
  <c r="E1099" i="47"/>
  <c r="E1098" i="47"/>
  <c r="E1097" i="47"/>
  <c r="E1096" i="47"/>
  <c r="E1095" i="47"/>
  <c r="E1094" i="47"/>
  <c r="E1093" i="47"/>
  <c r="E1092" i="47"/>
  <c r="E1091" i="47"/>
  <c r="E1090" i="47"/>
  <c r="E1089" i="47"/>
  <c r="E1088" i="47"/>
  <c r="E1087" i="47"/>
  <c r="E1086" i="47"/>
  <c r="E1085" i="47"/>
  <c r="E1084" i="47"/>
  <c r="E1083" i="47"/>
  <c r="E1082" i="47"/>
  <c r="E1081" i="47"/>
  <c r="E1080" i="47"/>
  <c r="E1079" i="47"/>
  <c r="E1078" i="47"/>
  <c r="E1077" i="47"/>
  <c r="E1076" i="47"/>
  <c r="E1075" i="47"/>
  <c r="E1074" i="47"/>
  <c r="E1073" i="47"/>
  <c r="E1072" i="47"/>
  <c r="E1071" i="47"/>
  <c r="E1070" i="47"/>
  <c r="E1069" i="47"/>
  <c r="E1068" i="47"/>
  <c r="E1067" i="47"/>
  <c r="E1066" i="47"/>
  <c r="E1065" i="47"/>
  <c r="E1064" i="47"/>
  <c r="E1063" i="47"/>
  <c r="E1062" i="47"/>
  <c r="E1061" i="47"/>
  <c r="E1060" i="47"/>
  <c r="E1059" i="47"/>
  <c r="E1058" i="47"/>
  <c r="E1057" i="47"/>
  <c r="E1056" i="47"/>
  <c r="E1055" i="47"/>
  <c r="E1054" i="47"/>
  <c r="E1053" i="47"/>
  <c r="E1052" i="47"/>
  <c r="E1051" i="47"/>
  <c r="E1050" i="47"/>
  <c r="E1049" i="47"/>
  <c r="E1048" i="47"/>
  <c r="E1047" i="47"/>
  <c r="E1046" i="47"/>
  <c r="E1045" i="47"/>
  <c r="E1044" i="47"/>
  <c r="E1043" i="47"/>
  <c r="E1042" i="47"/>
  <c r="E1041" i="47"/>
  <c r="E1040" i="47"/>
  <c r="E1039" i="47"/>
  <c r="E1038" i="47"/>
  <c r="E1037" i="47"/>
  <c r="E1036" i="47"/>
  <c r="E1035" i="47"/>
  <c r="E1034" i="47"/>
  <c r="E1033" i="47"/>
  <c r="E1032" i="47"/>
  <c r="E1031" i="47"/>
  <c r="E1030" i="47"/>
  <c r="E1029" i="47"/>
  <c r="E1028" i="47"/>
  <c r="E1027" i="47"/>
  <c r="E1026" i="47"/>
  <c r="E1025" i="47"/>
  <c r="E1024" i="47"/>
  <c r="E1023" i="47"/>
  <c r="E1022" i="47"/>
  <c r="E1021" i="47"/>
  <c r="E1020" i="47"/>
  <c r="E1019" i="47"/>
  <c r="E1018" i="47"/>
  <c r="E1017" i="47"/>
  <c r="E1016" i="47"/>
  <c r="E1015" i="47"/>
  <c r="E1014" i="47"/>
  <c r="E1013" i="47"/>
  <c r="E1012" i="47"/>
  <c r="E1011" i="47"/>
  <c r="E1010" i="47"/>
  <c r="E1009" i="47"/>
  <c r="E1008" i="47"/>
  <c r="E1007" i="47"/>
  <c r="E1006" i="47"/>
  <c r="E1005" i="47"/>
  <c r="E1004" i="47"/>
  <c r="E1003" i="47"/>
  <c r="E1002" i="47"/>
  <c r="E1001" i="47"/>
  <c r="E1000" i="47"/>
  <c r="E999" i="47"/>
  <c r="E998" i="47"/>
  <c r="E997" i="47"/>
  <c r="E996" i="47"/>
  <c r="E995" i="47"/>
  <c r="E994" i="47"/>
  <c r="E993" i="47"/>
  <c r="E992" i="47"/>
  <c r="E991" i="47"/>
  <c r="E990" i="47"/>
  <c r="E989" i="47"/>
  <c r="E988" i="47"/>
  <c r="E987" i="47"/>
  <c r="E986" i="47"/>
  <c r="E985" i="47"/>
  <c r="E984" i="47"/>
  <c r="E983" i="47"/>
  <c r="E982" i="47"/>
  <c r="E981" i="47"/>
  <c r="E980" i="47"/>
  <c r="E979" i="47"/>
  <c r="E978" i="47"/>
  <c r="E977" i="47"/>
  <c r="E976" i="47"/>
  <c r="E975" i="47"/>
  <c r="E974" i="47"/>
  <c r="E973" i="47"/>
  <c r="E972" i="47"/>
  <c r="E971" i="47"/>
  <c r="E970" i="47"/>
  <c r="E969" i="47"/>
  <c r="E968" i="47"/>
  <c r="E967" i="47"/>
  <c r="E966" i="47"/>
  <c r="E965" i="47"/>
  <c r="E964" i="47"/>
  <c r="E963" i="47"/>
  <c r="E962" i="47"/>
  <c r="E961" i="47"/>
  <c r="E960" i="47"/>
  <c r="E959" i="47"/>
  <c r="E958" i="47"/>
  <c r="E957" i="47"/>
  <c r="E956" i="47"/>
  <c r="E955" i="47"/>
  <c r="E954" i="47"/>
  <c r="E953" i="47"/>
  <c r="E952" i="47"/>
  <c r="E951" i="47"/>
  <c r="E950" i="47"/>
  <c r="E949" i="47"/>
  <c r="E948" i="47"/>
  <c r="E947" i="47"/>
  <c r="E946" i="47"/>
  <c r="E945" i="47"/>
  <c r="E944" i="47"/>
  <c r="E943" i="47"/>
  <c r="E942" i="47"/>
  <c r="E941" i="47"/>
  <c r="E940" i="47"/>
  <c r="E939" i="47"/>
  <c r="E938" i="47"/>
  <c r="E937" i="47"/>
  <c r="E936" i="47"/>
  <c r="E935" i="47"/>
  <c r="E934" i="47"/>
  <c r="E933" i="47"/>
  <c r="E932" i="47"/>
  <c r="E931" i="47"/>
  <c r="E930" i="47"/>
  <c r="E929" i="47"/>
  <c r="E928" i="47"/>
  <c r="E927" i="47"/>
  <c r="E926" i="47"/>
  <c r="E925" i="47"/>
  <c r="E924" i="47"/>
  <c r="E923" i="47"/>
  <c r="E922" i="47"/>
  <c r="E921" i="47"/>
  <c r="E920" i="47"/>
  <c r="E919" i="47"/>
  <c r="E918" i="47"/>
  <c r="E917" i="47"/>
  <c r="E916" i="47"/>
  <c r="E915" i="47"/>
  <c r="E914" i="47"/>
  <c r="E913" i="47"/>
  <c r="E912" i="47"/>
  <c r="E911" i="47"/>
  <c r="E910" i="47"/>
  <c r="E909" i="47"/>
  <c r="E908" i="47"/>
  <c r="E907" i="47"/>
  <c r="E906" i="47"/>
  <c r="E905" i="47"/>
  <c r="E904" i="47"/>
  <c r="E903" i="47"/>
  <c r="E902" i="47"/>
  <c r="E901" i="47"/>
  <c r="E900" i="47"/>
  <c r="E899" i="47"/>
  <c r="E898" i="47"/>
  <c r="E897" i="47"/>
  <c r="E896" i="47"/>
  <c r="E895" i="47"/>
  <c r="E894" i="47"/>
  <c r="E893" i="47"/>
  <c r="E892" i="47"/>
  <c r="E891" i="47"/>
  <c r="E890" i="47"/>
  <c r="E889" i="47"/>
  <c r="E888" i="47"/>
  <c r="E887" i="47"/>
  <c r="E886" i="47"/>
  <c r="E885" i="47"/>
  <c r="E884" i="47"/>
  <c r="E883" i="47"/>
  <c r="E882" i="47"/>
  <c r="E881" i="47"/>
  <c r="E880" i="47"/>
  <c r="E879" i="47"/>
  <c r="E878" i="47"/>
  <c r="E877" i="47"/>
  <c r="E876" i="47"/>
  <c r="E875" i="47"/>
  <c r="E874" i="47"/>
  <c r="E873" i="47"/>
  <c r="E872" i="47"/>
  <c r="E871" i="47"/>
  <c r="E870" i="47"/>
  <c r="E869" i="47"/>
  <c r="E868" i="47"/>
  <c r="E867" i="47"/>
  <c r="E866" i="47"/>
  <c r="E865" i="47"/>
  <c r="E864" i="47"/>
  <c r="E863" i="47"/>
  <c r="E862" i="47"/>
  <c r="E861" i="47"/>
  <c r="E860" i="47"/>
  <c r="E859" i="47"/>
  <c r="E858" i="47"/>
  <c r="E857" i="47"/>
  <c r="E856" i="47"/>
  <c r="E855" i="47"/>
  <c r="E854" i="47"/>
  <c r="E853" i="47"/>
  <c r="E852" i="47"/>
  <c r="E851" i="47"/>
  <c r="E850" i="47"/>
  <c r="E849" i="47"/>
  <c r="E848" i="47"/>
  <c r="E847" i="47"/>
  <c r="E846" i="47"/>
  <c r="E845" i="47"/>
  <c r="E844" i="47"/>
  <c r="E843" i="47"/>
  <c r="E842" i="47"/>
  <c r="E841" i="47"/>
  <c r="E840" i="47"/>
  <c r="E839" i="47"/>
  <c r="E838" i="47"/>
  <c r="E837" i="47"/>
  <c r="E836" i="47"/>
  <c r="E835" i="47"/>
  <c r="E834" i="47"/>
  <c r="E833" i="47"/>
  <c r="E832" i="47"/>
  <c r="E831" i="47"/>
  <c r="E830" i="47"/>
  <c r="E829" i="47"/>
  <c r="E828" i="47"/>
  <c r="E827" i="47"/>
  <c r="E826" i="47"/>
  <c r="E825" i="47"/>
  <c r="E824" i="47"/>
  <c r="E823" i="47"/>
  <c r="E822" i="47"/>
  <c r="E821" i="47"/>
  <c r="E820" i="47"/>
  <c r="E819" i="47"/>
  <c r="E818" i="47"/>
  <c r="E817" i="47"/>
  <c r="E816" i="47"/>
  <c r="E815" i="47"/>
  <c r="E814" i="47"/>
  <c r="E813" i="47"/>
  <c r="E812" i="47"/>
  <c r="E811" i="47"/>
  <c r="E810" i="47"/>
  <c r="E809" i="47"/>
  <c r="E808" i="47"/>
  <c r="E807" i="47"/>
  <c r="E806" i="47"/>
  <c r="E805" i="47"/>
  <c r="E804" i="47"/>
  <c r="E803" i="47"/>
  <c r="E802" i="47"/>
  <c r="E801" i="47"/>
  <c r="E800" i="47"/>
  <c r="E799" i="47"/>
  <c r="E798" i="47"/>
  <c r="E797" i="47"/>
  <c r="E796" i="47"/>
  <c r="E795" i="47"/>
  <c r="E794" i="47"/>
  <c r="E793" i="47"/>
  <c r="E792" i="47"/>
  <c r="E791" i="47"/>
  <c r="E790" i="47"/>
  <c r="E789" i="47"/>
  <c r="E788" i="47"/>
  <c r="E787" i="47"/>
  <c r="E786" i="47"/>
  <c r="E785" i="47"/>
  <c r="E784" i="47"/>
  <c r="E783" i="47"/>
  <c r="E782" i="47"/>
  <c r="E781" i="47"/>
  <c r="E780" i="47"/>
  <c r="E779" i="47"/>
  <c r="E778" i="47"/>
  <c r="E777" i="47"/>
  <c r="E776" i="47"/>
  <c r="E775" i="47"/>
  <c r="E774" i="47"/>
  <c r="E773" i="47"/>
  <c r="E772" i="47"/>
  <c r="E771" i="47"/>
  <c r="E770" i="47"/>
  <c r="E769" i="47"/>
  <c r="E768" i="47"/>
  <c r="E767" i="47"/>
  <c r="E766" i="47"/>
  <c r="E765" i="47"/>
  <c r="E764" i="47"/>
  <c r="E763" i="47"/>
  <c r="E762" i="47"/>
  <c r="E761" i="47"/>
  <c r="E760" i="47"/>
  <c r="E759" i="47"/>
  <c r="E758" i="47"/>
  <c r="E757" i="47"/>
  <c r="E756" i="47"/>
  <c r="E755" i="47"/>
  <c r="E754" i="47"/>
  <c r="E753" i="47"/>
  <c r="E752" i="47"/>
  <c r="E751" i="47"/>
  <c r="E750" i="47"/>
  <c r="E749" i="47"/>
  <c r="E748" i="47"/>
  <c r="E747" i="47"/>
  <c r="E746" i="47"/>
  <c r="E745" i="47"/>
  <c r="E744" i="47"/>
  <c r="E743" i="47"/>
  <c r="E742" i="47"/>
  <c r="E741" i="47"/>
  <c r="E740" i="47"/>
  <c r="E739" i="47"/>
  <c r="E738" i="47"/>
  <c r="E737" i="47"/>
  <c r="E736" i="47"/>
  <c r="E735" i="47"/>
  <c r="E734" i="47"/>
  <c r="E733" i="47"/>
  <c r="E732" i="47"/>
  <c r="E731" i="47"/>
  <c r="E730" i="47"/>
  <c r="E729" i="47"/>
  <c r="E728" i="47"/>
  <c r="E727" i="47"/>
  <c r="E726" i="47"/>
  <c r="E725" i="47"/>
  <c r="E724" i="47"/>
  <c r="E723" i="47"/>
  <c r="E722" i="47"/>
  <c r="E721" i="47"/>
  <c r="E720" i="47"/>
  <c r="E719" i="47"/>
  <c r="E718" i="47"/>
  <c r="E717" i="47"/>
  <c r="E716" i="47"/>
  <c r="E715" i="47"/>
  <c r="E714" i="47"/>
  <c r="E713" i="47"/>
  <c r="E712" i="47"/>
  <c r="E711" i="47"/>
  <c r="E710" i="47"/>
  <c r="E709" i="47"/>
  <c r="E708" i="47"/>
  <c r="E707" i="47"/>
  <c r="E706" i="47"/>
  <c r="E705" i="47"/>
  <c r="E704" i="47"/>
  <c r="E703" i="47"/>
  <c r="E702" i="47"/>
  <c r="E701" i="47"/>
  <c r="E700" i="47"/>
  <c r="E699" i="47"/>
  <c r="E698" i="47"/>
  <c r="E697" i="47"/>
  <c r="E696" i="47"/>
  <c r="E695" i="47"/>
  <c r="E694" i="47"/>
  <c r="E693" i="47"/>
  <c r="E692" i="47"/>
  <c r="E691" i="47"/>
  <c r="E690" i="47"/>
  <c r="E689" i="47"/>
  <c r="E688" i="47"/>
  <c r="E687" i="47"/>
  <c r="E686" i="47"/>
  <c r="E685" i="47"/>
  <c r="E684" i="47"/>
  <c r="E683" i="47"/>
  <c r="E682" i="47"/>
  <c r="E681" i="47"/>
  <c r="E680" i="47"/>
  <c r="E679" i="47"/>
  <c r="E678" i="47"/>
  <c r="E677" i="47"/>
  <c r="E676" i="47"/>
  <c r="E675" i="47"/>
  <c r="E674" i="47"/>
  <c r="E673" i="47"/>
  <c r="E672" i="47"/>
  <c r="E671" i="47"/>
  <c r="E670" i="47"/>
  <c r="E669" i="47"/>
  <c r="E668" i="47"/>
  <c r="E667" i="47"/>
  <c r="E666" i="47"/>
  <c r="E665" i="47"/>
  <c r="E664" i="47"/>
  <c r="E663" i="47"/>
  <c r="E662" i="47"/>
  <c r="E661" i="47"/>
  <c r="E660" i="47"/>
  <c r="E659" i="47"/>
  <c r="E658" i="47"/>
  <c r="E657" i="47"/>
  <c r="E656" i="47"/>
  <c r="E655" i="47"/>
  <c r="E654" i="47"/>
  <c r="E653" i="47"/>
  <c r="E652" i="47"/>
  <c r="E651" i="47"/>
  <c r="E650" i="47"/>
  <c r="E649" i="47"/>
  <c r="E648" i="47"/>
  <c r="E647" i="47"/>
  <c r="E646" i="47"/>
  <c r="E645" i="47"/>
  <c r="E644" i="47"/>
  <c r="E643" i="47"/>
  <c r="E642" i="47"/>
  <c r="E641" i="47"/>
  <c r="E640" i="47"/>
  <c r="E639" i="47"/>
  <c r="E638" i="47"/>
  <c r="E637" i="47"/>
  <c r="E636" i="47"/>
  <c r="E635" i="47"/>
  <c r="E634" i="47"/>
  <c r="E633" i="47"/>
  <c r="E632" i="47"/>
  <c r="E631" i="47"/>
  <c r="E630" i="47"/>
  <c r="E629" i="47"/>
  <c r="E628" i="47"/>
  <c r="E627" i="47"/>
  <c r="E626" i="47"/>
  <c r="E625" i="47"/>
  <c r="E624" i="47"/>
  <c r="E623" i="47"/>
  <c r="E622" i="47"/>
  <c r="E621" i="47"/>
  <c r="E620" i="47"/>
  <c r="E619" i="47"/>
  <c r="E618" i="47"/>
  <c r="E617" i="47"/>
  <c r="E616" i="47"/>
  <c r="E615" i="47"/>
  <c r="E614" i="47"/>
  <c r="E613" i="47"/>
  <c r="E612" i="47"/>
  <c r="E611" i="47"/>
  <c r="E610" i="47"/>
  <c r="E609" i="47"/>
  <c r="E608" i="47"/>
  <c r="E607" i="47"/>
  <c r="E606" i="47"/>
  <c r="E605" i="47"/>
  <c r="E604" i="47"/>
  <c r="E603" i="47"/>
  <c r="E602" i="47"/>
  <c r="E601" i="47"/>
  <c r="E600" i="47"/>
  <c r="E599" i="47"/>
  <c r="E598" i="47"/>
  <c r="E597" i="47"/>
  <c r="E596" i="47"/>
  <c r="E595" i="47"/>
  <c r="E594" i="47"/>
  <c r="E593" i="47"/>
  <c r="E592" i="47"/>
  <c r="E591" i="47"/>
  <c r="E590" i="47"/>
  <c r="E589" i="47"/>
  <c r="E588" i="47"/>
  <c r="E587" i="47"/>
  <c r="E586" i="47"/>
  <c r="E585" i="47"/>
  <c r="E584" i="47"/>
  <c r="E583" i="47"/>
  <c r="E582" i="47"/>
  <c r="E581" i="47"/>
  <c r="E580" i="47"/>
  <c r="E579" i="47"/>
  <c r="E578" i="47"/>
  <c r="E577" i="47"/>
  <c r="E576" i="47"/>
  <c r="E575" i="47"/>
  <c r="E574" i="47"/>
  <c r="E573" i="47"/>
  <c r="E572" i="47"/>
  <c r="E571" i="47"/>
  <c r="E570" i="47"/>
  <c r="E569" i="47"/>
  <c r="E568" i="47"/>
  <c r="E567" i="47"/>
  <c r="E566" i="47"/>
  <c r="E565" i="47"/>
  <c r="E564" i="47"/>
  <c r="E563" i="47"/>
  <c r="E562" i="47"/>
  <c r="E561" i="47"/>
  <c r="E560" i="47"/>
  <c r="E559" i="47"/>
  <c r="E558" i="47"/>
  <c r="E557" i="47"/>
  <c r="E556" i="47"/>
  <c r="E555" i="47"/>
  <c r="E554" i="47"/>
  <c r="E553" i="47"/>
  <c r="E552" i="47"/>
  <c r="E551" i="47"/>
  <c r="E550" i="47"/>
  <c r="E549" i="47"/>
  <c r="E548" i="47"/>
  <c r="E547" i="47"/>
  <c r="E546" i="47"/>
  <c r="E545" i="47"/>
  <c r="E544" i="47"/>
  <c r="E543" i="47"/>
  <c r="E542" i="47"/>
  <c r="E541" i="47"/>
  <c r="E540" i="47"/>
  <c r="E539" i="47"/>
  <c r="E538" i="47"/>
  <c r="E537" i="47"/>
  <c r="E536" i="47"/>
  <c r="E535" i="47"/>
  <c r="E534" i="47"/>
  <c r="E533" i="47"/>
  <c r="E532" i="47"/>
  <c r="E531" i="47"/>
  <c r="E530" i="47"/>
  <c r="E529" i="47"/>
  <c r="E528" i="47"/>
  <c r="E527" i="47"/>
  <c r="E526" i="47"/>
  <c r="E525" i="47"/>
  <c r="E524" i="47"/>
  <c r="E523" i="47"/>
  <c r="E522" i="47"/>
  <c r="E521" i="47"/>
  <c r="E520" i="47"/>
  <c r="E519" i="47"/>
  <c r="E518" i="47"/>
  <c r="E517" i="47"/>
  <c r="E516" i="47"/>
  <c r="E515" i="47"/>
  <c r="E514" i="47"/>
  <c r="E513" i="47"/>
  <c r="E512" i="47"/>
  <c r="E511" i="47"/>
  <c r="E510" i="47"/>
  <c r="E509" i="47"/>
  <c r="E508" i="47"/>
  <c r="E507" i="47"/>
  <c r="E506" i="47"/>
  <c r="E505" i="47"/>
  <c r="E504" i="47"/>
  <c r="E503" i="47"/>
  <c r="E502" i="47"/>
  <c r="E501" i="47"/>
  <c r="E500" i="47"/>
  <c r="E499" i="47"/>
  <c r="E498" i="47"/>
  <c r="E497" i="47"/>
  <c r="E496" i="47"/>
  <c r="E495" i="47"/>
  <c r="E494" i="47"/>
  <c r="E493" i="47"/>
  <c r="E492" i="47"/>
  <c r="E491" i="47"/>
  <c r="E490" i="47"/>
  <c r="E489" i="47"/>
  <c r="E488" i="47"/>
  <c r="E487" i="47"/>
  <c r="E486" i="47"/>
  <c r="E485" i="47"/>
  <c r="E484" i="47"/>
  <c r="E483" i="47"/>
  <c r="E482" i="47"/>
  <c r="E481" i="47"/>
  <c r="E480" i="47"/>
  <c r="E479" i="47"/>
  <c r="E478" i="47"/>
  <c r="E477" i="47"/>
  <c r="E476" i="47"/>
  <c r="E475" i="47"/>
  <c r="E474" i="47"/>
  <c r="E473" i="47"/>
  <c r="E472" i="47"/>
  <c r="E471" i="47"/>
  <c r="E470" i="47"/>
  <c r="E469" i="47"/>
  <c r="E468" i="47"/>
  <c r="E467" i="47"/>
  <c r="E466" i="47"/>
  <c r="E465" i="47"/>
  <c r="E464" i="47"/>
  <c r="E463" i="47"/>
  <c r="E462" i="47"/>
  <c r="E461" i="47"/>
  <c r="E460" i="47"/>
  <c r="E459" i="47"/>
  <c r="E458" i="47"/>
  <c r="E457" i="47"/>
  <c r="E456" i="47"/>
  <c r="E455" i="47"/>
  <c r="E454" i="47"/>
  <c r="E453" i="47"/>
  <c r="E452" i="47"/>
  <c r="E451" i="47"/>
  <c r="E450" i="47"/>
  <c r="E449" i="47"/>
  <c r="E448" i="47"/>
  <c r="E447" i="47"/>
  <c r="E446" i="47"/>
  <c r="E445" i="47"/>
  <c r="E444" i="47"/>
  <c r="E443" i="47"/>
  <c r="E442" i="47"/>
  <c r="E441" i="47"/>
  <c r="E440" i="47"/>
  <c r="E439" i="47"/>
  <c r="E438" i="47"/>
  <c r="E437" i="47"/>
  <c r="E436" i="47"/>
  <c r="E435" i="47"/>
  <c r="E434" i="47"/>
  <c r="E433" i="47"/>
  <c r="E432" i="47"/>
  <c r="E431" i="47"/>
  <c r="E430" i="47"/>
  <c r="E429" i="47"/>
  <c r="E428" i="47"/>
  <c r="E427" i="47"/>
  <c r="E426" i="47"/>
  <c r="E425" i="47"/>
  <c r="E424" i="47"/>
  <c r="E423" i="47"/>
  <c r="E422" i="47"/>
  <c r="E421" i="47"/>
  <c r="E420" i="47"/>
  <c r="E419" i="47"/>
  <c r="E418" i="47"/>
  <c r="E417" i="47"/>
  <c r="E416" i="47"/>
  <c r="E415" i="47"/>
  <c r="E414" i="47"/>
  <c r="E413" i="47"/>
  <c r="G412" i="47"/>
  <c r="F412" i="47"/>
  <c r="E412" i="47"/>
  <c r="F411" i="47"/>
  <c r="E411" i="47"/>
  <c r="F410" i="47"/>
  <c r="E410" i="47"/>
  <c r="F409" i="47"/>
  <c r="E409" i="47"/>
  <c r="F408" i="47"/>
  <c r="E408" i="47"/>
  <c r="F407" i="47"/>
  <c r="E407" i="47"/>
  <c r="F406" i="47"/>
  <c r="E406" i="47"/>
  <c r="F405" i="47"/>
  <c r="E405" i="47"/>
  <c r="F404" i="47"/>
  <c r="E404" i="47"/>
  <c r="F403" i="47"/>
  <c r="E403" i="47"/>
  <c r="F402" i="47"/>
  <c r="E402" i="47"/>
  <c r="F401" i="47"/>
  <c r="E401" i="47"/>
  <c r="C36" i="44" l="1"/>
  <c r="C44" i="44"/>
  <c r="C35" i="44"/>
  <c r="C43" i="44"/>
  <c r="C37" i="44"/>
  <c r="C38" i="44"/>
  <c r="C34" i="44"/>
  <c r="C41" i="44"/>
  <c r="C45" i="44"/>
  <c r="C39" i="44"/>
  <c r="C40" i="44"/>
  <c r="D46" i="44"/>
  <c r="F34" i="44" l="1"/>
  <c r="F33" i="44"/>
  <c r="F7" i="15" l="1"/>
  <c r="B186" i="48" l="1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J5" i="49" l="1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D130" i="48" l="1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C43" i="48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AA197" i="48" l="1"/>
  <c r="C64" i="48"/>
  <c r="C63" i="48"/>
  <c r="C62" i="48"/>
  <c r="C61" i="48"/>
  <c r="C60" i="48"/>
  <c r="C59" i="48"/>
  <c r="C58" i="48"/>
  <c r="C56" i="48"/>
  <c r="C55" i="48"/>
  <c r="C54" i="48"/>
  <c r="C53" i="48"/>
  <c r="C48" i="48"/>
  <c r="C47" i="48"/>
  <c r="C46" i="48"/>
  <c r="C45" i="48"/>
  <c r="C44" i="48"/>
  <c r="C42" i="48"/>
  <c r="C40" i="48"/>
  <c r="C38" i="48"/>
  <c r="C37" i="48"/>
  <c r="F54" i="48" l="1"/>
  <c r="F38" i="48"/>
  <c r="C41" i="48"/>
  <c r="F37" i="48" s="1"/>
  <c r="C57" i="48"/>
  <c r="C65" i="48" s="1"/>
  <c r="C49" i="48" l="1"/>
  <c r="F53" i="48"/>
  <c r="C5" i="48"/>
  <c r="F396" i="49" l="1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F263" i="49" l="1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4" i="49"/>
  <c r="D156" i="48" l="1"/>
  <c r="E156" i="48"/>
  <c r="D157" i="48" l="1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D186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D189" i="48" l="1"/>
  <c r="E189" i="48" s="1"/>
  <c r="D76" i="43" l="1"/>
  <c r="H76" i="43" s="1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J71" i="43"/>
  <c r="H71" i="43"/>
  <c r="F71" i="43"/>
  <c r="K76" i="43" l="1"/>
  <c r="J76" i="43" l="1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4" i="49"/>
  <c r="N152" i="44" l="1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N140" i="44"/>
  <c r="M141" i="44"/>
  <c r="N165" i="44" l="1"/>
  <c r="N164" i="44"/>
  <c r="O78" i="48"/>
  <c r="N156" i="44"/>
  <c r="O68" i="48"/>
  <c r="O125" i="48"/>
  <c r="O131" i="48"/>
  <c r="O132" i="48"/>
  <c r="O127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M152" i="44"/>
  <c r="N79" i="48" s="1"/>
  <c r="M153" i="44"/>
  <c r="N80" i="48" s="1"/>
  <c r="O134" i="48"/>
  <c r="O72" i="48"/>
  <c r="O137" i="48"/>
  <c r="O138" i="48"/>
  <c r="O69" i="48"/>
  <c r="O133" i="48"/>
  <c r="O128" i="48"/>
  <c r="O136" i="48"/>
  <c r="M140" i="44"/>
  <c r="N157" i="44"/>
  <c r="L141" i="44"/>
  <c r="N154" i="44"/>
  <c r="O82" i="48" s="1"/>
  <c r="M165" i="44" l="1"/>
  <c r="M164" i="44"/>
  <c r="N166" i="44"/>
  <c r="N167" i="44"/>
  <c r="O135" i="48"/>
  <c r="N78" i="48"/>
  <c r="N158" i="44"/>
  <c r="N125" i="48"/>
  <c r="N68" i="48"/>
  <c r="O139" i="48"/>
  <c r="O129" i="48"/>
  <c r="N128" i="48"/>
  <c r="N132" i="48"/>
  <c r="N127" i="48"/>
  <c r="O89" i="48"/>
  <c r="L146" i="44"/>
  <c r="M74" i="48" s="1"/>
  <c r="L149" i="44"/>
  <c r="M77" i="48" s="1"/>
  <c r="L150" i="44"/>
  <c r="M81" i="48" s="1"/>
  <c r="L148" i="44"/>
  <c r="M76" i="48" s="1"/>
  <c r="L151" i="44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38" i="48"/>
  <c r="N131" i="48"/>
  <c r="N69" i="48"/>
  <c r="N136" i="48"/>
  <c r="N133" i="48"/>
  <c r="O88" i="48"/>
  <c r="O126" i="48"/>
  <c r="N137" i="48"/>
  <c r="N134" i="48"/>
  <c r="N72" i="48"/>
  <c r="L140" i="44"/>
  <c r="M157" i="44"/>
  <c r="M156" i="44"/>
  <c r="M154" i="44"/>
  <c r="N82" i="48" s="1"/>
  <c r="K141" i="44"/>
  <c r="O146" i="48" l="1"/>
  <c r="L164" i="44"/>
  <c r="M166" i="44"/>
  <c r="L165" i="44"/>
  <c r="M167" i="44"/>
  <c r="O91" i="48"/>
  <c r="O92" i="48" s="1"/>
  <c r="N135" i="48"/>
  <c r="M78" i="48"/>
  <c r="M158" i="44"/>
  <c r="M159" i="44" s="1"/>
  <c r="N159" i="44"/>
  <c r="M125" i="48"/>
  <c r="M68" i="48"/>
  <c r="M69" i="48"/>
  <c r="N126" i="48"/>
  <c r="N88" i="48"/>
  <c r="M72" i="48"/>
  <c r="M131" i="48"/>
  <c r="M132" i="48"/>
  <c r="M134" i="48"/>
  <c r="M137" i="48"/>
  <c r="M128" i="48"/>
  <c r="M133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K152" i="44"/>
  <c r="L79" i="48" s="1"/>
  <c r="K153" i="44"/>
  <c r="L80" i="48" s="1"/>
  <c r="N129" i="48"/>
  <c r="O145" i="48"/>
  <c r="O148" i="48" s="1"/>
  <c r="O149" i="48" s="1"/>
  <c r="N139" i="48"/>
  <c r="M136" i="48"/>
  <c r="M127" i="48"/>
  <c r="M138" i="48"/>
  <c r="N89" i="48"/>
  <c r="K140" i="44"/>
  <c r="L156" i="44"/>
  <c r="J141" i="44"/>
  <c r="L154" i="44"/>
  <c r="M82" i="48" s="1"/>
  <c r="L157" i="44"/>
  <c r="K165" i="44" l="1"/>
  <c r="L167" i="44"/>
  <c r="K164" i="44"/>
  <c r="L166" i="44"/>
  <c r="N146" i="48"/>
  <c r="M135" i="48"/>
  <c r="N91" i="48"/>
  <c r="N92" i="48" s="1"/>
  <c r="M89" i="48"/>
  <c r="L78" i="48"/>
  <c r="L158" i="44"/>
  <c r="L159" i="44" s="1"/>
  <c r="L68" i="48"/>
  <c r="L125" i="48"/>
  <c r="L137" i="48"/>
  <c r="L134" i="48"/>
  <c r="L72" i="48"/>
  <c r="L133" i="48"/>
  <c r="L128" i="48"/>
  <c r="L132" i="48"/>
  <c r="L127" i="48"/>
  <c r="M139" i="48"/>
  <c r="L136" i="48"/>
  <c r="J149" i="44"/>
  <c r="K77" i="48" s="1"/>
  <c r="J150" i="44"/>
  <c r="K81" i="48" s="1"/>
  <c r="J151" i="44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8" i="48"/>
  <c r="L131" i="48"/>
  <c r="L69" i="48"/>
  <c r="M129" i="48"/>
  <c r="M146" i="48" s="1"/>
  <c r="N145" i="48"/>
  <c r="M88" i="48"/>
  <c r="M126" i="48"/>
  <c r="J140" i="44"/>
  <c r="K157" i="44"/>
  <c r="I141" i="44"/>
  <c r="K154" i="44"/>
  <c r="L82" i="48" s="1"/>
  <c r="K156" i="44"/>
  <c r="J165" i="44" l="1"/>
  <c r="J164" i="44"/>
  <c r="K166" i="44"/>
  <c r="K167" i="44"/>
  <c r="N148" i="48"/>
  <c r="N149" i="48" s="1"/>
  <c r="M91" i="48"/>
  <c r="M92" i="48" s="1"/>
  <c r="L89" i="48"/>
  <c r="L135" i="48"/>
  <c r="K78" i="48"/>
  <c r="K158" i="44"/>
  <c r="K159" i="44" s="1"/>
  <c r="K68" i="48"/>
  <c r="K125" i="48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I152" i="44"/>
  <c r="J79" i="48" s="1"/>
  <c r="I153" i="44"/>
  <c r="J80" i="48" s="1"/>
  <c r="M145" i="48"/>
  <c r="M148" i="48" s="1"/>
  <c r="M149" i="48" s="1"/>
  <c r="K72" i="48"/>
  <c r="K137" i="48"/>
  <c r="K134" i="48"/>
  <c r="K128" i="48"/>
  <c r="K132" i="48"/>
  <c r="K127" i="48"/>
  <c r="L129" i="48"/>
  <c r="K133" i="48"/>
  <c r="K136" i="48"/>
  <c r="L126" i="48"/>
  <c r="L88" i="48"/>
  <c r="L139" i="48"/>
  <c r="K131" i="48"/>
  <c r="K69" i="48"/>
  <c r="K138" i="48"/>
  <c r="I140" i="44"/>
  <c r="J154" i="44"/>
  <c r="K82" i="48" s="1"/>
  <c r="J156" i="44"/>
  <c r="H141" i="44"/>
  <c r="J157" i="44"/>
  <c r="I164" i="44" l="1"/>
  <c r="J167" i="44"/>
  <c r="J166" i="44"/>
  <c r="I165" i="44"/>
  <c r="L91" i="48"/>
  <c r="L92" i="48" s="1"/>
  <c r="L146" i="48"/>
  <c r="K135" i="48"/>
  <c r="J158" i="44"/>
  <c r="J159" i="44" s="1"/>
  <c r="J78" i="48"/>
  <c r="J125" i="48"/>
  <c r="J68" i="48"/>
  <c r="J136" i="48"/>
  <c r="K139" i="48"/>
  <c r="K88" i="48"/>
  <c r="K126" i="48"/>
  <c r="J137" i="48"/>
  <c r="J134" i="48"/>
  <c r="J72" i="48"/>
  <c r="J133" i="48"/>
  <c r="J128" i="48"/>
  <c r="J132" i="48"/>
  <c r="J127" i="48"/>
  <c r="K129" i="48"/>
  <c r="H151" i="44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L145" i="48"/>
  <c r="K89" i="48"/>
  <c r="J138" i="48"/>
  <c r="J131" i="48"/>
  <c r="J69" i="48"/>
  <c r="H140" i="44"/>
  <c r="I156" i="44"/>
  <c r="G141" i="44"/>
  <c r="I154" i="44"/>
  <c r="J82" i="48" s="1"/>
  <c r="I157" i="44"/>
  <c r="L148" i="48" l="1"/>
  <c r="L149" i="48" s="1"/>
  <c r="H165" i="44"/>
  <c r="I167" i="44"/>
  <c r="I166" i="44"/>
  <c r="H164" i="44"/>
  <c r="K146" i="48"/>
  <c r="K91" i="48"/>
  <c r="K92" i="48" s="1"/>
  <c r="J89" i="48"/>
  <c r="J135" i="48"/>
  <c r="I78" i="48"/>
  <c r="I158" i="44"/>
  <c r="I159" i="44" s="1"/>
  <c r="I125" i="48"/>
  <c r="I68" i="48"/>
  <c r="I69" i="48"/>
  <c r="J139" i="48"/>
  <c r="I131" i="48"/>
  <c r="I137" i="48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G152" i="44"/>
  <c r="H79" i="48" s="1"/>
  <c r="G153" i="44"/>
  <c r="H80" i="48" s="1"/>
  <c r="I138" i="48"/>
  <c r="I128" i="48"/>
  <c r="I132" i="48"/>
  <c r="K145" i="48"/>
  <c r="J126" i="48"/>
  <c r="J88" i="48"/>
  <c r="I133" i="48"/>
  <c r="I136" i="48"/>
  <c r="J129" i="48"/>
  <c r="I134" i="48"/>
  <c r="I127" i="48"/>
  <c r="I72" i="48"/>
  <c r="G140" i="44"/>
  <c r="H154" i="44"/>
  <c r="I82" i="48" s="1"/>
  <c r="H157" i="44"/>
  <c r="H156" i="44"/>
  <c r="F141" i="44"/>
  <c r="K148" i="48" l="1"/>
  <c r="K149" i="48" s="1"/>
  <c r="H167" i="44"/>
  <c r="H166" i="44"/>
  <c r="G165" i="44"/>
  <c r="G164" i="44"/>
  <c r="J91" i="48"/>
  <c r="J92" i="48" s="1"/>
  <c r="I135" i="48"/>
  <c r="J146" i="48"/>
  <c r="I89" i="48"/>
  <c r="H78" i="48"/>
  <c r="H135" i="48" s="1"/>
  <c r="H158" i="44"/>
  <c r="H159" i="44" s="1"/>
  <c r="H68" i="48"/>
  <c r="H125" i="48"/>
  <c r="H137" i="48"/>
  <c r="H72" i="48"/>
  <c r="H136" i="48"/>
  <c r="H133" i="48"/>
  <c r="H128" i="48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F152" i="44"/>
  <c r="G79" i="48" s="1"/>
  <c r="F153" i="44"/>
  <c r="G80" i="48" s="1"/>
  <c r="H132" i="48"/>
  <c r="H127" i="48"/>
  <c r="I139" i="48"/>
  <c r="H134" i="48"/>
  <c r="J145" i="48"/>
  <c r="I129" i="48"/>
  <c r="H138" i="48"/>
  <c r="H131" i="48"/>
  <c r="H69" i="48"/>
  <c r="I88" i="48"/>
  <c r="I126" i="48"/>
  <c r="F140" i="44"/>
  <c r="G154" i="44"/>
  <c r="H82" i="48" s="1"/>
  <c r="G156" i="44"/>
  <c r="G157" i="44"/>
  <c r="E141" i="44"/>
  <c r="G167" i="44" l="1"/>
  <c r="G166" i="44"/>
  <c r="F165" i="44"/>
  <c r="F164" i="44"/>
  <c r="J148" i="48"/>
  <c r="J149" i="48" s="1"/>
  <c r="I146" i="48"/>
  <c r="I91" i="48"/>
  <c r="I92" i="48" s="1"/>
  <c r="H89" i="48"/>
  <c r="G78" i="48"/>
  <c r="G135" i="48" s="1"/>
  <c r="G158" i="44"/>
  <c r="G159" i="44" s="1"/>
  <c r="G68" i="48"/>
  <c r="G125" i="48"/>
  <c r="G137" i="48"/>
  <c r="G72" i="48"/>
  <c r="I145" i="48"/>
  <c r="G136" i="48"/>
  <c r="G133" i="48"/>
  <c r="G128" i="48"/>
  <c r="H129" i="48"/>
  <c r="H146" i="48" s="1"/>
  <c r="G134" i="48"/>
  <c r="H139" i="48"/>
  <c r="G132" i="48"/>
  <c r="G127" i="48"/>
  <c r="E142" i="44"/>
  <c r="E143" i="44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E152" i="44"/>
  <c r="F79" i="48" s="1"/>
  <c r="E153" i="44"/>
  <c r="F80" i="48" s="1"/>
  <c r="H126" i="48"/>
  <c r="H88" i="48"/>
  <c r="G138" i="48"/>
  <c r="G131" i="48"/>
  <c r="G69" i="48"/>
  <c r="E140" i="44"/>
  <c r="F157" i="44"/>
  <c r="F154" i="44"/>
  <c r="G82" i="48" s="1"/>
  <c r="F156" i="44"/>
  <c r="D141" i="44"/>
  <c r="F166" i="44" l="1"/>
  <c r="F167" i="44"/>
  <c r="E165" i="44"/>
  <c r="E164" i="44"/>
  <c r="I148" i="48"/>
  <c r="I149" i="48" s="1"/>
  <c r="H91" i="48"/>
  <c r="H92" i="48" s="1"/>
  <c r="F78" i="48"/>
  <c r="F70" i="48"/>
  <c r="F158" i="44"/>
  <c r="F159" i="44" s="1"/>
  <c r="F125" i="48"/>
  <c r="F68" i="48"/>
  <c r="F138" i="48"/>
  <c r="F134" i="48"/>
  <c r="F72" i="48"/>
  <c r="G129" i="48"/>
  <c r="G146" i="48" s="1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D144" i="44"/>
  <c r="E71" i="48" s="1"/>
  <c r="D145" i="44"/>
  <c r="D147" i="44"/>
  <c r="E75" i="48" s="1"/>
  <c r="D151" i="44"/>
  <c r="D152" i="44"/>
  <c r="E79" i="48" s="1"/>
  <c r="G88" i="48"/>
  <c r="G126" i="48"/>
  <c r="F131" i="48"/>
  <c r="F137" i="48"/>
  <c r="F133" i="48"/>
  <c r="F128" i="48"/>
  <c r="F69" i="48"/>
  <c r="G139" i="48"/>
  <c r="F136" i="48"/>
  <c r="H145" i="48"/>
  <c r="H148" i="48" s="1"/>
  <c r="H149" i="48" s="1"/>
  <c r="F132" i="48"/>
  <c r="G89" i="48"/>
  <c r="D140" i="44"/>
  <c r="C141" i="44"/>
  <c r="B141" i="44" s="1"/>
  <c r="E154" i="44"/>
  <c r="F82" i="48" s="1"/>
  <c r="E156" i="44"/>
  <c r="E157" i="44"/>
  <c r="E166" i="44" l="1"/>
  <c r="D164" i="44"/>
  <c r="E167" i="44"/>
  <c r="D165" i="44"/>
  <c r="G91" i="48"/>
  <c r="G92" i="48" s="1"/>
  <c r="F127" i="48"/>
  <c r="F135" i="48"/>
  <c r="F89" i="48"/>
  <c r="E78" i="48"/>
  <c r="E70" i="48"/>
  <c r="E127" i="48" s="1"/>
  <c r="E159" i="44"/>
  <c r="E158" i="44"/>
  <c r="E125" i="48"/>
  <c r="E68" i="48"/>
  <c r="E128" i="48"/>
  <c r="E134" i="48"/>
  <c r="E137" i="48"/>
  <c r="F139" i="48"/>
  <c r="F126" i="48"/>
  <c r="F88" i="48"/>
  <c r="G145" i="48"/>
  <c r="G148" i="48" s="1"/>
  <c r="G149" i="48" s="1"/>
  <c r="E132" i="48"/>
  <c r="E69" i="48"/>
  <c r="E133" i="48"/>
  <c r="E136" i="48"/>
  <c r="C142" i="44"/>
  <c r="C143" i="44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C152" i="44"/>
  <c r="D79" i="48" s="1"/>
  <c r="C153" i="44"/>
  <c r="D80" i="48" s="1"/>
  <c r="E72" i="48"/>
  <c r="E138" i="48"/>
  <c r="E131" i="48"/>
  <c r="F129" i="48"/>
  <c r="C140" i="44"/>
  <c r="D154" i="44"/>
  <c r="E82" i="48" s="1"/>
  <c r="D157" i="44"/>
  <c r="D156" i="44"/>
  <c r="B142" i="44"/>
  <c r="C165" i="44" l="1"/>
  <c r="D167" i="44"/>
  <c r="C164" i="44"/>
  <c r="D166" i="44"/>
  <c r="F91" i="48"/>
  <c r="F92" i="48" s="1"/>
  <c r="F146" i="48"/>
  <c r="E89" i="48"/>
  <c r="E135" i="48"/>
  <c r="D78" i="48"/>
  <c r="D70" i="48"/>
  <c r="D159" i="44"/>
  <c r="D158" i="44"/>
  <c r="D68" i="48"/>
  <c r="D125" i="48"/>
  <c r="D131" i="48"/>
  <c r="D137" i="48"/>
  <c r="D134" i="48"/>
  <c r="D72" i="48"/>
  <c r="E139" i="48"/>
  <c r="D136" i="48"/>
  <c r="D133" i="48"/>
  <c r="D128" i="48"/>
  <c r="D138" i="48"/>
  <c r="D69" i="48"/>
  <c r="E88" i="48"/>
  <c r="E126" i="48"/>
  <c r="B149" i="44"/>
  <c r="C77" i="48" s="1"/>
  <c r="B150" i="44"/>
  <c r="C81" i="48" s="1"/>
  <c r="B151" i="44"/>
  <c r="B152" i="44"/>
  <c r="C79" i="48" s="1"/>
  <c r="B153" i="44"/>
  <c r="C80" i="48" s="1"/>
  <c r="B143" i="44"/>
  <c r="B144" i="44"/>
  <c r="C71" i="48" s="1"/>
  <c r="B145" i="44"/>
  <c r="B146" i="44"/>
  <c r="C74" i="48" s="1"/>
  <c r="B147" i="44"/>
  <c r="C75" i="48" s="1"/>
  <c r="B148" i="44"/>
  <c r="C76" i="48" s="1"/>
  <c r="E129" i="48"/>
  <c r="D132" i="48"/>
  <c r="F145" i="48"/>
  <c r="B140" i="44"/>
  <c r="C154" i="44"/>
  <c r="D82" i="48" s="1"/>
  <c r="C156" i="44"/>
  <c r="C157" i="44"/>
  <c r="E91" i="48" l="1"/>
  <c r="E92" i="48" s="1"/>
  <c r="C167" i="44"/>
  <c r="C166" i="44"/>
  <c r="B165" i="44"/>
  <c r="B164" i="44"/>
  <c r="F148" i="48"/>
  <c r="F149" i="48" s="1"/>
  <c r="D135" i="48"/>
  <c r="D127" i="48"/>
  <c r="E146" i="48"/>
  <c r="D89" i="48"/>
  <c r="C159" i="44"/>
  <c r="C158" i="44"/>
  <c r="C78" i="48"/>
  <c r="C135" i="48" s="1"/>
  <c r="C70" i="48"/>
  <c r="C68" i="48"/>
  <c r="C125" i="48"/>
  <c r="E145" i="48"/>
  <c r="C69" i="48"/>
  <c r="C138" i="48"/>
  <c r="C131" i="48"/>
  <c r="D139" i="48"/>
  <c r="C72" i="48"/>
  <c r="C137" i="48"/>
  <c r="C134" i="48"/>
  <c r="D126" i="48"/>
  <c r="D88" i="48"/>
  <c r="C132" i="48"/>
  <c r="C133" i="48"/>
  <c r="C128" i="48"/>
  <c r="C136" i="48"/>
  <c r="D129" i="48"/>
  <c r="B157" i="44"/>
  <c r="B156" i="44"/>
  <c r="B154" i="44"/>
  <c r="B167" i="44" s="1"/>
  <c r="B158" i="44" l="1"/>
  <c r="O158" i="44" s="1"/>
  <c r="B166" i="44"/>
  <c r="O166" i="44" s="1"/>
  <c r="E148" i="48"/>
  <c r="E149" i="48" s="1"/>
  <c r="D146" i="48"/>
  <c r="D91" i="48"/>
  <c r="D92" i="48" s="1"/>
  <c r="C127" i="48"/>
  <c r="C82" i="48"/>
  <c r="C89" i="48"/>
  <c r="B159" i="44"/>
  <c r="C129" i="48"/>
  <c r="C126" i="48"/>
  <c r="C88" i="48"/>
  <c r="D145" i="48"/>
  <c r="H91" i="44"/>
  <c r="G92" i="44"/>
  <c r="A92" i="44"/>
  <c r="E92" i="44" s="1"/>
  <c r="B51" i="44"/>
  <c r="B52" i="44"/>
  <c r="B53" i="44"/>
  <c r="B54" i="44"/>
  <c r="B55" i="44"/>
  <c r="B56" i="44"/>
  <c r="B57" i="44"/>
  <c r="B58" i="44"/>
  <c r="B59" i="44"/>
  <c r="B60" i="44"/>
  <c r="B61" i="44"/>
  <c r="C9" i="48"/>
  <c r="H15" i="6"/>
  <c r="E3" i="40"/>
  <c r="D148" i="48" l="1"/>
  <c r="D149" i="48" s="1"/>
  <c r="C91" i="48"/>
  <c r="C92" i="48" s="1"/>
  <c r="C139" i="48"/>
  <c r="C146" i="48"/>
  <c r="C32" i="48"/>
  <c r="C25" i="48"/>
  <c r="D3" i="57"/>
  <c r="E3" i="58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21" i="48"/>
  <c r="C30" i="48"/>
  <c r="C26" i="48"/>
  <c r="C22" i="48"/>
  <c r="D3" i="21"/>
  <c r="E3" i="29"/>
  <c r="K3" i="6"/>
  <c r="F7" i="6" s="1"/>
  <c r="G8" i="6" s="1"/>
  <c r="B109" i="44"/>
  <c r="H109" i="44"/>
  <c r="B110" i="44"/>
  <c r="H110" i="44"/>
  <c r="H106" i="44"/>
  <c r="B62" i="44"/>
  <c r="C50" i="44" s="1"/>
  <c r="E3" i="13"/>
  <c r="I3" i="15"/>
  <c r="E3" i="23"/>
  <c r="E3" i="30"/>
  <c r="G3" i="11"/>
  <c r="E3" i="31"/>
  <c r="E3" i="10"/>
  <c r="E3" i="14"/>
  <c r="C17" i="48" l="1"/>
  <c r="D18" i="48" s="1"/>
  <c r="C148" i="48"/>
  <c r="C149" i="48" s="1"/>
  <c r="C55" i="44"/>
  <c r="C54" i="44"/>
  <c r="C56" i="44"/>
  <c r="C61" i="44"/>
  <c r="C51" i="44"/>
  <c r="C60" i="44"/>
  <c r="C59" i="44"/>
  <c r="C53" i="44"/>
  <c r="C58" i="44"/>
  <c r="C52" i="44"/>
  <c r="C57" i="44"/>
  <c r="C33" i="48"/>
  <c r="D24" i="48" s="1"/>
  <c r="D5" i="48" l="1"/>
  <c r="D9" i="48"/>
  <c r="D6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1" i="48"/>
  <c r="D26" i="48"/>
  <c r="D32" i="48"/>
  <c r="D25" i="48"/>
  <c r="D27" i="48"/>
  <c r="D23" i="48"/>
  <c r="D30" i="48"/>
  <c r="F50" i="44"/>
  <c r="F51" i="44"/>
  <c r="D17" i="48" l="1"/>
  <c r="G6" i="48"/>
  <c r="G22" i="48"/>
  <c r="G21" i="48"/>
  <c r="C46" i="44"/>
  <c r="C62" i="44"/>
  <c r="G5" i="48" l="1"/>
  <c r="D33" i="48"/>
  <c r="C20" i="6"/>
  <c r="K8" i="6" l="1"/>
  <c r="I8" i="6"/>
  <c r="E21" i="40" l="1"/>
  <c r="E20" i="40"/>
  <c r="E17" i="40"/>
  <c r="E16" i="40"/>
  <c r="E15" i="40"/>
  <c r="E14" i="40"/>
  <c r="E13" i="40"/>
  <c r="E12" i="40"/>
  <c r="E11" i="40"/>
  <c r="E10" i="40"/>
  <c r="E9" i="40"/>
  <c r="N64" i="21" l="1"/>
  <c r="O64" i="21"/>
</calcChain>
</file>

<file path=xl/sharedStrings.xml><?xml version="1.0" encoding="utf-8"?>
<sst xmlns="http://schemas.openxmlformats.org/spreadsheetml/2006/main" count="2334" uniqueCount="243">
  <si>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</si>
  <si>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</si>
  <si>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</si>
  <si>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</si>
  <si>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</si>
  <si>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</si>
  <si>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</si>
  <si>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</si>
  <si>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</si>
  <si>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</si>
  <si>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</si>
  <si>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</si>
  <si>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</si>
  <si>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</si>
  <si>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</si>
  <si>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</si>
  <si>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</si>
  <si>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</si>
  <si>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</si>
  <si>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</si>
  <si>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</si>
  <si>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</si>
  <si>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</si>
  <si>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</si>
  <si>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</si>
  <si>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</si>
  <si>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</si>
  <si>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</si>
  <si>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</si>
  <si>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</si>
  <si>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</si>
  <si>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</si>
  <si>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</si>
  <si>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</si>
  <si>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</si>
  <si>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</si>
  <si>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</si>
  <si>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</si>
  <si>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</si>
  <si>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</si>
  <si>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</si>
  <si>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</si>
  <si>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</si>
  <si>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</si>
  <si>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</si>
  <si>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</si>
  <si>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</si>
  <si>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</si>
  <si>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</si>
  <si>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</si>
  <si>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</si>
  <si>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</si>
  <si>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</si>
  <si>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</si>
  <si>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</si>
  <si>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</si>
  <si>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</si>
  <si>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</si>
  <si>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</si>
  <si>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</si>
  <si>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</si>
  <si>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</si>
  <si>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</si>
  <si>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</si>
  <si>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</si>
  <si>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</si>
  <si>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</si>
  <si>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</si>
  <si>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</si>
  <si>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</si>
  <si>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</si>
  <si>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</si>
  <si>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</si>
  <si>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</si>
  <si>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</si>
  <si>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</si>
  <si>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</si>
  <si>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</si>
  <si>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</si>
  <si>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</si>
  <si>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</si>
  <si>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</si>
  <si>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</si>
  <si>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</si>
  <si>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</si>
  <si>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</si>
  <si>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</si>
  <si>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</si>
  <si>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</si>
  <si>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</si>
  <si>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</si>
  <si>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</si>
  <si>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</si>
  <si>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</si>
  <si>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</si>
  <si>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</si>
  <si>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</si>
  <si>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</si>
  <si>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</si>
  <si>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</si>
  <si>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</si>
  <si>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</si>
  <si>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</si>
  <si>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</si>
  <si>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</si>
  <si>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</si>
  <si>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</si>
  <si>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</si>
  <si>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</si>
  <si>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</si>
  <si>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</si>
  <si>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Balance Máx.Renov.Histórico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</si>
  <si>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</si>
  <si>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</si>
  <si>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</si>
  <si>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</si>
  <si>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</si>
  <si>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</si>
  <si>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</si>
  <si>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</si>
  <si>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</si>
  <si>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</si>
  <si>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Consumo de bombeo</t>
  </si>
  <si>
    <t>Saldos intercambios internacionales</t>
  </si>
  <si>
    <t>Demanda transporte (b.c.)</t>
  </si>
  <si>
    <t>Generación eólica / total generación (%)</t>
  </si>
  <si>
    <t>Calculadas pdte BDE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</si>
  <si>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</si>
  <si>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</si>
  <si>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</si>
  <si>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</si>
  <si>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</si>
  <si>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</si>
  <si>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</si>
  <si>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</si>
  <si>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</si>
  <si>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</si>
  <si>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</si>
  <si>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</si>
  <si>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</si>
  <si>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</si>
  <si>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</si>
  <si>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</si>
  <si>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</si>
  <si>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</si>
  <si>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</si>
  <si>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Estructura de generacion mensual de energía eléctrica peninsular 18/08/2018</t>
  </si>
  <si>
    <t/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</si>
  <si>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</si>
  <si>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</si>
  <si>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</si>
  <si>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</si>
  <si>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</si>
  <si>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</si>
  <si>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</si>
  <si>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</si>
  <si>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</si>
  <si>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</si>
  <si>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</si>
  <si>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</si>
  <si>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</si>
  <si>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</si>
  <si>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</si>
  <si>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</si>
  <si>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</si>
  <si>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</si>
  <si>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</si>
  <si>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</si>
  <si>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</si>
  <si>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Mes Año anterior (MWh)</t>
  </si>
  <si>
    <t>Año móvil Año anterior (MWh)</t>
  </si>
  <si>
    <t>FUE</t>
  </si>
  <si>
    <t>Producible Eólico Diario (GWh)</t>
  </si>
  <si>
    <t>Producible Eólico Medio 10 dia (GWh)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</si>
  <si>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</si>
  <si>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</si>
  <si>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</si>
  <si>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</si>
  <si>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</si>
  <si>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</si>
  <si>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</si>
  <si>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</si>
  <si>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</si>
  <si>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</si>
  <si>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</si>
  <si>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30/01/2021</t>
  </si>
  <si>
    <t>Febrero 2021</t>
  </si>
  <si>
    <t>Marzo 2021</t>
  </si>
  <si>
    <t>Fuel/Gas</t>
  </si>
  <si>
    <t>Abril 2021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</si>
  <si>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dvis=""&gt;&lt;ci ps="BI" srv="apcpr64b" prj="BDEbi" prjid="D066E1C611E6257C10D00080EF253B44" li="FUEPERRO" am="s" /&gt;&lt;lu ut="04/14/2021 14:11:36" si="2.00000001e7322de59dbe47c5dd6e847ade3ea82a493b66dc4cda0a8370f700ac221939a0e4a6fd40375cb0329405f00476b439bc5e0b1efc2aa30b2db5ccf42da0b51ad16121c0efe25b5144447a9c19aa6ed230cb7ef16049ccad059c080f5b774939ba37b55bdeaef9a77c75d32046ab12cd70dbd72cf41f322275b3dea8f690cd3168b1a6a75a0abc94310bd283aae6a86d0dac8d7fcfd9c5a25b6c57f8aecb70.p.3082.0.1.Europe/Madrid.upriv*_1*_pidn2*_33*_session*-lat*_1.000000017bd8c834feb80effa70a797e0418805eb5ee3e722c4b2b1b2c93507fb025f50b5ddd4345d54ea99da9346e5ebda7d38880758092.00000001fe23ced489f5264275500cf086fc5718b5ee3e72d869a63a89f7574131e6523f604c4f8cc91d793fd9bcb40aed13e045287e8a81.0.1.1.BDEbi.D066E1C611E6257C10D00080EF253B44.0-3082.1.1_-0.1.0_-3082.1.1_5.5.0.*0.000000016273e873392ec7fdbebfa49f7e6c016ac911585a4567a469c6152f0dfc64b2a059818258.0.23.11*.2*.0400*.31152J.e.00000001aefcda6e890fcb1afff167ec4799c06ac911585a778fe9f7f007ed84525cc7c257f1ff9f.0.10*.131*.122*.122.0.0" msgID="26F599CD11EB9D2ABA3A0080EF656668"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nrr="552" nrc="9180"&gt;&lt;pg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</si>
  <si>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Mayo 2021</t>
  </si>
  <si>
    <t>2021 Mayo</t>
  </si>
  <si>
    <t>Junio 2021</t>
  </si>
  <si>
    <t>Residuos no Renovables</t>
  </si>
  <si>
    <t>Potencia instalada CIL</t>
  </si>
  <si>
    <t>Combustible</t>
  </si>
  <si>
    <t>Fuel+gas</t>
  </si>
  <si>
    <t>Julio 2021</t>
  </si>
  <si>
    <t>Agosto 2021</t>
  </si>
  <si>
    <t>TERN</t>
  </si>
  <si>
    <t>Septiembre 2021</t>
  </si>
  <si>
    <t>Octubre 2021</t>
  </si>
  <si>
    <t>Noviembre 2021</t>
  </si>
  <si>
    <t>Diciembre 2021</t>
  </si>
  <si>
    <t>Miércoles 08/12/2021 (13:34 h)</t>
  </si>
  <si>
    <t>Martes 28/12/2021 (03:03 h)</t>
  </si>
  <si>
    <t>Enero 2022</t>
  </si>
  <si>
    <t>2022 Enero</t>
  </si>
  <si>
    <t>2021 Junio</t>
  </si>
  <si>
    <t>2021 Julio</t>
  </si>
  <si>
    <t>2021 Agosto</t>
  </si>
  <si>
    <t>2021 Septiembre</t>
  </si>
  <si>
    <t>2021 Octubre</t>
  </si>
  <si>
    <t>2021 Noviembre</t>
  </si>
  <si>
    <t>2021 Diciembre</t>
  </si>
  <si>
    <t>Febrero 2022</t>
  </si>
  <si>
    <t>Marzo 2022</t>
  </si>
  <si>
    <t>Abril 2022</t>
  </si>
  <si>
    <t>2022 Abril</t>
  </si>
  <si>
    <t>Sin emisiones CO2: hidráulica, nuclear, eólica, solar fotovoltaica, solar térmica, otras renovables y residuos renovables.</t>
  </si>
  <si>
    <t>Mayo 2022</t>
  </si>
  <si>
    <t>2022 Mayo</t>
  </si>
  <si>
    <t>2022 Febrero</t>
  </si>
  <si>
    <t>2022 Marzo</t>
  </si>
  <si>
    <t>Junio 2022</t>
  </si>
  <si>
    <t>Julio 2022</t>
  </si>
  <si>
    <t>31/07/2022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</si>
  <si>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ut="08/09/2022 08:09:54" si="2.00000001b020ddf314773e60ee4ad34c40141aa83286a98e74467a3b6c0d52196f67ca05a1eda192b846fcbe6b664a694d3a297c072728c6d40400d525ae45ad4fab602ea05c1a62c372d64c938e07498759e5fe047d212ec36351ef4ee8efa9249ad27703c5dc27cabac089080dc9dbd8db9c2d5e3462563ceb4fa0a46f80daf545b688a3b7d703726ebfd27e5acee416c0141b718964e50183e744c95394f1f1ab.p.3082.0.1.Europe/Madrid.upriv*_1*_pidn2*_31*_session*-lat*_1.000000014893f576764ef0642309d1c548607a9dbc6025e056c22b7a31fd937f2808fb798baabfb0d56f4c6d89c2a3f96fa71c48a6c8b801.00000001a65c24a23b4850896298777757574210bc6025e0728a96928cba998453f9b3ffaecc66f2643bdbeff4766d3ff92ed37161d66d01.0.1.1.BDEbi.D066E1C611E6257C10D00080EF253B44.0-3082.1.1_-0.1.0_-3082.1.1_5.5.0.*0.000000017bb0edd806d337c3d2b3330744389314c911585a182466c87c9d24e64314944e14bbb8c0.0.23.11*.2*.0400*.31152J.e.000000011889c23a3cf5636a20d84efad5cb4e7cc911585a0845cd6b1e67b3b4ff479a85e64df75b.0.10*.131*.122*.122.0.0" msgID="A230027E11ED17BA0A500080EF75AC9B"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nrr="92"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</si>
  <si>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ut="08/09/2022 08:28:32" si="2.00000001b020ddf314773e60ee4ad34c40141aa83286a98e74467a3b6c0d52196f67ca05a1eda192b846fcbe6b664a694d3a297c072728c6d40400d525ae45ad4fab602ea05c1a62c372d64c938e07498759e5fe047d212ec36351ef4ee8efa9249ad27703c5dc27cabac089080dc9dbd8db9c2d5e3462563ceb4fa0a46f80daf545b688a3b7d703726ebfd27e5acee416c0141b718964e50183e744c95394f1f1ab.p.3082.0.1.Europe/Madrid.upriv*_1*_pidn2*_31*_session*-lat*_1.000000014893f576764ef0642309d1c548607a9dbc6025e056c22b7a31fd937f2808fb798baabfb0d56f4c6d89c2a3f96fa71c48a6c8b801.00000001a65c24a23b4850896298777757574210bc6025e0728a96928cba998453f9b3ffaecc66f2643bdbeff4766d3ff92ed37161d66d01.0.1.1.BDEbi.D066E1C611E6257C10D00080EF253B44.0-3082.1.1_-0.1.0_-3082.1.1_5.5.0.*0.000000017bb0edd806d337c3d2b3330744389314c911585a182466c87c9d24e64314944e14bbb8c0.0.23.11*.2*.0400*.31152J.e.000000011889c23a3cf5636a20d84efad5cb4e7cc911585a0845cd6b1e67b3b4ff479a85e64df75b.0.10*.131*.122*.122.0.0" msgID="D9DFB24711ED17BA0A500080EF95EC9B"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cols="10" /&gt;&lt;esdo ews="" ece="" ptn="" /&gt;&lt;/excel&gt;&lt;pgs&gt;&lt;pg rows="18" cols="9" nrr="1278" nrc="870"&gt;&lt;pg /&gt;&lt;bls&gt;&lt;bl sr="1" sc="1" rfetch="18" cfetch="9" posid="1" darows="0" dacols="1"&gt;&lt;excel&gt;&lt;epo ews="Dat_01" ece="A4" enr="MSTR.Balance_B.C._Mensual_Peninsular"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</si>
  <si>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2022 Julio</t>
  </si>
  <si>
    <t>&lt;mi app="e" ver="22"&gt;&lt;rptloc guid="5b83d63ba9314e82b555f84bc06c4937" rank="0" ds="1"&gt;&lt;ri hasPG="0" name="Potencia instalada" id="CCCD6AEF49D88879CD2CE99555E139E4" path="Objetos públicos\Informes\Informes Específicos\Estadística\INFORMES MACROS\NUEVO BOLETIN ELECTRONICO\Potencia instalada" cf="0" prompt="1" ve="0" vm="0" flashpth="C:\Users\FUEPERRO\AppData\Local\Temp\" fimagepth="C:\Users\FUEPERRO\AppData\Local\Temp\" swfn="DashboardViewer.swf" fvars="" dvis=""&gt;&lt;ans /&gt;&lt;ci ps="BI" srv="apcpr64b" prj="SIOSbi" prjid="A04572404A6ABF2446090B938515E87E" li="SEVPENMA" am="s" /&gt;&lt;lu ut="08/09/2022 08:35:13" si="2.00000001d218880c9c5552ae123f33a76d44b27a8f95f241fe93859667f8d19c687b4078c4869e312055167fe1e6d44d2d60f7221fc56c38c72a04f07254a1e124172eee77366f6945ae95ef3b0e818c69eb6dd93ddc3c3c91522c55a0b9927f5fdf45ea0fd8418a75d5b1000a35695c626bdf555aa99328d80ae3f525c76a977f9ac8cfa1e138e807d06280be98fe986f5bd27ebd73452235380200abab12e65743.p.3082.0.1.Europe/Madrid.upriv*_1*_pidn2*_72*_session*-lat*_1.000000018fb984a499e26a92fe13f344a6ff0b3dbc6025e0078796f43b7052bc3e1204f6d51aad74e3209bf32143fabd8bb3f394d0b4744a.0000000107acd6b677e0e4c34fcb433ec2c3871bbc6025e044b76904b8689c78870eadcd5638b9bb3063c78fb60ee3f38ff58d795ca8c25a.0.1.1.SIOSbi.A04572404A6ABF2446090B938515E87E.0-3082.1.1_-0.1.0_-3082.1.1_5.5.0.*0.000000015a95e4261f709bfcbfd7b92e12ddaf2dc911585ae4866146a7e8ee5876f787b7b95b15d0.0.23.11*.2*.0400*.31152J.e.00000001c4a673082d17ca05766bc75021d19ba1c911585a58d6889ae5524ddee0da5c838e0d3ebf.0.10*.131*.122*.122.0.0" msgID="23873F3811ED17BE0A500080EF658C9B"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ece="L4" enr="MSTR.Potencia_instalada.1" ptn="" qtn="" rows="17" cols="2" /&gt;&lt;esdo ews="" ece="" ptn="" /&gt;&lt;/excel&gt;&lt;pgs&gt;&lt;pg rows="14" cols="1" nrr="238" nrc="17"&gt;&lt;pg /&gt;&lt;bls&gt;&lt;bl sr="1" sc="1" rfetch="14" cfetch="1" posid="1" darows="0" dacols="1"&gt;&lt;excel&gt;&lt;epo ews="Dat_01" ece="L4" enr="MSTR.Potencia_instalada.1" ptn="" qtn="" rows="17" cols="2" /&gt;&lt;esdo ews="" ece="" ptn="" /&gt;&lt;/excel&gt;&lt;gridRng&gt;&lt;sect id="TITLE_AREA" rngprop="1:1:3:1" /&gt;&lt;sect id="ROWHEADERS_AREA" rngprop="4:1:14:1" /&gt;&lt;sect id="COLUMNHEADERS_AREA" rngprop="1:2:3:1" /&gt;&lt;sect id="DATA_AREA" rngprop="4:2:14:1" /&gt;&lt;/gridRng&gt;&lt;shapes /&gt;&lt;/bl&gt;&lt;/bls&gt;&lt;/pg&gt;&lt;/pgs&gt;&lt;/rptloc&gt;&lt;/mi&gt;</t>
  </si>
  <si>
    <t>07/07/2022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</si>
  <si>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ut="08/09/2022 08:43:02" si="2.00000001b020ddf314773e60ee4ad34c40141aa83286a98e74467a3b6c0d52196f67ca05a1eda192b846fcbe6b664a694d3a297c072728c6d40400d525ae45ad4fab602ea05c1a62c372d64c938e07498759e5fe047d212ec36351ef4ee8efa9249ad27703c5dc27cabac089080dc9dbd8db9c2d5e3462563ceb4fa0a46f80daf545b688a3b7d703726ebfd27e5acee416c0141b718964e50183e744c95394f1f1ab.p.3082.0.1.Europe/Madrid.upriv*_1*_pidn2*_31*_session*-lat*_1.000000014893f576764ef0642309d1c548607a9dbc6025e056c22b7a31fd937f2808fb798baabfb0d56f4c6d89c2a3f96fa71c48a6c8b801.00000001a65c24a23b4850896298777757574210bc6025e0728a96928cba998453f9b3ffaecc66f2643bdbeff4766d3ff92ed37161d66d01.0.1.1.BDEbi.D066E1C611E6257C10D00080EF253B44.0-3082.1.1_-0.1.0_-3082.1.1_5.5.0.*0.000000017bb0edd806d337c3d2b3330744389314c911585a182466c87c9d24e64314944e14bbb8c0.0.23.11*.2*.0400*.31152J.e.000000011889c23a3cf5636a20d84efad5cb4e7cc911585a0845cd6b1e67b3b4ff479a85e64df75b.0.10*.131*.122*.122.0.0" msgID="3CA4CE2611ED17BF0A500080EF454D9C"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rows="21" cols="2" /&gt;&lt;esdo ews="" ece="" ptn="" /&gt;&lt;/excel&gt;&lt;pgs&gt;&lt;pg rows="18" cols="1" nrr="1182" nrc="66"&gt;&lt;pg /&gt;&lt;bls&gt;&lt;bl sr="1" sc="1" rfetch="18" cfetch="1" posid="1" darows="0" dacols="1"&gt;&lt;excel&gt;&lt;epo ews="Dat_01" ece="A66" enr="MSTR.Balance._Día_máx_generación_renovable._Mes"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</si>
  <si>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ut="08/09/2022 08:53:12" si="2.00000001b020ddf314773e60ee4ad34c40141aa83286a98e74467a3b6c0d52196f67ca05a1eda192b846fcbe6b664a694d3a297c072728c6d40400d525ae45ad4fab602ea05c1a62c372d64c938e07498759e5fe047d212ec36351ef4ee8efa9249ad27703c5dc27cabac089080dc9dbd8db9c2d5e3462563ceb4fa0a46f80daf545b688a3b7d703726ebfd27e5acee416c0141b718964e50183e744c95394f1f1ab.p.3082.0.1.Europe/Madrid.upriv*_1*_pidn2*_31*_session*-lat*_1.000000014893f576764ef0642309d1c548607a9dbc6025e056c22b7a31fd937f2808fb798baabfb0d56f4c6d89c2a3f96fa71c48a6c8b801.00000001a65c24a23b4850896298777757574210bc6025e0728a96928cba998453f9b3ffaecc66f2643bdbeff4766d3ff92ed37161d66d01.0.1.1.BDEbi.D066E1C611E6257C10D00080EF253B44.0-3082.1.1_-0.1.0_-3082.1.1_5.5.0.*0.000000017bb0edd806d337c3d2b3330744389314c911585a182466c87c9d24e64314944e14bbb8c0.0.23.11*.2*.0400*.31152J.e.000000011889c23a3cf5636a20d84efad5cb4e7cc911585a0845cd6b1e67b3b4ff479a85e64df75b.0.10*.131*.122*.122.0.0" msgID="564CB6F411ED17BF0A500080EF05CE9E"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nrr="1218" nrc="67"&gt;&lt;pg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</si>
  <si>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ut="08/09/2022 09:09:37" si="2.00000001b020ddf314773e60ee4ad34c40141aa83286a98e74467a3b6c0d52196f67ca05a1eda192b846fcbe6b664a694d3a297c072728c6d40400d525ae45ad4fab602ea05c1a62c372d64c938e07498759e5fe047d212ec36351ef4ee8efa9249ad27703c5dc27cabac089080dc9dbd8db9c2d5e3462563ceb4fa0a46f80daf545b688a3b7d703726ebfd27e5acee416c0141b718964e50183e744c95394f1f1ab.p.3082.0.1.Europe/Madrid.upriv*_1*_pidn2*_31*_session*-lat*_1.000000014893f576764ef0642309d1c548607a9dbc6025e056c22b7a31fd937f2808fb798baabfb0d56f4c6d89c2a3f96fa71c48a6c8b801.00000001a65c24a23b4850896298777757574210bc6025e0728a96928cba998453f9b3ffaecc66f2643bdbeff4766d3ff92ed37161d66d01.0.1.1.BDEbi.D066E1C611E6257C10D00080EF253B44.0-3082.1.1_-0.1.0_-3082.1.1_5.5.0.*0.000000017bb0edd806d337c3d2b3330744389314c911585a182466c87c9d24e64314944e14bbb8c0.0.23.11*.2*.0400*.31152J.e.000000011889c23a3cf5636a20d84efad5cb4e7cc911585a0845cd6b1e67b3b4ff479a85e64df75b.0.10*.131*.122*.122.0.0" msgID="B1BC3FC711ED17C10A500080EFE58E9E"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nrr="1220" nrc="1675"&gt;&lt;pg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</si>
  <si>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ut="08/09/2022 09:18:49" si="2.00000001b020ddf314773e60ee4ad34c40141aa83286a98e74467a3b6c0d52196f67ca05a1eda192b846fcbe6b664a694d3a297c072728c6d40400d525ae45ad4fab602ea05c1a62c372d64c938e07498759e5fe047d212ec36351ef4ee8efa9249ad27703c5dc27cabac089080dc9dbd8db9c2d5e3462563ceb4fa0a46f80daf545b688a3b7d703726ebfd27e5acee416c0141b718964e50183e744c95394f1f1ab.p.3082.0.1.Europe/Madrid.upriv*_1*_pidn2*_31*_session*-lat*_1.000000014893f576764ef0642309d1c548607a9dbc6025e056c22b7a31fd937f2808fb798baabfb0d56f4c6d89c2a3f96fa71c48a6c8b801.00000001a65c24a23b4850896298777757574210bc6025e0728a96928cba998453f9b3ffaecc66f2643bdbeff4766d3ff92ed37161d66d01.0.1.1.BDEbi.D066E1C611E6257C10D00080EF253B44.0-3082.1.1_-0.1.0_-3082.1.1_5.5.0.*0.000000017bb0edd806d337c3d2b3330744389314c911585a182466c87c9d24e64314944e14bbb8c0.0.23.11*.2*.0400*.31152J.e.000000011889c23a3cf5636a20d84efad5cb4e7cc911585a0845cd6b1e67b3b4ff479a85e64df75b.0.10*.131*.122*.122.0.0" msgID="2CECFC9311ED17C40A500080EF85CD9D"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rows="36" cols="19" /&gt;&lt;esdo ews="" ece="" ptn="" /&gt;&lt;/excel&gt;&lt;pgs&gt;&lt;pg rows="31" cols="18" nrr="2143" nrc="2374"&gt;&lt;pg /&gt;&lt;bls&gt;&lt;bl sr="1" sc="1" rfetch="31" cfetch="18" posid="1" darows="0" dacols="1"&gt;&lt;excel&gt;&lt;epo ews="Dat_01" ece="A175" enr="MSTR.Balance_B.C._Diario_Peninsular" ptn="" qtn="" rows="36" cols="19" /&gt;&lt;esdo ews="" ece="" ptn="" /&gt;&lt;/excel&gt;&lt;gridRng&gt;&lt;sect id="TITLE_AREA" rngprop="1:1:5:1" /&gt;&lt;sect id="ROWHEADERS_AREA" rngprop="6:1:31:1" /&gt;&lt;sect id="COLUMNHEADERS_AREA" rngprop="1:2:5:18" /&gt;&lt;sect id="DATA_AREA" rngprop="6:2:31:18" /&gt;&lt;/gridRng&gt;&lt;shapes /&gt;&lt;/bl&gt;&lt;/bls&gt;&lt;/pg&gt;&lt;/pgs&gt;&lt;/rptloc&gt;&lt;/mi&gt;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</si>
  <si>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ut="08/09/2022 09:20:58" si="2.00000001b020ddf314773e60ee4ad34c40141aa83286a98e74467a3b6c0d52196f67ca05a1eda192b846fcbe6b664a694d3a297c072728c6d40400d525ae45ad4fab602ea05c1a62c372d64c938e07498759e5fe047d212ec36351ef4ee8efa9249ad27703c5dc27cabac089080dc9dbd8db9c2d5e3462563ceb4fa0a46f80daf545b688a3b7d703726ebfd27e5acee416c0141b718964e50183e744c95394f1f1ab.p.3082.0.1.Europe/Madrid.upriv*_1*_pidn2*_31*_session*-lat*_1.000000014893f576764ef0642309d1c548607a9dbc6025e056c22b7a31fd937f2808fb798baabfb0d56f4c6d89c2a3f96fa71c48a6c8b801.00000001a65c24a23b4850896298777757574210bc6025e0728a96928cba998453f9b3ffaecc66f2643bdbeff4766d3ff92ed37161d66d01.0.1.1.BDEbi.D066E1C611E6257C10D00080EF253B44.0-3082.1.1_-0.1.0_-3082.1.1_5.5.0.*0.000000017bb0edd806d337c3d2b3330744389314c911585a182466c87c9d24e64314944e14bbb8c0.0.23.11*.2*.0400*.31152J.e.000000011889c23a3cf5636a20d84efad5cb4e7cc911585a0845cd6b1e67b3b4ff479a85e64df75b.0.10*.131*.122*.122.0.0" msgID="91BD13B511ED17C40A500080EF556E9E"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cols="19" /&gt;&lt;esdo ews="" ece="" ptn="" /&gt;&lt;/excel&gt;&lt;pgs&gt;&lt;pg rows="24" cols="18" nrr="1714" nrc="1307"&gt;&lt;pg /&gt;&lt;bls&gt;&lt;bl sr="1" sc="1" rfetch="24" cfetch="18" posid="1" darows="0" dacols="1"&gt;&lt;excel&gt;&lt;epo ews="Dat_01" ece="A215" enr="MSTR.Balance_B.C._Horario_Eólico" ptn="" qtn="" rows="29" cols="19" /&gt;&lt;esdo ews="" ece="" ptn="" /&gt;&lt;/excel&gt;&lt;gridRng&gt;&lt;sect id="TITLE_AREA" rngprop="1:1:5:1" /&gt;&lt;sect id="ROWHEADERS_AREA" rngprop="6:1:24:1" /&gt;&lt;sect id="COLUMNHEADERS_AREA" rngprop="1:2:5:18" /&gt;&lt;sect id="DATA_AREA" rngprop="6:2:24:18" /&gt;&lt;/gridRng&gt;&lt;shapes /&gt;&lt;/bl&gt;&lt;/bls&gt;&lt;/pg&gt;&lt;/pgs&gt;&lt;/rptloc&gt;&lt;/mi&gt;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</si>
  <si>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ut="08/09/2022 09:22:40" si="2.00000001b020ddf314773e60ee4ad34c40141aa83286a98e74467a3b6c0d52196f67ca05a1eda192b846fcbe6b664a694d3a297c072728c6d40400d525ae45ad4fab602ea05c1a62c372d64c938e07498759e5fe047d212ec36351ef4ee8efa9249ad27703c5dc27cabac089080dc9dbd8db9c2d5e3462563ceb4fa0a46f80daf545b688a3b7d703726ebfd27e5acee416c0141b718964e50183e744c95394f1f1ab.p.3082.0.1.Europe/Madrid.upriv*_1*_pidn2*_31*_session*-lat*_1.000000014893f576764ef0642309d1c548607a9dbc6025e056c22b7a31fd937f2808fb798baabfb0d56f4c6d89c2a3f96fa71c48a6c8b801.00000001a65c24a23b4850896298777757574210bc6025e0728a96928cba998453f9b3ffaecc66f2643bdbeff4766d3ff92ed37161d66d01.0.1.1.BDEbi.D066E1C611E6257C10D00080EF253B44.0-3082.1.1_-0.1.0_-3082.1.1_5.5.0.*0.000000017bb0edd806d337c3d2b3330744389314c911585a182466c87c9d24e64314944e14bbb8c0.0.23.11*.2*.0400*.31152J.e.000000011889c23a3cf5636a20d84efad5cb4e7cc911585a0845cd6b1e67b3b4ff479a85e64df75b.0.10*.131*.122*.122.0.0" msgID="B7078B0F11ED17C40A500080EF05CE9E"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rows="15" cols="15" /&gt;&lt;esdo ews="" ece="" ptn="" /&gt;&lt;/excel&gt;&lt;pgs&gt;&lt;pg rows="12" cols="13" nrr="536" nrc="554"&gt;&lt;pg /&gt;&lt;bls&gt;&lt;bl sr="1" sc="1" rfetch="12" cfetch="13" posid="1" darows="0" dacols="1"&gt;&lt;excel&gt;&lt;epo ews="Dat_01" ece="A248" enr="MSTR.Emisiones_CO2.2" ptn="" qtn="" rows="15" cols="15" /&gt;&lt;esdo ews="" ece="" ptn="" /&gt;&lt;/excel&gt;&lt;gridRng&gt;&lt;sect id="TITLE_AREA" rngprop="1:1:3:2" /&gt;&lt;sect id="ROWHEADERS_AREA" rngprop="4:1:12:2" /&gt;&lt;sect id="COLUMNHEADERS_AREA" rngprop="1:3:3:13" /&gt;&lt;sect id="DATA_AREA" rngprop="4:3:12:13" /&gt;&lt;/gridRng&gt;&lt;shapes /&gt;&lt;/bl&gt;&lt;/bls&gt;&lt;/pg&gt;&lt;/pgs&gt;&lt;/rptloc&gt;&lt;/mi&gt;</t>
  </si>
  <si>
    <t>0e78663a34c64dc19bca88ace10e612f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</si>
  <si>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dvis=""&gt;&lt;ans&gt;&lt;pan pk="B7C3BF0D4428274429E8B8B9E552B212@0@10" aid="" /&gt;&lt;pan pk="86BA8826468B4BC44041DF8DC3E31322@0@10" aid="" /&gt;&lt;/ans&gt;&lt;ci ps="BI" srv="apcpr64b" prj="BDEbi" prjid="D066E1C611E6257C10D00080EF253B44" li="SEVPENMA" am="s" /&gt;&lt;lu ut="08/09/2022 09:27:36" si="2.00000001c1f850e458a9e599169abf340e23e1adc20bd86b9d08676dff516d8b2183bbbd8be5f39e8ad828ae57f659740775996b1a5677a18be29ea11fd4e2b0daf134815dd2106d40f83e5b29c8e00036ecb87823116308135780d2921d5125111892c04929366157e2f813d7da68496206702b3d8b9e1b016c525013b982638c67c45d510ad76d8b9973b4a975b627c62a22455a89a5270a9a668424f1cb50f95e.p.3082.0.1.Europe/Madrid.upriv*_1*_pidn2*_72*_session*-lat*_1.0000000181051ee25f442d2fa640cb023d2c494abc6025e0d021ce7c882e79ecf2961d03739d62f0a745bc40b92b8fd890f03a7b4fcdb1a1.00000001eb993d12458e42d80f620c611c7e756fbc6025e023fecf6637afed35088e19da33ebd63e8d6fa786f0898e9c091b11134d5b115d.0.1.1.BDEbi.D066E1C611E6257C10D00080EF253B44.0-3082.1.1_-0.1.0_-3082.1.1_5.5.0.*0.000000017bbf1d71ba1406c7d713a1bcd37dcf3bc911585a120f59b00c0aed2ecae566f0057785b3.0.23.11*.2*.0400*.31152J.e.00000001357cbc9b34c6788454cac78df866cdebc911585a9b95e5e99c0040ac6ae83b424d871ffa.0.10*.131*.122*.122.0.0" msgID="75EFF9F211ED17C5CD200080EFE53E3B"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rows="15" cols="15" /&gt;&lt;esdo ews="" ece="" ptn="" /&gt;&lt;/excel&gt;&lt;pgs&gt;&lt;pg rows="12" cols="13" nrr="430" nrc="457"&gt;&lt;pg /&gt;&lt;bls&gt;&lt;bl sr="1" sc="1" rfetch="12" cfetch="13" posid="1" darows="0" dacols="1"&gt;&lt;excel&gt;&lt;epo ews="Dat_04 CONSEJO" ece="A30" enr="MSTR.Emisiones_CO2" ptn="" qtn="" rows="15" cols="15" /&gt;&lt;esdo ews="" ece="" ptn="" /&gt;&lt;/excel&gt;&lt;gridRng&gt;&lt;sect id="TITLE_AREA" rngprop="1:1:3:2" /&gt;&lt;sect id="ROWHEADERS_AREA" rngprop="4:1:12:2" /&gt;&lt;sect id="COLUMNHEADERS_AREA" rngprop="1:3:3:13" /&gt;&lt;sect id="DATA_AREA" rngprop="4:3:12:13" /&gt;&lt;/gridRng&gt;&lt;shapes /&gt;&lt;/bl&gt;&lt;/bls&gt;&lt;/pg&gt;&lt;/pgs&gt;&lt;/rptloc&gt;&lt;/mi&gt;</t>
  </si>
  <si>
    <t>Martes 05/07/2022 (23:37 h)</t>
  </si>
  <si>
    <t>Martes 05/07/2022 (23:51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</si>
</sst>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#,##0.000;\(#,##0.000\)"/>
    <numFmt numFmtId="180" formatCode="0.00000_)"/>
  </numFmts>
  <fonts count="70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sz val="9"/>
      <name val="Arial"/>
      <family val="2"/>
    </font>
    <font>
      <sz val="8"/>
      <name val="Geneva"/>
    </font>
    <font>
      <b/>
      <sz val="8"/>
      <color rgb="FF0B428E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  <fill>
      <patternFill patternType="solid">
        <fgColor rgb="FFDFDFDF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59">
    <xf numFmtId="165" fontId="0" fillId="0" borderId="0"/>
    <xf numFmtId="0" fontId="3" fillId="0" borderId="0"/>
    <xf numFmtId="0" fontId="3" fillId="0" borderId="0"/>
    <xf numFmtId="0" fontId="3" fillId="0" borderId="0"/>
    <xf numFmtId="165" fontId="7" fillId="0" borderId="0"/>
    <xf numFmtId="0" fontId="7" fillId="0" borderId="0"/>
    <xf numFmtId="0" fontId="3" fillId="0" borderId="0"/>
    <xf numFmtId="165" fontId="7" fillId="0" borderId="0"/>
    <xf numFmtId="0" fontId="7" fillId="0" borderId="0"/>
    <xf numFmtId="0" fontId="19" fillId="0" borderId="0"/>
    <xf numFmtId="0" fontId="21" fillId="0" borderId="0" applyNumberFormat="0" applyFont="0" applyBorder="0" applyAlignment="0" applyProtection="0">
      <alignment horizontal="centerContinuous"/>
    </xf>
    <xf numFmtId="0" fontId="3" fillId="0" borderId="0"/>
    <xf numFmtId="0" fontId="2" fillId="0" borderId="0"/>
    <xf numFmtId="9" fontId="7" fillId="0" borderId="0" applyFont="0" applyFill="0" applyBorder="0" applyAlignment="0" applyProtection="0"/>
    <xf numFmtId="0" fontId="19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0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7" fontId="44" fillId="4" borderId="13">
      <alignment horizontal="right" vertical="center"/>
    </xf>
    <xf numFmtId="167" fontId="45" fillId="5" borderId="13">
      <alignment horizontal="right" vertical="center"/>
    </xf>
    <xf numFmtId="165" fontId="46" fillId="6" borderId="13">
      <alignment vertical="center" wrapText="1"/>
    </xf>
    <xf numFmtId="10" fontId="45" fillId="5" borderId="13">
      <alignment horizontal="right" vertical="center"/>
    </xf>
    <xf numFmtId="167" fontId="47" fillId="4" borderId="13">
      <alignment horizontal="right" vertical="center"/>
    </xf>
    <xf numFmtId="10" fontId="47" fillId="4" borderId="13">
      <alignment horizontal="right" vertical="center"/>
    </xf>
    <xf numFmtId="165" fontId="48" fillId="4" borderId="13">
      <alignment horizontal="left" vertical="center" wrapText="1"/>
    </xf>
    <xf numFmtId="165" fontId="46" fillId="6" borderId="13">
      <alignment horizontal="center" vertical="center" wrapText="1"/>
    </xf>
    <xf numFmtId="165" fontId="49" fillId="5" borderId="13">
      <alignment horizontal="left" vertical="center" wrapText="1"/>
    </xf>
    <xf numFmtId="165" fontId="50" fillId="7" borderId="16"/>
    <xf numFmtId="165" fontId="46" fillId="6" borderId="13">
      <alignment horizontal="center" wrapText="1"/>
    </xf>
    <xf numFmtId="165" fontId="46" fillId="6" borderId="16">
      <alignment vertical="center" wrapText="1"/>
    </xf>
    <xf numFmtId="167" fontId="52" fillId="4" borderId="13">
      <alignment horizontal="right" vertical="center"/>
    </xf>
    <xf numFmtId="167" fontId="53" fillId="4" borderId="13">
      <alignment horizontal="right" vertical="center"/>
    </xf>
    <xf numFmtId="165" fontId="46" fillId="5" borderId="13">
      <alignment horizontal="center" wrapText="1"/>
    </xf>
    <xf numFmtId="165" fontId="48" fillId="4" borderId="16">
      <alignment horizontal="left" vertical="center" wrapText="1"/>
    </xf>
    <xf numFmtId="168" fontId="45" fillId="5" borderId="13">
      <alignment horizontal="right" vertical="center"/>
    </xf>
    <xf numFmtId="0" fontId="7" fillId="0" borderId="0"/>
    <xf numFmtId="0" fontId="7" fillId="0" borderId="0"/>
    <xf numFmtId="0" fontId="7" fillId="0" borderId="0"/>
    <xf numFmtId="165" fontId="65" fillId="13" borderId="13">
      <alignment horizontal="center" wrapText="1"/>
    </xf>
    <xf numFmtId="179" fontId="17" fillId="4" borderId="13">
      <alignment horizontal="right" vertical="center"/>
    </xf>
    <xf numFmtId="165" fontId="65" fillId="13" borderId="13">
      <alignment vertical="center" wrapText="1"/>
    </xf>
    <xf numFmtId="165" fontId="66" fillId="4" borderId="13">
      <alignment horizontal="left" vertical="center" wrapText="1"/>
    </xf>
    <xf numFmtId="179" fontId="65" fillId="13" borderId="13">
      <alignment horizontal="right" vertical="center"/>
    </xf>
    <xf numFmtId="165" fontId="65" fillId="13" borderId="13">
      <alignment horizontal="left" vertical="center"/>
    </xf>
    <xf numFmtId="168" fontId="17" fillId="4" borderId="13">
      <alignment horizontal="right" vertical="center"/>
    </xf>
    <xf numFmtId="10" fontId="47" fillId="4" borderId="15">
      <alignment horizontal="right" vertical="center"/>
    </xf>
    <xf numFmtId="0" fontId="1" fillId="0" borderId="0"/>
    <xf numFmtId="165" fontId="69" fillId="14" borderId="13">
      <alignment vertical="center" wrapText="1"/>
    </xf>
    <xf numFmtId="165" fontId="69" fillId="13" borderId="13">
      <alignment horizontal="left" vertical="center"/>
    </xf>
    <xf numFmtId="165" fontId="69" fillId="14" borderId="13">
      <alignment horizontal="center" wrapText="1"/>
    </xf>
    <xf numFmtId="168" fontId="69" fillId="13" borderId="13">
      <alignment horizontal="right" vertical="center"/>
    </xf>
    <xf numFmtId="165" fontId="46" fillId="6" borderId="13">
      <alignment vertical="center" wrapText="1"/>
    </xf>
    <xf numFmtId="165" fontId="46" fillId="6" borderId="13">
      <alignment horizontal="center" wrapText="1"/>
    </xf>
    <xf numFmtId="165" fontId="48" fillId="4" borderId="13">
      <alignment horizontal="left" vertical="center" wrapText="1"/>
    </xf>
    <xf numFmtId="168" fontId="47" fillId="4" borderId="13">
      <alignment horizontal="right" vertical="center"/>
    </xf>
    <xf numFmtId="165" fontId="49" fillId="5" borderId="13">
      <alignment horizontal="left" vertical="center" wrapText="1"/>
    </xf>
    <xf numFmtId="168" fontId="45" fillId="5" borderId="13">
      <alignment horizontal="right" vertical="center"/>
    </xf>
    <xf numFmtId="10" fontId="45" fillId="5" borderId="13">
      <alignment horizontal="right" vertical="center"/>
    </xf>
  </cellStyleXfs>
  <cellXfs count="356">
    <xf numFmtId="165" fontId="0" fillId="0" borderId="0" xfId="0"/>
    <xf numFmtId="0" fontId="4" fillId="0" borderId="0" xfId="1" applyFont="1" applyFill="1" applyAlignment="1" applyProtection="1">
      <alignment horizontal="right"/>
    </xf>
    <xf numFmtId="3" fontId="0" fillId="0" borderId="0" xfId="0" applyNumberFormat="1"/>
    <xf numFmtId="166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5" fontId="7" fillId="0" borderId="0" xfId="4" applyFill="1" applyProtection="1"/>
    <xf numFmtId="165" fontId="4" fillId="0" borderId="0" xfId="4" applyFont="1" applyFill="1" applyAlignment="1" applyProtection="1">
      <alignment horizontal="right"/>
    </xf>
    <xf numFmtId="165" fontId="8" fillId="0" borderId="0" xfId="4" applyFont="1" applyFill="1" applyBorder="1" applyProtection="1"/>
    <xf numFmtId="165" fontId="9" fillId="0" borderId="0" xfId="4" applyFont="1" applyFill="1" applyBorder="1" applyProtection="1"/>
    <xf numFmtId="165" fontId="10" fillId="0" borderId="0" xfId="4" applyFont="1" applyFill="1" applyBorder="1" applyProtection="1"/>
    <xf numFmtId="165" fontId="5" fillId="0" borderId="0" xfId="4" applyFont="1" applyFill="1" applyBorder="1" applyAlignment="1" applyProtection="1"/>
    <xf numFmtId="165" fontId="5" fillId="0" borderId="0" xfId="4" applyFont="1" applyFill="1" applyBorder="1" applyAlignment="1" applyProtection="1">
      <alignment horizontal="left" vertical="center" indent="1"/>
    </xf>
    <xf numFmtId="165" fontId="8" fillId="0" borderId="0" xfId="4" applyFont="1" applyFill="1" applyBorder="1" applyAlignment="1" applyProtection="1">
      <alignment horizontal="left" indent="1"/>
    </xf>
    <xf numFmtId="165" fontId="11" fillId="3" borderId="0" xfId="4" applyFont="1" applyFill="1" applyBorder="1" applyAlignment="1" applyProtection="1">
      <alignment horizontal="left"/>
    </xf>
    <xf numFmtId="167" fontId="13" fillId="3" borderId="1" xfId="4" applyNumberFormat="1" applyFont="1" applyFill="1" applyBorder="1" applyProtection="1"/>
    <xf numFmtId="1" fontId="11" fillId="3" borderId="1" xfId="4" applyNumberFormat="1" applyFont="1" applyFill="1" applyBorder="1" applyAlignment="1" applyProtection="1">
      <alignment horizontal="right" indent="1"/>
    </xf>
    <xf numFmtId="167" fontId="14" fillId="0" borderId="0" xfId="4" applyNumberFormat="1" applyFont="1" applyFill="1" applyBorder="1" applyProtection="1"/>
    <xf numFmtId="167" fontId="15" fillId="0" borderId="0" xfId="4" applyNumberFormat="1" applyFont="1" applyFill="1" applyBorder="1" applyProtection="1"/>
    <xf numFmtId="165" fontId="5" fillId="0" borderId="0" xfId="4" applyFont="1" applyFill="1" applyBorder="1" applyAlignment="1" applyProtection="1">
      <alignment vertical="top" wrapText="1"/>
    </xf>
    <xf numFmtId="168" fontId="3" fillId="0" borderId="0" xfId="4" applyNumberFormat="1" applyFont="1" applyFill="1" applyBorder="1" applyProtection="1"/>
    <xf numFmtId="165" fontId="6" fillId="0" borderId="0" xfId="4" applyFont="1" applyFill="1" applyProtection="1"/>
    <xf numFmtId="167" fontId="16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3" fontId="16" fillId="0" borderId="0" xfId="4" applyNumberFormat="1" applyFont="1" applyFill="1" applyBorder="1" applyProtection="1"/>
    <xf numFmtId="165" fontId="4" fillId="0" borderId="0" xfId="4" applyFont="1" applyFill="1" applyAlignment="1" applyProtection="1"/>
    <xf numFmtId="1" fontId="11" fillId="3" borderId="1" xfId="4" quotePrefix="1" applyNumberFormat="1" applyFont="1" applyFill="1" applyBorder="1" applyAlignment="1" applyProtection="1">
      <alignment horizontal="right" indent="1"/>
    </xf>
    <xf numFmtId="0" fontId="3" fillId="0" borderId="0" xfId="6" applyFill="1" applyProtection="1"/>
    <xf numFmtId="165" fontId="4" fillId="0" borderId="0" xfId="7" applyFont="1" applyFill="1" applyAlignment="1" applyProtection="1">
      <alignment horizontal="right"/>
    </xf>
    <xf numFmtId="0" fontId="9" fillId="0" borderId="0" xfId="6" applyFont="1" applyFill="1" applyBorder="1" applyProtection="1"/>
    <xf numFmtId="0" fontId="8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left" vertical="center" indent="1"/>
    </xf>
    <xf numFmtId="0" fontId="8" fillId="0" borderId="0" xfId="6" applyFont="1" applyFill="1" applyBorder="1" applyAlignment="1" applyProtection="1">
      <alignment horizontal="left" indent="1"/>
    </xf>
    <xf numFmtId="0" fontId="6" fillId="0" borderId="0" xfId="6" applyFont="1" applyFill="1" applyBorder="1" applyProtection="1"/>
    <xf numFmtId="0" fontId="5" fillId="0" borderId="0" xfId="8" applyFont="1" applyFill="1" applyBorder="1" applyAlignment="1" applyProtection="1">
      <alignment vertical="center"/>
    </xf>
    <xf numFmtId="0" fontId="6" fillId="0" borderId="0" xfId="6" applyFont="1" applyFill="1" applyBorder="1" applyAlignment="1" applyProtection="1">
      <alignment horizontal="left" vertical="top"/>
    </xf>
    <xf numFmtId="0" fontId="18" fillId="0" borderId="0" xfId="6" applyFont="1" applyFill="1" applyProtection="1"/>
    <xf numFmtId="0" fontId="6" fillId="0" borderId="0" xfId="6" applyFont="1" applyFill="1" applyBorder="1" applyAlignment="1" applyProtection="1">
      <alignment vertical="center" wrapText="1"/>
    </xf>
    <xf numFmtId="0" fontId="6" fillId="0" borderId="0" xfId="6" applyFont="1" applyFill="1" applyBorder="1" applyAlignment="1" applyProtection="1">
      <alignment horizontal="justify" vertical="center" wrapText="1"/>
    </xf>
    <xf numFmtId="0" fontId="5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vertical="top" wrapText="1"/>
    </xf>
    <xf numFmtId="165" fontId="17" fillId="0" borderId="0" xfId="7" applyFont="1" applyFill="1" applyAlignment="1">
      <alignment horizontal="left" readingOrder="1"/>
    </xf>
    <xf numFmtId="0" fontId="0" fillId="0" borderId="0" xfId="0" applyNumberFormat="1"/>
    <xf numFmtId="0" fontId="5" fillId="0" borderId="0" xfId="2" applyFont="1" applyFill="1" applyBorder="1" applyAlignment="1" applyProtection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0" fillId="0" borderId="0" xfId="0" applyNumberFormat="1" applyFont="1"/>
    <xf numFmtId="165" fontId="0" fillId="0" borderId="0" xfId="0" applyAlignment="1">
      <alignment wrapText="1"/>
    </xf>
    <xf numFmtId="0" fontId="22" fillId="0" borderId="0" xfId="11" applyFont="1"/>
    <xf numFmtId="1" fontId="23" fillId="0" borderId="0" xfId="11" applyNumberFormat="1" applyFont="1"/>
    <xf numFmtId="0" fontId="24" fillId="0" borderId="0" xfId="11" applyFont="1"/>
    <xf numFmtId="0" fontId="25" fillId="0" borderId="0" xfId="11" applyFont="1"/>
    <xf numFmtId="1" fontId="22" fillId="0" borderId="0" xfId="11" applyNumberFormat="1" applyFont="1"/>
    <xf numFmtId="0" fontId="22" fillId="0" borderId="0" xfId="11" applyFont="1" applyBorder="1"/>
    <xf numFmtId="168" fontId="22" fillId="0" borderId="0" xfId="11" applyNumberFormat="1" applyFont="1"/>
    <xf numFmtId="173" fontId="22" fillId="0" borderId="0" xfId="11" applyNumberFormat="1" applyFont="1"/>
    <xf numFmtId="4" fontId="22" fillId="0" borderId="0" xfId="11" applyNumberFormat="1" applyFont="1"/>
    <xf numFmtId="171" fontId="22" fillId="0" borderId="0" xfId="11" applyNumberFormat="1" applyFont="1"/>
    <xf numFmtId="1" fontId="26" fillId="0" borderId="0" xfId="11" applyNumberFormat="1" applyFont="1" applyFill="1"/>
    <xf numFmtId="170" fontId="26" fillId="0" borderId="0" xfId="11" applyNumberFormat="1" applyFont="1" applyFill="1"/>
    <xf numFmtId="171" fontId="26" fillId="0" borderId="0" xfId="11" applyNumberFormat="1" applyFont="1" applyFill="1"/>
    <xf numFmtId="0" fontId="26" fillId="0" borderId="0" xfId="11" applyFont="1" applyFill="1" applyBorder="1" applyAlignment="1">
      <alignment horizontal="right"/>
    </xf>
    <xf numFmtId="172" fontId="26" fillId="0" borderId="0" xfId="11" applyNumberFormat="1" applyFont="1" applyFill="1" applyBorder="1"/>
    <xf numFmtId="1" fontId="22" fillId="0" borderId="0" xfId="11" applyNumberFormat="1" applyFont="1" applyBorder="1"/>
    <xf numFmtId="176" fontId="22" fillId="0" borderId="0" xfId="11" applyNumberFormat="1" applyFont="1"/>
    <xf numFmtId="0" fontId="27" fillId="0" borderId="0" xfId="12" applyFont="1" applyFill="1" applyBorder="1" applyAlignment="1" applyProtection="1">
      <alignment horizontal="left" vertical="top" wrapText="1"/>
    </xf>
    <xf numFmtId="0" fontId="28" fillId="0" borderId="0" xfId="11" applyFont="1"/>
    <xf numFmtId="171" fontId="28" fillId="0" borderId="0" xfId="11" applyNumberFormat="1" applyFont="1"/>
    <xf numFmtId="171" fontId="28" fillId="0" borderId="0" xfId="11" applyNumberFormat="1" applyFont="1" applyBorder="1"/>
    <xf numFmtId="175" fontId="28" fillId="0" borderId="0" xfId="11" applyNumberFormat="1" applyFont="1" applyFill="1" applyBorder="1" applyAlignment="1">
      <alignment horizontal="right"/>
    </xf>
    <xf numFmtId="0" fontId="7" fillId="0" borderId="0" xfId="8" applyFill="1" applyProtection="1"/>
    <xf numFmtId="0" fontId="30" fillId="0" borderId="0" xfId="8" applyFont="1" applyFill="1" applyBorder="1" applyProtection="1"/>
    <xf numFmtId="0" fontId="31" fillId="0" borderId="0" xfId="8" applyFont="1" applyFill="1" applyBorder="1" applyProtection="1"/>
    <xf numFmtId="0" fontId="5" fillId="0" borderId="0" xfId="8" applyFont="1" applyFill="1" applyBorder="1" applyAlignment="1" applyProtection="1"/>
    <xf numFmtId="0" fontId="5" fillId="0" borderId="0" xfId="8" applyFont="1" applyFill="1" applyBorder="1" applyAlignment="1" applyProtection="1">
      <alignment horizontal="left" vertical="center" indent="1"/>
    </xf>
    <xf numFmtId="0" fontId="31" fillId="0" borderId="0" xfId="8" applyFont="1" applyFill="1" applyBorder="1" applyAlignment="1" applyProtection="1">
      <alignment horizontal="left" indent="1"/>
    </xf>
    <xf numFmtId="0" fontId="5" fillId="2" borderId="0" xfId="8" applyFont="1" applyFill="1" applyBorder="1" applyAlignment="1" applyProtection="1">
      <alignment horizontal="left"/>
    </xf>
    <xf numFmtId="0" fontId="19" fillId="0" borderId="0" xfId="14" applyFont="1" applyFill="1" applyBorder="1" applyAlignment="1" applyProtection="1">
      <alignment horizontal="center"/>
    </xf>
    <xf numFmtId="0" fontId="19" fillId="0" borderId="0" xfId="14" applyFont="1" applyFill="1" applyBorder="1" applyAlignment="1" applyProtection="1">
      <alignment horizontal="right"/>
    </xf>
    <xf numFmtId="171" fontId="19" fillId="0" borderId="0" xfId="14" applyNumberFormat="1" applyFont="1" applyFill="1" applyBorder="1" applyProtection="1"/>
    <xf numFmtId="0" fontId="31" fillId="2" borderId="0" xfId="8" applyFont="1" applyFill="1" applyBorder="1" applyAlignment="1" applyProtection="1">
      <alignment horizontal="left" indent="1"/>
    </xf>
    <xf numFmtId="3" fontId="19" fillId="0" borderId="0" xfId="8" applyNumberFormat="1" applyFont="1" applyFill="1" applyBorder="1" applyProtection="1"/>
    <xf numFmtId="0" fontId="19" fillId="0" borderId="0" xfId="8" applyFont="1" applyFill="1" applyBorder="1" applyProtection="1"/>
    <xf numFmtId="0" fontId="7" fillId="2" borderId="0" xfId="8" applyFill="1" applyProtection="1"/>
    <xf numFmtId="0" fontId="32" fillId="0" borderId="0" xfId="8" applyFont="1" applyFill="1" applyProtection="1"/>
    <xf numFmtId="1" fontId="32" fillId="0" borderId="0" xfId="8" applyNumberFormat="1" applyFont="1" applyFill="1" applyProtection="1"/>
    <xf numFmtId="0" fontId="5" fillId="0" borderId="0" xfId="8" applyFont="1" applyFill="1" applyBorder="1" applyAlignment="1" applyProtection="1">
      <alignment vertical="top" wrapText="1"/>
    </xf>
    <xf numFmtId="1" fontId="34" fillId="2" borderId="6" xfId="4" applyNumberFormat="1" applyFont="1" applyFill="1" applyBorder="1" applyAlignment="1" applyProtection="1">
      <alignment horizontal="right" indent="1"/>
    </xf>
    <xf numFmtId="165" fontId="16" fillId="2" borderId="0" xfId="4" applyFont="1" applyFill="1" applyBorder="1" applyAlignment="1" applyProtection="1">
      <alignment horizontal="left"/>
    </xf>
    <xf numFmtId="3" fontId="16" fillId="2" borderId="0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Protection="1"/>
    <xf numFmtId="3" fontId="34" fillId="2" borderId="2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left"/>
    </xf>
    <xf numFmtId="3" fontId="16" fillId="2" borderId="2" xfId="4" applyNumberFormat="1" applyFont="1" applyFill="1" applyBorder="1" applyAlignment="1" applyProtection="1">
      <alignment horizontal="right" indent="1"/>
    </xf>
    <xf numFmtId="167" fontId="16" fillId="2" borderId="2" xfId="4" applyNumberFormat="1" applyFont="1" applyFill="1" applyBorder="1" applyAlignment="1" applyProtection="1">
      <alignment horizontal="right" indent="1"/>
    </xf>
    <xf numFmtId="167" fontId="34" fillId="2" borderId="3" xfId="4" applyNumberFormat="1" applyFont="1" applyFill="1" applyBorder="1" applyProtection="1"/>
    <xf numFmtId="3" fontId="34" fillId="2" borderId="4" xfId="4" applyNumberFormat="1" applyFont="1" applyFill="1" applyBorder="1" applyAlignment="1" applyProtection="1">
      <alignment horizontal="right" indent="1"/>
    </xf>
    <xf numFmtId="167" fontId="34" fillId="2" borderId="4" xfId="4" applyNumberFormat="1" applyFont="1" applyFill="1" applyBorder="1" applyAlignment="1" applyProtection="1">
      <alignment horizontal="right" indent="1"/>
    </xf>
    <xf numFmtId="165" fontId="37" fillId="0" borderId="0" xfId="0" applyFont="1" applyFill="1" applyBorder="1" applyAlignment="1" applyProtection="1"/>
    <xf numFmtId="0" fontId="37" fillId="0" borderId="0" xfId="1" applyFont="1" applyFill="1" applyAlignment="1" applyProtection="1">
      <alignment horizontal="right"/>
    </xf>
    <xf numFmtId="165" fontId="37" fillId="0" borderId="0" xfId="0" quotePrefix="1" applyFont="1" applyFill="1" applyAlignment="1" applyProtection="1">
      <alignment horizontal="right"/>
    </xf>
    <xf numFmtId="165" fontId="34" fillId="0" borderId="0" xfId="0" applyFont="1" applyFill="1" applyBorder="1" applyAlignment="1" applyProtection="1"/>
    <xf numFmtId="165" fontId="16" fillId="2" borderId="6" xfId="0" applyFont="1" applyFill="1" applyBorder="1" applyAlignment="1">
      <alignment horizontal="left"/>
    </xf>
    <xf numFmtId="165" fontId="16" fillId="0" borderId="0" xfId="0" applyFont="1" applyFill="1" applyBorder="1" applyProtection="1"/>
    <xf numFmtId="0" fontId="16" fillId="2" borderId="0" xfId="0" applyNumberFormat="1" applyFont="1" applyFill="1" applyAlignment="1">
      <alignment horizontal="left"/>
    </xf>
    <xf numFmtId="167" fontId="16" fillId="2" borderId="0" xfId="9" applyNumberFormat="1" applyFont="1" applyFill="1" applyBorder="1" applyAlignment="1" applyProtection="1">
      <alignment horizontal="right" indent="1"/>
    </xf>
    <xf numFmtId="165" fontId="34" fillId="2" borderId="6" xfId="0" applyFont="1" applyFill="1" applyBorder="1" applyAlignment="1">
      <alignment horizontal="left"/>
    </xf>
    <xf numFmtId="167" fontId="34" fillId="2" borderId="6" xfId="9" applyNumberFormat="1" applyFont="1" applyFill="1" applyBorder="1" applyAlignment="1" applyProtection="1">
      <alignment horizontal="right" indent="1"/>
    </xf>
    <xf numFmtId="165" fontId="37" fillId="0" borderId="0" xfId="0" applyFont="1" applyFill="1" applyAlignment="1" applyProtection="1">
      <alignment horizontal="right"/>
    </xf>
    <xf numFmtId="165" fontId="16" fillId="0" borderId="0" xfId="7" applyFont="1" applyFill="1" applyAlignment="1">
      <alignment horizontal="left" readingOrder="1"/>
    </xf>
    <xf numFmtId="0" fontId="34" fillId="2" borderId="0" xfId="10" applyNumberFormat="1" applyFont="1" applyFill="1" applyBorder="1" applyAlignment="1">
      <alignment vertical="center"/>
    </xf>
    <xf numFmtId="165" fontId="34" fillId="0" borderId="0" xfId="0" applyFont="1" applyBorder="1" applyAlignment="1">
      <alignment horizontal="left" vertical="center" wrapText="1" readingOrder="1"/>
    </xf>
    <xf numFmtId="165" fontId="34" fillId="0" borderId="9" xfId="0" applyFont="1" applyBorder="1" applyAlignment="1">
      <alignment horizontal="left" vertical="center" wrapText="1" readingOrder="1"/>
    </xf>
    <xf numFmtId="0" fontId="34" fillId="0" borderId="0" xfId="2" applyFont="1" applyFill="1" applyBorder="1" applyAlignment="1" applyProtection="1">
      <alignment vertical="top" wrapText="1"/>
    </xf>
    <xf numFmtId="165" fontId="16" fillId="0" borderId="1" xfId="0" applyFont="1" applyFill="1" applyBorder="1"/>
    <xf numFmtId="165" fontId="16" fillId="0" borderId="0" xfId="0" applyFont="1" applyFill="1"/>
    <xf numFmtId="165" fontId="34" fillId="2" borderId="0" xfId="0" applyFont="1" applyFill="1" applyProtection="1"/>
    <xf numFmtId="165" fontId="34" fillId="2" borderId="1" xfId="0" applyFont="1" applyFill="1" applyBorder="1" applyProtection="1"/>
    <xf numFmtId="165" fontId="34" fillId="2" borderId="1" xfId="0" applyFont="1" applyFill="1" applyBorder="1" applyAlignment="1" applyProtection="1">
      <alignment horizontal="right"/>
    </xf>
    <xf numFmtId="165" fontId="34" fillId="2" borderId="1" xfId="0" applyFont="1" applyFill="1" applyBorder="1" applyAlignment="1" applyProtection="1">
      <alignment horizontal="right" wrapText="1"/>
    </xf>
    <xf numFmtId="165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34" fillId="2" borderId="1" xfId="0" applyNumberFormat="1" applyFont="1" applyFill="1" applyBorder="1" applyAlignment="1" applyProtection="1"/>
    <xf numFmtId="3" fontId="16" fillId="2" borderId="0" xfId="9" applyNumberFormat="1" applyFont="1" applyFill="1" applyBorder="1" applyAlignment="1" applyProtection="1">
      <alignment horizontal="right" indent="1"/>
    </xf>
    <xf numFmtId="3" fontId="34" fillId="2" borderId="6" xfId="9" applyNumberFormat="1" applyFont="1" applyFill="1" applyBorder="1" applyAlignment="1" applyProtection="1">
      <alignment horizontal="right" indent="1"/>
    </xf>
    <xf numFmtId="169" fontId="16" fillId="0" borderId="0" xfId="0" applyNumberFormat="1" applyFont="1" applyFill="1" applyBorder="1" applyProtection="1"/>
    <xf numFmtId="0" fontId="34" fillId="0" borderId="0" xfId="6" applyFont="1" applyFill="1" applyBorder="1" applyAlignment="1" applyProtection="1">
      <alignment vertical="top" wrapText="1"/>
    </xf>
    <xf numFmtId="165" fontId="16" fillId="2" borderId="0" xfId="0" applyFont="1" applyFill="1" applyBorder="1" applyAlignment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29" fillId="0" borderId="0" xfId="11" applyFont="1" applyFill="1" applyBorder="1" applyAlignment="1">
      <alignment horizontal="right"/>
    </xf>
    <xf numFmtId="0" fontId="7" fillId="0" borderId="0" xfId="16" applyFill="1" applyProtection="1"/>
    <xf numFmtId="0" fontId="19" fillId="0" borderId="0" xfId="16" applyFont="1" applyFill="1" applyProtection="1"/>
    <xf numFmtId="0" fontId="30" fillId="0" borderId="0" xfId="16" applyFont="1" applyFill="1" applyBorder="1" applyProtection="1"/>
    <xf numFmtId="0" fontId="31" fillId="0" borderId="0" xfId="16" applyFont="1" applyFill="1" applyBorder="1" applyProtection="1"/>
    <xf numFmtId="0" fontId="5" fillId="0" borderId="0" xfId="16" applyFont="1" applyFill="1" applyBorder="1" applyAlignment="1" applyProtection="1"/>
    <xf numFmtId="0" fontId="5" fillId="0" borderId="0" xfId="16" applyFont="1" applyFill="1" applyBorder="1" applyAlignment="1" applyProtection="1">
      <alignment horizontal="right" vertical="center"/>
    </xf>
    <xf numFmtId="0" fontId="31" fillId="2" borderId="0" xfId="16" applyFont="1" applyFill="1" applyBorder="1" applyAlignment="1" applyProtection="1">
      <alignment horizontal="left" indent="1"/>
    </xf>
    <xf numFmtId="0" fontId="39" fillId="2" borderId="0" xfId="16" applyFont="1" applyFill="1" applyBorder="1" applyAlignment="1" applyProtection="1">
      <alignment horizontal="right" vertical="center"/>
    </xf>
    <xf numFmtId="0" fontId="34" fillId="2" borderId="0" xfId="17" applyFont="1" applyFill="1" applyBorder="1" applyAlignment="1" applyProtection="1">
      <alignment horizontal="left"/>
    </xf>
    <xf numFmtId="0" fontId="41" fillId="0" borderId="0" xfId="16" applyFont="1" applyFill="1" applyBorder="1" applyAlignment="1" applyProtection="1">
      <alignment horizontal="right"/>
    </xf>
    <xf numFmtId="0" fontId="7" fillId="0" borderId="0" xfId="16"/>
    <xf numFmtId="0" fontId="22" fillId="0" borderId="0" xfId="11" applyFont="1" applyBorder="1" applyAlignment="1">
      <alignment horizontal="right"/>
    </xf>
    <xf numFmtId="0" fontId="22" fillId="0" borderId="0" xfId="11" applyFont="1" applyBorder="1" applyAlignment="1">
      <alignment horizontal="left"/>
    </xf>
    <xf numFmtId="3" fontId="22" fillId="0" borderId="0" xfId="11" applyNumberFormat="1" applyFont="1" applyBorder="1"/>
    <xf numFmtId="171" fontId="22" fillId="0" borderId="0" xfId="11" applyNumberFormat="1" applyFont="1" applyBorder="1"/>
    <xf numFmtId="165" fontId="34" fillId="0" borderId="0" xfId="0" quotePrefix="1" applyFont="1" applyFill="1" applyBorder="1" applyAlignment="1" applyProtection="1"/>
    <xf numFmtId="177" fontId="16" fillId="2" borderId="0" xfId="13" applyNumberFormat="1" applyFont="1" applyFill="1" applyAlignment="1" applyProtection="1">
      <alignment horizontal="right" vertical="center"/>
    </xf>
    <xf numFmtId="177" fontId="34" fillId="2" borderId="1" xfId="13" applyNumberFormat="1" applyFont="1" applyFill="1" applyBorder="1" applyAlignment="1" applyProtection="1">
      <alignment horizontal="right"/>
    </xf>
    <xf numFmtId="0" fontId="34" fillId="0" borderId="5" xfId="11" applyFont="1" applyFill="1" applyBorder="1" applyAlignment="1">
      <alignment horizontal="center"/>
    </xf>
    <xf numFmtId="0" fontId="34" fillId="0" borderId="5" xfId="11" applyFont="1" applyFill="1" applyBorder="1" applyAlignment="1">
      <alignment horizontal="right"/>
    </xf>
    <xf numFmtId="0" fontId="16" fillId="0" borderId="0" xfId="11" applyFont="1"/>
    <xf numFmtId="0" fontId="34" fillId="0" borderId="4" xfId="11" applyFont="1" applyFill="1" applyBorder="1" applyAlignment="1">
      <alignment horizontal="center"/>
    </xf>
    <xf numFmtId="0" fontId="34" fillId="0" borderId="4" xfId="11" applyFont="1" applyFill="1" applyBorder="1" applyAlignment="1">
      <alignment horizontal="right"/>
    </xf>
    <xf numFmtId="3" fontId="16" fillId="0" borderId="0" xfId="11" applyNumberFormat="1" applyFont="1" applyFill="1" applyBorder="1" applyAlignment="1">
      <alignment horizontal="right"/>
    </xf>
    <xf numFmtId="175" fontId="16" fillId="0" borderId="0" xfId="11" applyNumberFormat="1" applyFont="1" applyFill="1" applyBorder="1" applyAlignment="1">
      <alignment horizontal="right"/>
    </xf>
    <xf numFmtId="171" fontId="16" fillId="0" borderId="0" xfId="11" applyNumberFormat="1" applyFont="1"/>
    <xf numFmtId="1" fontId="16" fillId="0" borderId="0" xfId="12" applyNumberFormat="1" applyFont="1"/>
    <xf numFmtId="174" fontId="16" fillId="0" borderId="0" xfId="11" quotePrefix="1" applyNumberFormat="1" applyFont="1" applyFill="1" applyAlignment="1" applyProtection="1">
      <alignment horizontal="left"/>
    </xf>
    <xf numFmtId="174" fontId="16" fillId="0" borderId="0" xfId="11" quotePrefix="1" applyNumberFormat="1" applyFont="1" applyFill="1" applyBorder="1" applyAlignment="1" applyProtection="1">
      <alignment horizontal="left"/>
    </xf>
    <xf numFmtId="165" fontId="43" fillId="0" borderId="0" xfId="4" applyFont="1" applyFill="1" applyBorder="1" applyAlignment="1" applyProtection="1">
      <alignment horizontal="left" vertical="center" indent="1"/>
    </xf>
    <xf numFmtId="0" fontId="16" fillId="0" borderId="0" xfId="6" applyFont="1" applyFill="1" applyBorder="1" applyProtection="1"/>
    <xf numFmtId="165" fontId="16" fillId="0" borderId="0" xfId="0" applyFont="1"/>
    <xf numFmtId="165" fontId="16" fillId="0" borderId="0" xfId="0" quotePrefix="1" applyFont="1"/>
    <xf numFmtId="0" fontId="16" fillId="0" borderId="0" xfId="0" applyNumberFormat="1" applyFont="1" applyFill="1" applyAlignment="1">
      <alignment horizontal="left"/>
    </xf>
    <xf numFmtId="167" fontId="16" fillId="0" borderId="0" xfId="9" applyNumberFormat="1" applyFont="1" applyFill="1" applyBorder="1" applyAlignment="1" applyProtection="1">
      <alignment horizontal="right" indent="1"/>
    </xf>
    <xf numFmtId="165" fontId="16" fillId="0" borderId="6" xfId="0" applyFont="1" applyFill="1" applyBorder="1" applyAlignment="1">
      <alignment horizontal="left"/>
    </xf>
    <xf numFmtId="1" fontId="34" fillId="0" borderId="6" xfId="4" applyNumberFormat="1" applyFont="1" applyFill="1" applyBorder="1" applyAlignment="1" applyProtection="1">
      <alignment horizontal="right" indent="1"/>
    </xf>
    <xf numFmtId="0" fontId="16" fillId="0" borderId="7" xfId="0" applyNumberFormat="1" applyFont="1" applyFill="1" applyBorder="1" applyAlignment="1">
      <alignment horizontal="left"/>
    </xf>
    <xf numFmtId="167" fontId="16" fillId="0" borderId="7" xfId="9" applyNumberFormat="1" applyFont="1" applyFill="1" applyBorder="1" applyAlignment="1" applyProtection="1">
      <alignment horizontal="right" indent="1"/>
    </xf>
    <xf numFmtId="1" fontId="16" fillId="2" borderId="0" xfId="4" applyNumberFormat="1" applyFont="1" applyFill="1" applyBorder="1" applyAlignment="1" applyProtection="1">
      <alignment horizontal="right" indent="1"/>
    </xf>
    <xf numFmtId="165" fontId="46" fillId="6" borderId="13" xfId="21" applyAlignment="1">
      <alignment vertical="center"/>
    </xf>
    <xf numFmtId="165" fontId="46" fillId="6" borderId="13" xfId="26" quotePrefix="1" applyAlignment="1">
      <alignment horizontal="center" vertical="center"/>
    </xf>
    <xf numFmtId="165" fontId="46" fillId="6" borderId="13" xfId="26" applyAlignment="1">
      <alignment horizontal="center" vertical="center"/>
    </xf>
    <xf numFmtId="167" fontId="47" fillId="4" borderId="13" xfId="23" applyAlignment="1">
      <alignment horizontal="right" vertical="center"/>
    </xf>
    <xf numFmtId="167" fontId="45" fillId="5" borderId="13" xfId="20" applyAlignment="1">
      <alignment horizontal="right" vertical="center"/>
    </xf>
    <xf numFmtId="165" fontId="46" fillId="6" borderId="16" xfId="30" applyAlignment="1">
      <alignment vertical="center"/>
    </xf>
    <xf numFmtId="167" fontId="51" fillId="0" borderId="0" xfId="4" applyNumberFormat="1" applyFont="1" applyFill="1" applyBorder="1" applyProtection="1"/>
    <xf numFmtId="177" fontId="51" fillId="0" borderId="0" xfId="13" applyNumberFormat="1" applyFont="1" applyFill="1" applyBorder="1" applyProtection="1"/>
    <xf numFmtId="178" fontId="16" fillId="2" borderId="0" xfId="18" applyNumberFormat="1" applyFont="1" applyFill="1" applyBorder="1" applyAlignment="1" applyProtection="1">
      <alignment horizontal="right" indent="1"/>
    </xf>
    <xf numFmtId="0" fontId="54" fillId="0" borderId="0" xfId="6" applyFont="1" applyFill="1" applyBorder="1" applyProtection="1"/>
    <xf numFmtId="165" fontId="55" fillId="0" borderId="0" xfId="0" applyFont="1" applyAlignment="1">
      <alignment horizontal="center"/>
    </xf>
    <xf numFmtId="165" fontId="56" fillId="0" borderId="0" xfId="0" applyFont="1" applyAlignment="1">
      <alignment horizontal="center"/>
    </xf>
    <xf numFmtId="165" fontId="57" fillId="4" borderId="13" xfId="25" quotePrefix="1" applyFont="1" applyAlignment="1">
      <alignment horizontal="left" vertical="center"/>
    </xf>
    <xf numFmtId="167" fontId="58" fillId="0" borderId="0" xfId="0" applyNumberFormat="1" applyFont="1"/>
    <xf numFmtId="165" fontId="56" fillId="0" borderId="0" xfId="0" applyFont="1"/>
    <xf numFmtId="165" fontId="59" fillId="5" borderId="13" xfId="27" quotePrefix="1" applyFont="1" applyAlignment="1">
      <alignment horizontal="left" vertical="center"/>
    </xf>
    <xf numFmtId="167" fontId="60" fillId="5" borderId="13" xfId="20" applyFont="1" applyAlignment="1">
      <alignment horizontal="right" vertical="center"/>
    </xf>
    <xf numFmtId="165" fontId="61" fillId="8" borderId="17" xfId="0" applyFont="1" applyFill="1" applyBorder="1" applyAlignment="1">
      <alignment horizontal="center"/>
    </xf>
    <xf numFmtId="165" fontId="58" fillId="0" borderId="0" xfId="0" applyFont="1"/>
    <xf numFmtId="171" fontId="58" fillId="0" borderId="0" xfId="0" applyNumberFormat="1" applyFont="1"/>
    <xf numFmtId="165" fontId="46" fillId="5" borderId="13" xfId="33" quotePrefix="1" applyAlignment="1">
      <alignment horizontal="center"/>
    </xf>
    <xf numFmtId="165" fontId="46" fillId="5" borderId="13" xfId="33" applyAlignment="1">
      <alignment horizontal="center"/>
    </xf>
    <xf numFmtId="165" fontId="62" fillId="9" borderId="18" xfId="33" applyFont="1" applyFill="1" applyBorder="1" applyAlignment="1">
      <alignment horizontal="center"/>
    </xf>
    <xf numFmtId="165" fontId="63" fillId="8" borderId="0" xfId="0" applyFont="1" applyFill="1"/>
    <xf numFmtId="169" fontId="63" fillId="8" borderId="0" xfId="0" applyNumberFormat="1" applyFont="1" applyFill="1"/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46" fillId="10" borderId="13" xfId="29" quotePrefix="1" applyFill="1" applyAlignment="1">
      <alignment horizontal="center"/>
    </xf>
    <xf numFmtId="3" fontId="58" fillId="0" borderId="0" xfId="0" applyNumberFormat="1" applyFont="1"/>
    <xf numFmtId="0" fontId="16" fillId="2" borderId="7" xfId="0" applyNumberFormat="1" applyFont="1" applyFill="1" applyBorder="1" applyAlignment="1">
      <alignment horizontal="left"/>
    </xf>
    <xf numFmtId="167" fontId="16" fillId="2" borderId="7" xfId="9" applyNumberFormat="1" applyFont="1" applyFill="1" applyBorder="1" applyAlignment="1" applyProtection="1">
      <alignment horizontal="right" indent="1"/>
    </xf>
    <xf numFmtId="0" fontId="64" fillId="0" borderId="0" xfId="6" applyFont="1" applyFill="1" applyBorder="1" applyProtection="1"/>
    <xf numFmtId="0" fontId="16" fillId="0" borderId="0" xfId="0" applyNumberFormat="1" applyFont="1" applyAlignment="1">
      <alignment horizontal="center"/>
    </xf>
    <xf numFmtId="165" fontId="34" fillId="2" borderId="19" xfId="0" quotePrefix="1" applyFont="1" applyFill="1" applyBorder="1" applyAlignment="1" applyProtection="1"/>
    <xf numFmtId="0" fontId="16" fillId="2" borderId="19" xfId="0" applyNumberFormat="1" applyFont="1" applyFill="1" applyBorder="1" applyAlignment="1">
      <alignment horizontal="center"/>
    </xf>
    <xf numFmtId="165" fontId="16" fillId="0" borderId="0" xfId="0" applyFont="1" applyAlignment="1">
      <alignment horizontal="center"/>
    </xf>
    <xf numFmtId="165" fontId="16" fillId="2" borderId="0" xfId="0" applyFont="1" applyFill="1"/>
    <xf numFmtId="3" fontId="16" fillId="2" borderId="0" xfId="0" applyNumberFormat="1" applyFont="1" applyFill="1"/>
    <xf numFmtId="165" fontId="16" fillId="2" borderId="7" xfId="0" applyFont="1" applyFill="1" applyBorder="1"/>
    <xf numFmtId="3" fontId="16" fillId="2" borderId="7" xfId="0" applyNumberFormat="1" applyFont="1" applyFill="1" applyBorder="1"/>
    <xf numFmtId="165" fontId="16" fillId="2" borderId="20" xfId="0" applyFont="1" applyFill="1" applyBorder="1"/>
    <xf numFmtId="3" fontId="16" fillId="2" borderId="20" xfId="0" applyNumberFormat="1" applyFont="1" applyFill="1" applyBorder="1"/>
    <xf numFmtId="169" fontId="16" fillId="2" borderId="20" xfId="0" applyNumberFormat="1" applyFont="1" applyFill="1" applyBorder="1"/>
    <xf numFmtId="165" fontId="16" fillId="0" borderId="0" xfId="0" applyFont="1" applyAlignment="1">
      <alignment horizontal="left" indent="1"/>
    </xf>
    <xf numFmtId="169" fontId="16" fillId="0" borderId="0" xfId="0" applyNumberFormat="1" applyFont="1" applyAlignment="1">
      <alignment horizontal="center"/>
    </xf>
    <xf numFmtId="165" fontId="16" fillId="0" borderId="0" xfId="0" applyFont="1" applyAlignment="1">
      <alignment horizontal="right"/>
    </xf>
    <xf numFmtId="14" fontId="16" fillId="2" borderId="0" xfId="0" applyNumberFormat="1" applyFont="1" applyFill="1"/>
    <xf numFmtId="3" fontId="16" fillId="2" borderId="0" xfId="0" applyNumberFormat="1" applyFont="1" applyFill="1" applyAlignment="1"/>
    <xf numFmtId="167" fontId="16" fillId="2" borderId="0" xfId="0" applyNumberFormat="1" applyFont="1" applyFill="1"/>
    <xf numFmtId="165" fontId="16" fillId="2" borderId="0" xfId="0" applyFont="1" applyFill="1" applyAlignment="1">
      <alignment horizontal="left" indent="1"/>
    </xf>
    <xf numFmtId="165" fontId="16" fillId="2" borderId="7" xfId="0" applyNumberFormat="1" applyFont="1" applyFill="1" applyBorder="1"/>
    <xf numFmtId="169" fontId="16" fillId="2" borderId="7" xfId="0" applyNumberFormat="1" applyFont="1" applyFill="1" applyBorder="1"/>
    <xf numFmtId="165" fontId="16" fillId="2" borderId="19" xfId="0" quotePrefix="1" applyFont="1" applyFill="1" applyBorder="1"/>
    <xf numFmtId="0" fontId="16" fillId="2" borderId="19" xfId="0" applyNumberFormat="1" applyFont="1" applyFill="1" applyBorder="1"/>
    <xf numFmtId="0" fontId="16" fillId="2" borderId="19" xfId="0" quotePrefix="1" applyNumberFormat="1" applyFont="1" applyFill="1" applyBorder="1"/>
    <xf numFmtId="171" fontId="16" fillId="2" borderId="7" xfId="13" applyNumberFormat="1" applyFont="1" applyFill="1" applyBorder="1"/>
    <xf numFmtId="0" fontId="16" fillId="0" borderId="0" xfId="0" applyNumberFormat="1" applyFont="1"/>
    <xf numFmtId="0" fontId="16" fillId="2" borderId="3" xfId="11" applyFont="1" applyFill="1" applyBorder="1" applyAlignment="1">
      <alignment horizontal="center"/>
    </xf>
    <xf numFmtId="0" fontId="16" fillId="2" borderId="3" xfId="11" applyFont="1" applyFill="1" applyBorder="1" applyAlignment="1">
      <alignment horizontal="right"/>
    </xf>
    <xf numFmtId="0" fontId="16" fillId="2" borderId="3" xfId="11" applyFont="1" applyFill="1" applyBorder="1" applyAlignment="1">
      <alignment horizontal="right" wrapText="1"/>
    </xf>
    <xf numFmtId="0" fontId="16" fillId="0" borderId="0" xfId="11" applyFont="1" applyFill="1" applyBorder="1" applyAlignment="1">
      <alignment horizontal="right"/>
    </xf>
    <xf numFmtId="170" fontId="16" fillId="0" borderId="0" xfId="11" applyNumberFormat="1" applyFont="1" applyFill="1" applyBorder="1" applyAlignment="1">
      <alignment horizontal="right"/>
    </xf>
    <xf numFmtId="0" fontId="16" fillId="0" borderId="0" xfId="11" applyNumberFormat="1" applyFont="1" applyFill="1"/>
    <xf numFmtId="0" fontId="16" fillId="2" borderId="0" xfId="11" applyFont="1" applyFill="1"/>
    <xf numFmtId="172" fontId="16" fillId="2" borderId="0" xfId="11" applyNumberFormat="1" applyFont="1" applyFill="1"/>
    <xf numFmtId="0" fontId="16" fillId="2" borderId="0" xfId="11" applyFont="1" applyFill="1" applyBorder="1"/>
    <xf numFmtId="3" fontId="16" fillId="2" borderId="0" xfId="11" applyNumberFormat="1" applyFont="1" applyFill="1"/>
    <xf numFmtId="0" fontId="16" fillId="0" borderId="0" xfId="3" applyFont="1" applyFill="1" applyBorder="1"/>
    <xf numFmtId="170" fontId="16" fillId="0" borderId="0" xfId="11" applyNumberFormat="1" applyFont="1" applyFill="1"/>
    <xf numFmtId="0" fontId="16" fillId="0" borderId="0" xfId="11" applyFont="1" applyFill="1"/>
    <xf numFmtId="0" fontId="16" fillId="2" borderId="11" xfId="11" applyFont="1" applyFill="1" applyBorder="1"/>
    <xf numFmtId="172" fontId="16" fillId="2" borderId="11" xfId="11" applyNumberFormat="1" applyFont="1" applyFill="1" applyBorder="1"/>
    <xf numFmtId="0" fontId="16" fillId="2" borderId="4" xfId="11" applyFont="1" applyFill="1" applyBorder="1"/>
    <xf numFmtId="3" fontId="16" fillId="0" borderId="0" xfId="11" applyNumberFormat="1" applyFont="1" applyFill="1"/>
    <xf numFmtId="171" fontId="16" fillId="0" borderId="0" xfId="11" applyNumberFormat="1" applyFont="1" applyFill="1"/>
    <xf numFmtId="170" fontId="16" fillId="0" borderId="0" xfId="11" applyNumberFormat="1" applyFont="1"/>
    <xf numFmtId="0" fontId="16" fillId="0" borderId="0" xfId="11" applyNumberFormat="1" applyFont="1"/>
    <xf numFmtId="1" fontId="16" fillId="0" borderId="0" xfId="11" applyNumberFormat="1" applyFont="1" applyFill="1"/>
    <xf numFmtId="17" fontId="16" fillId="2" borderId="3" xfId="11" quotePrefix="1" applyNumberFormat="1" applyFont="1" applyFill="1" applyBorder="1" applyAlignment="1">
      <alignment horizontal="right"/>
    </xf>
    <xf numFmtId="0" fontId="6" fillId="11" borderId="0" xfId="6" applyFont="1" applyFill="1" applyBorder="1" applyProtection="1"/>
    <xf numFmtId="0" fontId="8" fillId="11" borderId="0" xfId="6" applyFont="1" applyFill="1" applyBorder="1" applyProtection="1"/>
    <xf numFmtId="169" fontId="56" fillId="0" borderId="0" xfId="0" applyNumberFormat="1" applyFont="1"/>
    <xf numFmtId="3" fontId="34" fillId="0" borderId="1" xfId="0" applyNumberFormat="1" applyFont="1" applyFill="1" applyBorder="1" applyProtection="1"/>
    <xf numFmtId="3" fontId="16" fillId="0" borderId="1" xfId="0" applyNumberFormat="1" applyFont="1" applyFill="1" applyBorder="1" applyProtection="1"/>
    <xf numFmtId="3" fontId="16" fillId="12" borderId="0" xfId="0" applyNumberFormat="1" applyFont="1" applyFill="1" applyAlignment="1" applyProtection="1">
      <alignment horizontal="right" vertical="center"/>
    </xf>
    <xf numFmtId="177" fontId="16" fillId="12" borderId="0" xfId="13" applyNumberFormat="1" applyFont="1" applyFill="1" applyAlignment="1" applyProtection="1">
      <alignment horizontal="right" vertical="center"/>
    </xf>
    <xf numFmtId="177" fontId="34" fillId="12" borderId="1" xfId="13" applyNumberFormat="1" applyFont="1" applyFill="1" applyBorder="1" applyAlignment="1" applyProtection="1">
      <alignment horizontal="right"/>
    </xf>
    <xf numFmtId="165" fontId="34" fillId="0" borderId="0" xfId="0" applyFont="1"/>
    <xf numFmtId="165" fontId="65" fillId="13" borderId="13" xfId="41" applyAlignment="1">
      <alignment vertical="center"/>
    </xf>
    <xf numFmtId="165" fontId="65" fillId="13" borderId="13" xfId="39" quotePrefix="1" applyAlignment="1">
      <alignment horizontal="center"/>
    </xf>
    <xf numFmtId="165" fontId="65" fillId="13" borderId="13" xfId="39" applyAlignment="1">
      <alignment horizontal="center"/>
    </xf>
    <xf numFmtId="165" fontId="66" fillId="4" borderId="13" xfId="42" quotePrefix="1" applyAlignment="1">
      <alignment horizontal="left" vertical="center"/>
    </xf>
    <xf numFmtId="165" fontId="65" fillId="13" borderId="13" xfId="44" quotePrefix="1" applyAlignment="1">
      <alignment horizontal="left" vertical="center"/>
    </xf>
    <xf numFmtId="165" fontId="65" fillId="13" borderId="13" xfId="44" applyAlignment="1">
      <alignment horizontal="left" vertical="center"/>
    </xf>
    <xf numFmtId="0" fontId="16" fillId="0" borderId="0" xfId="4" applyNumberFormat="1" applyFont="1" applyFill="1" applyAlignment="1" applyProtection="1">
      <alignment horizontal="left" wrapText="1"/>
    </xf>
    <xf numFmtId="167" fontId="47" fillId="4" borderId="13" xfId="23" applyNumberFormat="1" applyAlignment="1">
      <alignment horizontal="right" vertical="center"/>
    </xf>
    <xf numFmtId="179" fontId="17" fillId="4" borderId="13" xfId="40" applyAlignment="1">
      <alignment horizontal="right" vertical="center"/>
    </xf>
    <xf numFmtId="179" fontId="65" fillId="13" borderId="13" xfId="43" applyAlignment="1">
      <alignment horizontal="right" vertical="center"/>
    </xf>
    <xf numFmtId="169" fontId="16" fillId="0" borderId="0" xfId="0" applyNumberFormat="1" applyFont="1"/>
    <xf numFmtId="171" fontId="16" fillId="0" borderId="9" xfId="0" applyNumberFormat="1" applyFont="1" applyBorder="1" applyAlignment="1">
      <alignment horizontal="right" vertical="center" wrapText="1" readingOrder="1"/>
    </xf>
    <xf numFmtId="171" fontId="54" fillId="11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Border="1"/>
    <xf numFmtId="165" fontId="54" fillId="11" borderId="0" xfId="0" applyFont="1" applyFill="1" applyBorder="1" applyAlignment="1">
      <alignment horizontal="right" vertical="center" wrapText="1"/>
    </xf>
    <xf numFmtId="171" fontId="16" fillId="11" borderId="9" xfId="0" applyNumberFormat="1" applyFont="1" applyFill="1" applyBorder="1" applyAlignment="1">
      <alignment horizontal="right" vertical="center" wrapText="1"/>
    </xf>
    <xf numFmtId="165" fontId="16" fillId="11" borderId="10" xfId="0" applyFont="1" applyFill="1" applyBorder="1" applyAlignment="1">
      <alignment horizontal="right" vertical="center" wrapText="1"/>
    </xf>
    <xf numFmtId="3" fontId="54" fillId="11" borderId="0" xfId="0" applyNumberFormat="1" applyFont="1" applyFill="1" applyBorder="1" applyAlignment="1">
      <alignment horizontal="right" vertical="center" wrapText="1"/>
    </xf>
    <xf numFmtId="0" fontId="54" fillId="0" borderId="0" xfId="6" applyFont="1" applyFill="1" applyBorder="1" applyAlignment="1" applyProtection="1">
      <alignment horizontal="left" vertical="top" wrapText="1"/>
    </xf>
    <xf numFmtId="165" fontId="34" fillId="0" borderId="0" xfId="7" applyFont="1" applyFill="1" applyAlignment="1">
      <alignment horizontal="left" readingOrder="1"/>
    </xf>
    <xf numFmtId="0" fontId="1" fillId="0" borderId="0" xfId="47" applyAlignment="1">
      <alignment horizontal="center" vertical="center" wrapText="1"/>
    </xf>
    <xf numFmtId="0" fontId="1" fillId="0" borderId="0" xfId="47"/>
    <xf numFmtId="14" fontId="1" fillId="0" borderId="0" xfId="47" applyNumberFormat="1"/>
    <xf numFmtId="3" fontId="67" fillId="0" borderId="24" xfId="47" applyNumberFormat="1" applyFont="1" applyBorder="1" applyAlignment="1">
      <alignment horizontal="right" vertical="center"/>
    </xf>
    <xf numFmtId="167" fontId="67" fillId="0" borderId="24" xfId="47" applyNumberFormat="1" applyFont="1" applyBorder="1" applyAlignment="1">
      <alignment horizontal="right" vertical="center"/>
    </xf>
    <xf numFmtId="171" fontId="1" fillId="0" borderId="0" xfId="47" applyNumberFormat="1"/>
    <xf numFmtId="1" fontId="1" fillId="0" borderId="0" xfId="47" applyNumberFormat="1"/>
    <xf numFmtId="180" fontId="16" fillId="0" borderId="0" xfId="0" applyNumberFormat="1" applyFont="1"/>
    <xf numFmtId="169" fontId="56" fillId="0" borderId="0" xfId="0" applyNumberFormat="1" applyFont="1" applyFill="1"/>
    <xf numFmtId="1" fontId="16" fillId="0" borderId="0" xfId="12" applyNumberFormat="1" applyFont="1" applyFill="1"/>
    <xf numFmtId="169" fontId="16" fillId="0" borderId="0" xfId="0" applyNumberFormat="1" applyFont="1" applyFill="1"/>
    <xf numFmtId="1" fontId="64" fillId="0" borderId="0" xfId="12" applyNumberFormat="1" applyFont="1" applyFill="1"/>
    <xf numFmtId="0" fontId="16" fillId="0" borderId="0" xfId="4" applyNumberFormat="1" applyFont="1" applyFill="1" applyBorder="1" applyAlignment="1" applyProtection="1">
      <alignment horizontal="justify"/>
    </xf>
    <xf numFmtId="3" fontId="67" fillId="0" borderId="0" xfId="47" applyNumberFormat="1" applyFont="1" applyBorder="1" applyAlignment="1">
      <alignment horizontal="right" vertical="center"/>
    </xf>
    <xf numFmtId="0" fontId="16" fillId="0" borderId="0" xfId="4" applyNumberFormat="1" applyFont="1" applyFill="1" applyBorder="1" applyAlignment="1" applyProtection="1">
      <alignment wrapText="1"/>
    </xf>
    <xf numFmtId="0" fontId="16" fillId="0" borderId="0" xfId="4" applyNumberFormat="1" applyFont="1" applyFill="1" applyBorder="1" applyAlignment="1" applyProtection="1"/>
    <xf numFmtId="171" fontId="16" fillId="2" borderId="7" xfId="0" applyNumberFormat="1" applyFont="1" applyFill="1" applyBorder="1"/>
    <xf numFmtId="3" fontId="16" fillId="11" borderId="0" xfId="0" applyNumberFormat="1" applyFont="1" applyFill="1" applyBorder="1" applyAlignment="1">
      <alignment horizontal="right" vertical="center" wrapText="1"/>
    </xf>
    <xf numFmtId="165" fontId="16" fillId="11" borderId="8" xfId="0" applyFont="1" applyFill="1" applyBorder="1" applyAlignment="1">
      <alignment horizontal="right" vertical="center" wrapText="1"/>
    </xf>
    <xf numFmtId="1" fontId="16" fillId="0" borderId="0" xfId="3" applyNumberFormat="1" applyFont="1" applyFill="1" applyBorder="1"/>
    <xf numFmtId="165" fontId="69" fillId="14" borderId="13" xfId="48" applyAlignment="1">
      <alignment vertical="center"/>
    </xf>
    <xf numFmtId="165" fontId="69" fillId="14" borderId="13" xfId="50" quotePrefix="1" applyAlignment="1">
      <alignment horizontal="center"/>
    </xf>
    <xf numFmtId="165" fontId="69" fillId="14" borderId="13" xfId="50" applyAlignment="1">
      <alignment horizontal="center"/>
    </xf>
    <xf numFmtId="168" fontId="17" fillId="4" borderId="13" xfId="45" applyAlignment="1">
      <alignment horizontal="right" vertical="center"/>
    </xf>
    <xf numFmtId="165" fontId="69" fillId="13" borderId="13" xfId="49" quotePrefix="1" applyAlignment="1">
      <alignment horizontal="left" vertical="center"/>
    </xf>
    <xf numFmtId="168" fontId="69" fillId="13" borderId="13" xfId="51" applyAlignment="1">
      <alignment horizontal="right" vertical="center"/>
    </xf>
    <xf numFmtId="165" fontId="48" fillId="4" borderId="13" xfId="54" quotePrefix="1" applyAlignment="1">
      <alignment horizontal="left" vertical="center"/>
    </xf>
    <xf numFmtId="165" fontId="49" fillId="5" borderId="13" xfId="56" quotePrefix="1" applyAlignment="1">
      <alignment horizontal="left" vertical="center"/>
    </xf>
    <xf numFmtId="165" fontId="46" fillId="6" borderId="13" xfId="53" applyAlignment="1">
      <alignment horizontal="center"/>
    </xf>
    <xf numFmtId="165" fontId="48" fillId="4" borderId="13" xfId="54" applyAlignment="1">
      <alignment horizontal="left" vertical="center"/>
    </xf>
    <xf numFmtId="168" fontId="47" fillId="4" borderId="13" xfId="55" applyAlignment="1">
      <alignment horizontal="right" vertical="center"/>
    </xf>
    <xf numFmtId="10" fontId="47" fillId="4" borderId="13" xfId="24" applyAlignment="1">
      <alignment horizontal="right" vertical="center"/>
    </xf>
    <xf numFmtId="168" fontId="45" fillId="5" borderId="13" xfId="57" applyAlignment="1">
      <alignment horizontal="right" vertical="center"/>
    </xf>
    <xf numFmtId="10" fontId="45" fillId="5" borderId="13" xfId="58" applyAlignment="1">
      <alignment horizontal="right" vertical="center"/>
    </xf>
    <xf numFmtId="165" fontId="16" fillId="0" borderId="0" xfId="0" applyFont="1" applyBorder="1" applyAlignment="1">
      <alignment horizontal="center"/>
    </xf>
    <xf numFmtId="165" fontId="34" fillId="2" borderId="0" xfId="0" quotePrefix="1" applyFont="1" applyFill="1" applyBorder="1" applyAlignment="1" applyProtection="1"/>
    <xf numFmtId="0" fontId="16" fillId="2" borderId="0" xfId="0" applyNumberFormat="1" applyFont="1" applyFill="1" applyBorder="1" applyAlignment="1">
      <alignment horizontal="center"/>
    </xf>
    <xf numFmtId="165" fontId="16" fillId="2" borderId="0" xfId="0" applyFont="1" applyFill="1" applyBorder="1"/>
    <xf numFmtId="3" fontId="16" fillId="2" borderId="0" xfId="0" applyNumberFormat="1" applyFont="1" applyFill="1" applyBorder="1"/>
    <xf numFmtId="165" fontId="16" fillId="0" borderId="0" xfId="0" applyFont="1" applyBorder="1"/>
    <xf numFmtId="169" fontId="16" fillId="2" borderId="0" xfId="0" applyNumberFormat="1" applyFont="1" applyFill="1" applyBorder="1"/>
    <xf numFmtId="171" fontId="16" fillId="2" borderId="0" xfId="0" applyNumberFormat="1" applyFont="1" applyFill="1" applyBorder="1"/>
    <xf numFmtId="165" fontId="46" fillId="6" borderId="13" xfId="53" quotePrefix="1" applyAlignment="1">
      <alignment horizontal="center"/>
    </xf>
    <xf numFmtId="165" fontId="34" fillId="0" borderId="0" xfId="4" applyFont="1" applyFill="1" applyBorder="1" applyAlignment="1" applyProtection="1">
      <alignment horizontal="left" vertical="top" wrapText="1"/>
    </xf>
    <xf numFmtId="165" fontId="12" fillId="3" borderId="2" xfId="4" quotePrefix="1" applyNumberFormat="1" applyFont="1" applyFill="1" applyBorder="1" applyAlignment="1" applyProtection="1">
      <alignment horizontal="right" indent="1"/>
    </xf>
    <xf numFmtId="0" fontId="12" fillId="3" borderId="2" xfId="4" applyNumberFormat="1" applyFont="1" applyFill="1" applyBorder="1" applyAlignment="1" applyProtection="1">
      <alignment horizontal="right" indent="1"/>
    </xf>
    <xf numFmtId="165" fontId="12" fillId="3" borderId="2" xfId="4" applyFont="1" applyFill="1" applyBorder="1" applyAlignment="1" applyProtection="1">
      <alignment horizontal="right" indent="1"/>
    </xf>
    <xf numFmtId="0" fontId="16" fillId="0" borderId="0" xfId="4" applyNumberFormat="1" applyFont="1" applyFill="1" applyAlignment="1" applyProtection="1">
      <alignment horizontal="left" wrapText="1"/>
    </xf>
    <xf numFmtId="0" fontId="16" fillId="0" borderId="0" xfId="4" applyNumberFormat="1" applyFont="1" applyFill="1" applyBorder="1" applyAlignment="1" applyProtection="1">
      <alignment horizontal="justify"/>
    </xf>
    <xf numFmtId="0" fontId="16" fillId="0" borderId="5" xfId="4" applyNumberFormat="1" applyFont="1" applyFill="1" applyBorder="1" applyAlignment="1" applyProtection="1">
      <alignment horizontal="justify" wrapText="1"/>
    </xf>
    <xf numFmtId="0" fontId="16" fillId="0" borderId="5" xfId="4" applyNumberFormat="1" applyFont="1" applyFill="1" applyBorder="1" applyAlignment="1" applyProtection="1">
      <alignment horizontal="justify"/>
    </xf>
    <xf numFmtId="0" fontId="16" fillId="0" borderId="0" xfId="4" applyNumberFormat="1" applyFont="1" applyFill="1" applyBorder="1" applyAlignment="1" applyProtection="1">
      <alignment horizontal="left" wrapText="1"/>
    </xf>
    <xf numFmtId="0" fontId="16" fillId="0" borderId="0" xfId="4" applyNumberFormat="1" applyFont="1" applyFill="1" applyBorder="1" applyAlignment="1" applyProtection="1">
      <alignment horizontal="left"/>
    </xf>
    <xf numFmtId="0" fontId="34" fillId="0" borderId="0" xfId="6" applyFont="1" applyFill="1" applyBorder="1" applyAlignment="1" applyProtection="1">
      <alignment horizontal="left" vertical="top" wrapText="1"/>
    </xf>
    <xf numFmtId="0" fontId="34" fillId="0" borderId="0" xfId="2" applyFont="1" applyFill="1" applyBorder="1" applyAlignment="1" applyProtection="1">
      <alignment horizontal="left" vertical="top" wrapText="1"/>
    </xf>
    <xf numFmtId="165" fontId="34" fillId="2" borderId="0" xfId="10" quotePrefix="1" applyNumberFormat="1" applyFont="1" applyFill="1" applyBorder="1" applyAlignment="1">
      <alignment horizontal="center" vertical="center"/>
    </xf>
    <xf numFmtId="0" fontId="34" fillId="2" borderId="8" xfId="10" applyNumberFormat="1" applyFont="1" applyFill="1" applyBorder="1" applyAlignment="1">
      <alignment horizontal="center" vertical="center"/>
    </xf>
    <xf numFmtId="0" fontId="34" fillId="2" borderId="0" xfId="10" applyNumberFormat="1" applyFont="1" applyFill="1" applyBorder="1" applyAlignment="1">
      <alignment horizontal="center" vertical="center"/>
    </xf>
    <xf numFmtId="165" fontId="16" fillId="2" borderId="20" xfId="0" applyFont="1" applyFill="1" applyBorder="1" applyAlignment="1">
      <alignment horizontal="center" wrapText="1"/>
    </xf>
    <xf numFmtId="165" fontId="16" fillId="2" borderId="7" xfId="0" applyFont="1" applyFill="1" applyBorder="1" applyAlignment="1">
      <alignment horizontal="center" wrapText="1"/>
    </xf>
    <xf numFmtId="165" fontId="46" fillId="6" borderId="13" xfId="53" quotePrefix="1" applyAlignment="1">
      <alignment horizontal="center"/>
    </xf>
    <xf numFmtId="165" fontId="0" fillId="0" borderId="11" xfId="0" applyBorder="1" applyAlignment="1">
      <alignment horizontal="center"/>
    </xf>
    <xf numFmtId="165" fontId="46" fillId="6" borderId="15" xfId="53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46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165" fontId="66" fillId="4" borderId="22" xfId="42" quotePrefix="1" applyBorder="1" applyAlignment="1">
      <alignment horizontal="left" vertical="center"/>
    </xf>
    <xf numFmtId="165" fontId="0" fillId="0" borderId="23" xfId="0" applyBorder="1" applyAlignment="1">
      <alignment horizontal="left" vertical="center"/>
    </xf>
    <xf numFmtId="165" fontId="66" fillId="4" borderId="21" xfId="42" quotePrefix="1" applyBorder="1" applyAlignment="1">
      <alignment horizontal="left" vertical="center"/>
    </xf>
    <xf numFmtId="165" fontId="0" fillId="0" borderId="22" xfId="0" applyBorder="1" applyAlignment="1">
      <alignment horizontal="left" vertical="center"/>
    </xf>
    <xf numFmtId="165" fontId="46" fillId="10" borderId="15" xfId="29" applyFill="1" applyBorder="1" applyAlignment="1">
      <alignment horizontal="center"/>
    </xf>
    <xf numFmtId="165" fontId="46" fillId="10" borderId="14" xfId="29" applyFill="1" applyBorder="1" applyAlignment="1">
      <alignment horizontal="center"/>
    </xf>
    <xf numFmtId="165" fontId="34" fillId="2" borderId="12" xfId="0" applyFont="1" applyFill="1" applyBorder="1" applyAlignment="1" applyProtection="1">
      <alignment horizontal="center"/>
    </xf>
    <xf numFmtId="0" fontId="34" fillId="0" borderId="3" xfId="11" applyFont="1" applyFill="1" applyBorder="1" applyAlignment="1">
      <alignment horizontal="center"/>
    </xf>
  </cellXfs>
  <cellStyles count="59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5" xr:uid="{67A0AA3A-AC11-4695-8802-88404AA6C089}"/>
    <cellStyle name="MSTRStyle.Todos.c12_7a1e8989-ce78-4d49-8f33-804e75eaa9ac" xfId="40" xr:uid="{00000000-0005-0000-0000-000005000000}"/>
    <cellStyle name="MSTRStyle.Todos.c13_1c857d04-1888-46ca-a093-da254b91b892" xfId="44" xr:uid="{00000000-0005-0000-0000-000006000000}"/>
    <cellStyle name="MSTRStyle.Todos.c13_7e420611-275d-473b-8f31-0e521fd83d09" xfId="26" xr:uid="{00000000-0005-0000-0000-000007000000}"/>
    <cellStyle name="MSTRStyle.Todos.c14_bd018b41-2aac-4afa-b128-186e0d2a0ba8" xfId="43" xr:uid="{00000000-0005-0000-0000-000008000000}"/>
    <cellStyle name="MSTRStyle.Todos.c15_15fbff46-fe6a-4e3e-a0de-d99014ad5935" xfId="55" xr:uid="{CBC9C65B-4B9A-4409-A2B6-9DC46AD977FB}"/>
    <cellStyle name="MSTRStyle.Todos.c16_a3abbdba-39c5-4475-8de4-e6135500e251" xfId="23" xr:uid="{00000000-0005-0000-0000-00000A000000}"/>
    <cellStyle name="MSTRStyle.Todos.c17_4d0c6726-016a-458a-8b38-aa05b0e7297c" xfId="46" xr:uid="{D18DF0AE-27F8-4B95-8BD1-57C13B7B04DF}"/>
    <cellStyle name="MSTRStyle.Todos.c18_19c4098a-8743-4bc4-b466-65d82a5a7505" xfId="24" xr:uid="{00000000-0005-0000-0000-00000B000000}"/>
    <cellStyle name="MSTRStyle.Todos.c19_15009b83-d662-472c-ae48-4df3fea471dd" xfId="35" xr:uid="{00000000-0005-0000-0000-00000C000000}"/>
    <cellStyle name="MSTRStyle.Todos.c19_5273395b-330c-4453-bb5e-3d097a5f9a38" xfId="57" xr:uid="{5089B4E7-27A2-4D31-918A-A7C85961DB86}"/>
    <cellStyle name="MSTRStyle.Todos.c2_3a581374-dd4c-4b65-a07e-d5e7fd3fec7a" xfId="52" xr:uid="{0E9F78D5-4D9A-4151-B054-A0EEE46EFED7}"/>
    <cellStyle name="MSTRStyle.Todos.c2_3c6e317f-bd39-4422-933b-ac144830b67b" xfId="21" xr:uid="{00000000-0005-0000-0000-00000D000000}"/>
    <cellStyle name="MSTRStyle.Todos.c2_c104d2fa-5300-418c-a569-abbb41344e9d" xfId="41" xr:uid="{00000000-0005-0000-0000-00000E000000}"/>
    <cellStyle name="MSTRStyle.Todos.c2_e153042f-707e-470f-9ae6-b2261dc537dd" xfId="48" xr:uid="{0C089A2F-1D42-4871-B3A0-B3855D13E552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8ff8ac70-2ad1-4e8d-b36a-325273c52159" xfId="56" xr:uid="{FFD0639C-6CE7-4D97-BF9A-C36F9456FA99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4_08dad9a3-f282-4d8f-8754-383bda6f9464" xfId="58" xr:uid="{94577577-EA40-4777-8DFF-4664E10FBDE0}"/>
    <cellStyle name="MSTRStyle.Todos.c25_afaf7586-66ac-412d-9de1-4c2909e1f8f2" xfId="31" xr:uid="{00000000-0005-0000-0000-000015000000}"/>
    <cellStyle name="MSTRStyle.Todos.c3_12fa68d3-c457-4d25-994e-10345e19d365" xfId="54" xr:uid="{AADFEBED-E0AA-44F6-928D-83E8D7C60954}"/>
    <cellStyle name="MSTRStyle.Todos.c3_643e75d5-5bb6-4a8f-a153-5b2cbad6ca42" xfId="25" xr:uid="{00000000-0005-0000-0000-000016000000}"/>
    <cellStyle name="MSTRStyle.Todos.c3_c7acf525-e5b5-4332-9962-8db109e784ea" xfId="42" xr:uid="{00000000-0005-0000-0000-000017000000}"/>
    <cellStyle name="MSTRStyle.Todos.c6_81bfd3a6-0f47-492d-bc49-79c4fbba0499" xfId="34" xr:uid="{00000000-0005-0000-0000-000018000000}"/>
    <cellStyle name="MSTRStyle.Todos.c7_03c312d0-6154-48f1-b89c-a4374d2ac33b" xfId="50" xr:uid="{6BBFE342-F0F2-48F2-9896-0157F62CAB84}"/>
    <cellStyle name="MSTRStyle.Todos.c7_3e22e94e-2e1a-4be3-9466-931f06a0e26e" xfId="30" xr:uid="{00000000-0005-0000-0000-000019000000}"/>
    <cellStyle name="MSTRStyle.Todos.c7_4be24ddf-a144-4ef7-aea0-57f6cd34329f" xfId="39" xr:uid="{00000000-0005-0000-0000-00001A000000}"/>
    <cellStyle name="MSTRStyle.Todos.c9_4640f619-39fa-4d3e-98e7-beb9e4e71513" xfId="53" xr:uid="{56729557-3780-46F1-A18D-DBCA35551066}"/>
    <cellStyle name="MSTRStyle.Todos.c9_5a51e594-f96b-4da2-8e95-9c20ffe12f9e" xfId="29" xr:uid="{00000000-0005-0000-0000-00001B000000}"/>
    <cellStyle name="MSTRStyle.Todos.cEF9EF78311EBE4B100000080EFC544CB_941934bb-17c9-4476-9644-f6ead735be79" xfId="49" xr:uid="{76DD4D36-5A03-4E73-B3A4-6DA9693F0638}"/>
    <cellStyle name="MSTRStyle.Todos.cEF9EFC7911EBE4B100000080EFC544CB_fada1520-e799-4241-8aee-b007ed03b5f8" xfId="51" xr:uid="{267C298B-0156-4CEE-9019-4AEB8EB4CEAB}"/>
    <cellStyle name="Normal" xfId="0" builtinId="0"/>
    <cellStyle name="Normal 10" xfId="47" xr:uid="{7058EDDB-2C98-440F-B7DB-70A68D35EAE7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6" xr:uid="{00000000-0005-0000-0000-000025000000}"/>
    <cellStyle name="Normal 7" xfId="2" xr:uid="{00000000-0005-0000-0000-000026000000}"/>
    <cellStyle name="Normal 8" xfId="37" xr:uid="{00000000-0005-0000-0000-000027000000}"/>
    <cellStyle name="Normal 9" xfId="38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44B114"/>
      <color rgb="FF385723"/>
      <color rgb="FFDFA7A3"/>
      <color rgb="FF000000"/>
      <color rgb="FFED7D31"/>
      <color rgb="FF004563"/>
      <color rgb="FFDAACA8"/>
      <color rgb="FFD6AD84"/>
      <color rgb="FFF5F5F5"/>
      <color rgb="FFD6AD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Pt>
            <c:idx val="12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DEA1-4204-95F8-0C8E2B877CE9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21788617886178849"/>
                  <c:y val="1.3071895424836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9186991869918699"/>
                  <c:y val="3.6601307189542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15284552845528454"/>
                  <c:y val="0.115032679738562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0.12195121951219512"/>
                  <c:y val="0.192231794555092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853671339863005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-0.27967479674796747"/>
                  <c:y val="0.17254901960784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40650406504068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26016260162601629"/>
                  <c:y val="-9.5859459072150535E-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19505370974969594"/>
                  <c:y val="1.83006535947713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0.2861788617886179"/>
                  <c:y val="-3.84835695538057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34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dLbl>
              <c:idx val="12"/>
              <c:layout>
                <c:manualLayout>
                  <c:x val="-0.1804878048780488"/>
                  <c:y val="-0.117124199475065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41463414634148"/>
                      <c:h val="0.166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DEA1-4204-95F8-0C8E2B877C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Dat_01!$A$33:$A$45</c:f>
              <c:strCache>
                <c:ptCount val="13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Fuel+gas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Hidráulica</c:v>
                </c:pt>
                <c:pt idx="10">
                  <c:v>Solar fotovoltaica</c:v>
                </c:pt>
                <c:pt idx="11">
                  <c:v>Solar térmica</c:v>
                </c:pt>
                <c:pt idx="12">
                  <c:v>Otras renovables</c:v>
                </c:pt>
              </c:strCache>
            </c:strRef>
          </c:cat>
          <c:val>
            <c:numRef>
              <c:f>Dat_01!$C$33:$C$45</c:f>
              <c:numCache>
                <c:formatCode>#,##0.0</c:formatCode>
                <c:ptCount val="13"/>
                <c:pt idx="0">
                  <c:v>3.0226926348288439</c:v>
                </c:pt>
                <c:pt idx="1">
                  <c:v>6.457759519403548</c:v>
                </c:pt>
                <c:pt idx="2">
                  <c:v>3.1964697876431547</c:v>
                </c:pt>
                <c:pt idx="3">
                  <c:v>22.285798156723203</c:v>
                </c:pt>
                <c:pt idx="4">
                  <c:v>5.0706086322914192</c:v>
                </c:pt>
                <c:pt idx="5">
                  <c:v>7.2133056513445735E-3</c:v>
                </c:pt>
                <c:pt idx="6">
                  <c:v>0.3474513232146052</c:v>
                </c:pt>
                <c:pt idx="7">
                  <c:v>0.11943011190218336</c:v>
                </c:pt>
                <c:pt idx="8">
                  <c:v>26.231670063827117</c:v>
                </c:pt>
                <c:pt idx="9">
                  <c:v>15.508700633017403</c:v>
                </c:pt>
                <c:pt idx="10">
                  <c:v>14.675569465738855</c:v>
                </c:pt>
                <c:pt idx="11">
                  <c:v>2.0905094331662091</c:v>
                </c:pt>
                <c:pt idx="12">
                  <c:v>0.98612693259211759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26016260162601612"/>
                  <c:y val="-4.90196078431374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20813008130081301"/>
                  <c:y val="4.90196078431372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6260162601626016"/>
                  <c:y val="-9.803921568627495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5284552845528454"/>
                  <c:y val="5.77111316967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9.1056910569105698E-2"/>
                  <c:y val="0.186589856415006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-0.13333333333333333"/>
                  <c:y val="0.19870155936390305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325216055310158"/>
                      <c:h val="0.135220781225876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0.23414634146341465"/>
                  <c:y val="9.529411764705873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87804878048783"/>
                      <c:h val="0.135220781225876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16910569105691059"/>
                  <c:y val="6.83333333333332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17886178861788618"/>
                  <c:y val="-1.0784251968503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17235772357723581"/>
                  <c:y val="-9.3137254901960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9.4308943089430899E-2"/>
                  <c:y val="-0.142156862745098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0.15934959349593483"/>
                  <c:y val="-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0.86844303448779092</c:v>
                </c:pt>
                <c:pt idx="1">
                  <c:v>20.338813762242804</c:v>
                </c:pt>
                <c:pt idx="2">
                  <c:v>3.3365300008595105</c:v>
                </c:pt>
                <c:pt idx="3">
                  <c:v>31.142123013265</c:v>
                </c:pt>
                <c:pt idx="4">
                  <c:v>4.2181967673613521</c:v>
                </c:pt>
                <c:pt idx="5">
                  <c:v>0.6587768672870592</c:v>
                </c:pt>
                <c:pt idx="6">
                  <c:v>0.23666612623383593</c:v>
                </c:pt>
                <c:pt idx="7">
                  <c:v>17.565433266783817</c:v>
                </c:pt>
                <c:pt idx="8">
                  <c:v>4.1753094213308533</c:v>
                </c:pt>
                <c:pt idx="9">
                  <c:v>13.147190178609236</c:v>
                </c:pt>
                <c:pt idx="10">
                  <c:v>2.6750182816900363</c:v>
                </c:pt>
                <c:pt idx="11">
                  <c:v>1.6374992798486958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0.210754464515464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4879416935503922"/>
                  <c:y val="-0.146405743399722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40.387993359756123</c:v>
                </c:pt>
                <c:pt idx="1">
                  <c:v>59.612006640243884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6.2745098039215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8215737738665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16374330132458564"/>
                  <c:y val="-8.104575163398691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60.562883445503516</c:v>
                </c:pt>
                <c:pt idx="1">
                  <c:v>39.437116554496477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07/07/2022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0.12032520325203258"/>
                  <c:y val="3.767382018424162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0.10731707317073171"/>
                  <c:y val="-5.267747413926200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45.576292155151265</c:v>
                </c:pt>
                <c:pt idx="1">
                  <c:v>54.423707844848728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13407925228858583"/>
                  <c:y val="-9.54417168442179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108558991101722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14308943089430895"/>
                  <c:y val="-3.69911996294580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203252032520324"/>
                  <c:y val="-1.61737429880088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4499225401702837"/>
                  <c:y val="1.36569399413308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16846450291274567"/>
                  <c:y val="-3.22569090628377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51232315472762"/>
                      <c:h val="0.11707189542483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16741898726073862"/>
                  <c:y val="3.29634089856414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1498623647654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6.5040650406504072E-2"/>
                  <c:y val="0.145849827595079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8536585365853664"/>
                  <c:y val="9.9346405228757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12546175020805328"/>
                  <c:y val="8.16305902938603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76777629826897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20571896805582229"/>
                  <c:y val="1.33642118264628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66666666666667"/>
                      <c:h val="0.144820239680426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016260162601626"/>
                  <c:y val="5.228758169934616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0.62087383670046414</c:v>
                </c:pt>
                <c:pt idx="1">
                  <c:v>20.648258955660605</c:v>
                </c:pt>
                <c:pt idx="2">
                  <c:v>3.8339419143395106</c:v>
                </c:pt>
                <c:pt idx="3">
                  <c:v>15.380594369088033</c:v>
                </c:pt>
                <c:pt idx="4">
                  <c:v>4.4706041495967321</c:v>
                </c:pt>
                <c:pt idx="5">
                  <c:v>0.62201892976592155</c:v>
                </c:pt>
                <c:pt idx="6">
                  <c:v>0.23290363206353726</c:v>
                </c:pt>
                <c:pt idx="7">
                  <c:v>31.891950853856489</c:v>
                </c:pt>
                <c:pt idx="8">
                  <c:v>3.4629301114754951</c:v>
                </c:pt>
                <c:pt idx="9">
                  <c:v>14.167064079624106</c:v>
                </c:pt>
                <c:pt idx="10">
                  <c:v>3.0557929813717832</c:v>
                </c:pt>
                <c:pt idx="11">
                  <c:v>1.6130661864573232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30/01/2021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 rtl="0">
            <a:defRPr lang="en-US" sz="1000" b="1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032520325203253"/>
                  <c:y val="8.88888888888887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1056910569105691"/>
                  <c:y val="-5.299490504863362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29.007083823643939</c:v>
                </c:pt>
                <c:pt idx="1">
                  <c:v>71.052531296511859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4390243902439013"/>
                  <c:y val="-2.630024188152951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19881108763843544"/>
                  <c:y val="8.88888888888888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2600140836054019"/>
                  <c:y val="7.76242087386135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1136342103578505"/>
                  <c:y val="0.125490196078431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9.3627296587926387E-2"/>
                  <c:y val="0.179171838814265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-1.6260162601626018E-2"/>
                  <c:y val="0.319247799907364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6585365853658537"/>
                  <c:y val="5.7516339869281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26016247359323991"/>
                  <c:y val="4.44444444444444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2682926829268298"/>
                  <c:y val="-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0.11544715447154472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0.6928143579101792</c:v>
                </c:pt>
                <c:pt idx="1">
                  <c:v>17.394747719286773</c:v>
                </c:pt>
                <c:pt idx="2">
                  <c:v>0</c:v>
                </c:pt>
                <c:pt idx="3">
                  <c:v>2.8864129230666857</c:v>
                </c:pt>
                <c:pt idx="4">
                  <c:v>7.3710759610778336</c:v>
                </c:pt>
                <c:pt idx="5">
                  <c:v>0.66203286230246883</c:v>
                </c:pt>
                <c:pt idx="6">
                  <c:v>0.22786348865320355</c:v>
                </c:pt>
                <c:pt idx="7">
                  <c:v>49.40537757828632</c:v>
                </c:pt>
                <c:pt idx="8">
                  <c:v>15.776523816049092</c:v>
                </c:pt>
                <c:pt idx="9">
                  <c:v>3.6823991692485811</c:v>
                </c:pt>
                <c:pt idx="10">
                  <c:v>0.17163176587207835</c:v>
                </c:pt>
                <c:pt idx="11">
                  <c:v>1.7887354784025886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47.991166332557007</c:v>
                </c:pt>
                <c:pt idx="1">
                  <c:v>44.322486326831402</c:v>
                </c:pt>
                <c:pt idx="2">
                  <c:v>37.599074281716803</c:v>
                </c:pt>
                <c:pt idx="3">
                  <c:v>40.16552921133092</c:v>
                </c:pt>
                <c:pt idx="4">
                  <c:v>43.448883863380608</c:v>
                </c:pt>
                <c:pt idx="5">
                  <c:v>48.214737471003019</c:v>
                </c:pt>
                <c:pt idx="6">
                  <c:v>41.62950493955492</c:v>
                </c:pt>
                <c:pt idx="7">
                  <c:v>40.272253168233732</c:v>
                </c:pt>
                <c:pt idx="8">
                  <c:v>47.289792071308845</c:v>
                </c:pt>
                <c:pt idx="9">
                  <c:v>52.095446701776588</c:v>
                </c:pt>
                <c:pt idx="10">
                  <c:v>52.086340302906081</c:v>
                </c:pt>
                <c:pt idx="11">
                  <c:v>40.901154134651861</c:v>
                </c:pt>
                <c:pt idx="12">
                  <c:v>39.437116554496477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52.008833667443</c:v>
                </c:pt>
                <c:pt idx="1">
                  <c:v>55.677513673168605</c:v>
                </c:pt>
                <c:pt idx="2">
                  <c:v>62.400925718283197</c:v>
                </c:pt>
                <c:pt idx="3">
                  <c:v>59.83447078866908</c:v>
                </c:pt>
                <c:pt idx="4">
                  <c:v>56.551116136619392</c:v>
                </c:pt>
                <c:pt idx="5">
                  <c:v>51.785262528996981</c:v>
                </c:pt>
                <c:pt idx="6">
                  <c:v>58.37049506044508</c:v>
                </c:pt>
                <c:pt idx="7">
                  <c:v>59.727746831766268</c:v>
                </c:pt>
                <c:pt idx="8">
                  <c:v>52.710207928691155</c:v>
                </c:pt>
                <c:pt idx="9">
                  <c:v>47.904553298223412</c:v>
                </c:pt>
                <c:pt idx="10">
                  <c:v>47.913659697093919</c:v>
                </c:pt>
                <c:pt idx="11">
                  <c:v>59.098845865348139</c:v>
                </c:pt>
                <c:pt idx="12">
                  <c:v>60.562883445503523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FA7A3"/>
            </a:solidFill>
            <a:ln w="25400">
              <a:noFill/>
            </a:ln>
            <a:effectLst/>
          </c:spPr>
          <c:val>
            <c:numRef>
              <c:f>Dat_01!$C$262:$O$262</c:f>
              <c:numCache>
                <c:formatCode>#,##0.000;\(#,##0.000\)</c:formatCode>
                <c:ptCount val="13"/>
                <c:pt idx="0">
                  <c:v>2318025.87231</c:v>
                </c:pt>
                <c:pt idx="1">
                  <c:v>2398715.8202499999</c:v>
                </c:pt>
                <c:pt idx="2">
                  <c:v>2924350.6090500001</c:v>
                </c:pt>
                <c:pt idx="3">
                  <c:v>2781603.4622999998</c:v>
                </c:pt>
                <c:pt idx="4">
                  <c:v>3542322.02232</c:v>
                </c:pt>
                <c:pt idx="5">
                  <c:v>3225284.4641900002</c:v>
                </c:pt>
                <c:pt idx="6">
                  <c:v>3449205.6688000001</c:v>
                </c:pt>
                <c:pt idx="7">
                  <c:v>2887710.34418</c:v>
                </c:pt>
                <c:pt idx="8">
                  <c:v>2760606.7462399998</c:v>
                </c:pt>
                <c:pt idx="9">
                  <c:v>2312922.18132</c:v>
                </c:pt>
                <c:pt idx="10">
                  <c:v>2397999.1478599999</c:v>
                </c:pt>
                <c:pt idx="11">
                  <c:v>3515194.0406599999</c:v>
                </c:pt>
                <c:pt idx="12">
                  <c:v>4125585.5571900001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72.606186194069025</c:v>
                </c:pt>
                <c:pt idx="1">
                  <c:v>70.356367665428508</c:v>
                </c:pt>
                <c:pt idx="2">
                  <c:v>63.183770762370735</c:v>
                </c:pt>
                <c:pt idx="3">
                  <c:v>65.373966879233677</c:v>
                </c:pt>
                <c:pt idx="4">
                  <c:v>60.288160077764388</c:v>
                </c:pt>
                <c:pt idx="5">
                  <c:v>66.287092790756589</c:v>
                </c:pt>
                <c:pt idx="6">
                  <c:v>64.10087070454621</c:v>
                </c:pt>
                <c:pt idx="7">
                  <c:v>65.006004137612209</c:v>
                </c:pt>
                <c:pt idx="8">
                  <c:v>70.251586694415082</c:v>
                </c:pt>
                <c:pt idx="9">
                  <c:v>74.698706481447758</c:v>
                </c:pt>
                <c:pt idx="10">
                  <c:v>72.585023025144707</c:v>
                </c:pt>
                <c:pt idx="11">
                  <c:v>61.987500148097283</c:v>
                </c:pt>
                <c:pt idx="12">
                  <c:v>60.299597975178862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27.393813805930971</c:v>
                </c:pt>
                <c:pt idx="1">
                  <c:v>29.643632334571492</c:v>
                </c:pt>
                <c:pt idx="2">
                  <c:v>36.816229237629258</c:v>
                </c:pt>
                <c:pt idx="3">
                  <c:v>34.626033120766323</c:v>
                </c:pt>
                <c:pt idx="4">
                  <c:v>39.711839922235619</c:v>
                </c:pt>
                <c:pt idx="5">
                  <c:v>33.712907209243411</c:v>
                </c:pt>
                <c:pt idx="6">
                  <c:v>35.899129295453797</c:v>
                </c:pt>
                <c:pt idx="7">
                  <c:v>34.993995862387827</c:v>
                </c:pt>
                <c:pt idx="8">
                  <c:v>29.748413305584933</c:v>
                </c:pt>
                <c:pt idx="9">
                  <c:v>25.301293518552228</c:v>
                </c:pt>
                <c:pt idx="10">
                  <c:v>27.414976974855307</c:v>
                </c:pt>
                <c:pt idx="11">
                  <c:v>38.012499851902717</c:v>
                </c:pt>
                <c:pt idx="12">
                  <c:v>39.70040202482113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2206.7799777780001</c:v>
                </c:pt>
                <c:pt idx="1">
                  <c:v>1879.5875821039999</c:v>
                </c:pt>
                <c:pt idx="2">
                  <c:v>1393.78333174</c:v>
                </c:pt>
                <c:pt idx="3">
                  <c:v>1021.4348056600001</c:v>
                </c:pt>
                <c:pt idx="4">
                  <c:v>1193.7558425120001</c:v>
                </c:pt>
                <c:pt idx="5">
                  <c:v>2523.893467504</c:v>
                </c:pt>
                <c:pt idx="6">
                  <c:v>2053.5241761440002</c:v>
                </c:pt>
                <c:pt idx="7">
                  <c:v>1145.6069011300001</c:v>
                </c:pt>
                <c:pt idx="8">
                  <c:v>1763.8028711760001</c:v>
                </c:pt>
                <c:pt idx="9">
                  <c:v>1779.2985286959999</c:v>
                </c:pt>
                <c:pt idx="10">
                  <c:v>1918.4741703340001</c:v>
                </c:pt>
                <c:pt idx="11">
                  <c:v>1190.322507676</c:v>
                </c:pt>
                <c:pt idx="12">
                  <c:v>1041.456428836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4122.6099919999997</c:v>
                </c:pt>
                <c:pt idx="1">
                  <c:v>3598.5848070000002</c:v>
                </c:pt>
                <c:pt idx="2">
                  <c:v>3123.0617010000001</c:v>
                </c:pt>
                <c:pt idx="3">
                  <c:v>4231.9807010000004</c:v>
                </c:pt>
                <c:pt idx="4">
                  <c:v>6320.8397629999999</c:v>
                </c:pt>
                <c:pt idx="5">
                  <c:v>6813.1904430000004</c:v>
                </c:pt>
                <c:pt idx="6">
                  <c:v>5352.3559729999997</c:v>
                </c:pt>
                <c:pt idx="7">
                  <c:v>4621.4652409999999</c:v>
                </c:pt>
                <c:pt idx="8">
                  <c:v>6418.3320880000001</c:v>
                </c:pt>
                <c:pt idx="9">
                  <c:v>5534.8026630000004</c:v>
                </c:pt>
                <c:pt idx="10">
                  <c:v>4570.5633260000004</c:v>
                </c:pt>
                <c:pt idx="11">
                  <c:v>3629.2420929999998</c:v>
                </c:pt>
                <c:pt idx="12">
                  <c:v>4381.3838820000001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2565.0792649999999</c:v>
                </c:pt>
                <c:pt idx="1">
                  <c:v>2343.78982</c:v>
                </c:pt>
                <c:pt idx="2">
                  <c:v>1881.431521</c:v>
                </c:pt>
                <c:pt idx="3">
                  <c:v>1732.6711969999999</c:v>
                </c:pt>
                <c:pt idx="4">
                  <c:v>1320.8873840000001</c:v>
                </c:pt>
                <c:pt idx="5">
                  <c:v>993.85091399999999</c:v>
                </c:pt>
                <c:pt idx="6">
                  <c:v>1534.160668</c:v>
                </c:pt>
                <c:pt idx="7">
                  <c:v>1653.6707039999999</c:v>
                </c:pt>
                <c:pt idx="8">
                  <c:v>1416.057168</c:v>
                </c:pt>
                <c:pt idx="9">
                  <c:v>2530.8183819999999</c:v>
                </c:pt>
                <c:pt idx="10">
                  <c:v>3311.8440599999999</c:v>
                </c:pt>
                <c:pt idx="11">
                  <c:v>3144.0390179999999</c:v>
                </c:pt>
                <c:pt idx="12">
                  <c:v>3279.3319849999998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828.49249399999997</c:v>
                </c:pt>
                <c:pt idx="1">
                  <c:v>661.44510200000002</c:v>
                </c:pt>
                <c:pt idx="2">
                  <c:v>447.44465700000001</c:v>
                </c:pt>
                <c:pt idx="3">
                  <c:v>328.16178000000002</c:v>
                </c:pt>
                <c:pt idx="4">
                  <c:v>172.42624599999999</c:v>
                </c:pt>
                <c:pt idx="5">
                  <c:v>103.956001</c:v>
                </c:pt>
                <c:pt idx="6">
                  <c:v>170.90534199999999</c:v>
                </c:pt>
                <c:pt idx="7">
                  <c:v>208.578486</c:v>
                </c:pt>
                <c:pt idx="8">
                  <c:v>120.568316</c:v>
                </c:pt>
                <c:pt idx="9">
                  <c:v>412.77760999999998</c:v>
                </c:pt>
                <c:pt idx="10">
                  <c:v>621.24744099999998</c:v>
                </c:pt>
                <c:pt idx="11">
                  <c:v>534.18592699999999</c:v>
                </c:pt>
                <c:pt idx="12">
                  <c:v>667.23557600000004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351.88360599999999</c:v>
                </c:pt>
                <c:pt idx="1">
                  <c:v>409.93549100000001</c:v>
                </c:pt>
                <c:pt idx="2">
                  <c:v>395.48078299999997</c:v>
                </c:pt>
                <c:pt idx="3">
                  <c:v>431.48129999999998</c:v>
                </c:pt>
                <c:pt idx="4">
                  <c:v>433.27252499999997</c:v>
                </c:pt>
                <c:pt idx="5">
                  <c:v>435.29937000000001</c:v>
                </c:pt>
                <c:pt idx="6">
                  <c:v>428.42865999999998</c:v>
                </c:pt>
                <c:pt idx="7">
                  <c:v>373.905303</c:v>
                </c:pt>
                <c:pt idx="8">
                  <c:v>422.67529400000001</c:v>
                </c:pt>
                <c:pt idx="9">
                  <c:v>429.86890699999998</c:v>
                </c:pt>
                <c:pt idx="10">
                  <c:v>395.92393399999997</c:v>
                </c:pt>
                <c:pt idx="11">
                  <c:v>414.75039800000002</c:v>
                </c:pt>
                <c:pt idx="12">
                  <c:v>408.444975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70.069195500000006</c:v>
                </c:pt>
                <c:pt idx="1">
                  <c:v>67.951940500000006</c:v>
                </c:pt>
                <c:pt idx="2">
                  <c:v>55.639892500000002</c:v>
                </c:pt>
                <c:pt idx="3">
                  <c:v>61.837724000000001</c:v>
                </c:pt>
                <c:pt idx="4">
                  <c:v>65.901263499999999</c:v>
                </c:pt>
                <c:pt idx="5">
                  <c:v>72.807829999999996</c:v>
                </c:pt>
                <c:pt idx="6">
                  <c:v>68.975128999999995</c:v>
                </c:pt>
                <c:pt idx="7">
                  <c:v>66.906879000000004</c:v>
                </c:pt>
                <c:pt idx="8">
                  <c:v>71.978429000000006</c:v>
                </c:pt>
                <c:pt idx="9">
                  <c:v>64.772149999999996</c:v>
                </c:pt>
                <c:pt idx="10">
                  <c:v>67.480593499999998</c:v>
                </c:pt>
                <c:pt idx="11">
                  <c:v>63.217403500000003</c:v>
                </c:pt>
                <c:pt idx="12">
                  <c:v>59.032142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115.791574032</c:v>
                </c:pt>
                <c:pt idx="1">
                  <c:v>159.74251133199999</c:v>
                </c:pt>
                <c:pt idx="2">
                  <c:v>118.239862456</c:v>
                </c:pt>
                <c:pt idx="3">
                  <c:v>232.11323870199999</c:v>
                </c:pt>
                <c:pt idx="4">
                  <c:v>202.78682990199999</c:v>
                </c:pt>
                <c:pt idx="5">
                  <c:v>269.90862404000001</c:v>
                </c:pt>
                <c:pt idx="6">
                  <c:v>215.45218475999999</c:v>
                </c:pt>
                <c:pt idx="7">
                  <c:v>285.08618899800001</c:v>
                </c:pt>
                <c:pt idx="8">
                  <c:v>273.84815268400001</c:v>
                </c:pt>
                <c:pt idx="9">
                  <c:v>336.71035219200002</c:v>
                </c:pt>
                <c:pt idx="10">
                  <c:v>299.88006930400002</c:v>
                </c:pt>
                <c:pt idx="11">
                  <c:v>270.92395723800001</c:v>
                </c:pt>
                <c:pt idx="12">
                  <c:v>216.61761802000001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5119.3289409999998</c:v>
                </c:pt>
                <c:pt idx="1">
                  <c:v>5151.2435720000003</c:v>
                </c:pt>
                <c:pt idx="2">
                  <c:v>4890.5065249999998</c:v>
                </c:pt>
                <c:pt idx="3">
                  <c:v>4748.3949460000003</c:v>
                </c:pt>
                <c:pt idx="4">
                  <c:v>3562.3582710000001</c:v>
                </c:pt>
                <c:pt idx="5">
                  <c:v>3922.855106</c:v>
                </c:pt>
                <c:pt idx="6">
                  <c:v>5048.424951</c:v>
                </c:pt>
                <c:pt idx="7">
                  <c:v>4771.058908</c:v>
                </c:pt>
                <c:pt idx="8">
                  <c:v>4766.7915640000001</c:v>
                </c:pt>
                <c:pt idx="9">
                  <c:v>4413.7242699999997</c:v>
                </c:pt>
                <c:pt idx="10">
                  <c:v>4066.3553310000002</c:v>
                </c:pt>
                <c:pt idx="11">
                  <c:v>4459.4591659999996</c:v>
                </c:pt>
                <c:pt idx="12">
                  <c:v>5073.1541569999999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302.41718100000003</c:v>
                </c:pt>
                <c:pt idx="1">
                  <c:v>320.34443199999998</c:v>
                </c:pt>
                <c:pt idx="2">
                  <c:v>477.92579699999999</c:v>
                </c:pt>
                <c:pt idx="3">
                  <c:v>528.18759499999999</c:v>
                </c:pt>
                <c:pt idx="4">
                  <c:v>577.43674399999998</c:v>
                </c:pt>
                <c:pt idx="5">
                  <c:v>721.09479699999997</c:v>
                </c:pt>
                <c:pt idx="6">
                  <c:v>710.59119999999996</c:v>
                </c:pt>
                <c:pt idx="7">
                  <c:v>571.69617900000003</c:v>
                </c:pt>
                <c:pt idx="8">
                  <c:v>705.89505599999995</c:v>
                </c:pt>
                <c:pt idx="9">
                  <c:v>691.80370400000004</c:v>
                </c:pt>
                <c:pt idx="10">
                  <c:v>528.38689499999998</c:v>
                </c:pt>
                <c:pt idx="11">
                  <c:v>804.07860300000004</c:v>
                </c:pt>
                <c:pt idx="12">
                  <c:v>832.23787000000004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3024.7339200000001</c:v>
                </c:pt>
                <c:pt idx="1">
                  <c:v>3325.1556350000001</c:v>
                </c:pt>
                <c:pt idx="2">
                  <c:v>4296.9849320000003</c:v>
                </c:pt>
                <c:pt idx="3">
                  <c:v>3806.271381</c:v>
                </c:pt>
                <c:pt idx="4">
                  <c:v>5697.61654</c:v>
                </c:pt>
                <c:pt idx="5">
                  <c:v>4499.7333719999997</c:v>
                </c:pt>
                <c:pt idx="6">
                  <c:v>5197.395829</c:v>
                </c:pt>
                <c:pt idx="7">
                  <c:v>4086.8628920000001</c:v>
                </c:pt>
                <c:pt idx="8">
                  <c:v>3253.5901749999998</c:v>
                </c:pt>
                <c:pt idx="9">
                  <c:v>2573.7803039999999</c:v>
                </c:pt>
                <c:pt idx="10">
                  <c:v>3092.3859029999999</c:v>
                </c:pt>
                <c:pt idx="11">
                  <c:v>5827.5517829999999</c:v>
                </c:pt>
                <c:pt idx="12">
                  <c:v>7767.8468700000003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2238.7745369999998</c:v>
                </c:pt>
                <c:pt idx="1">
                  <c:v>2102.2103360000001</c:v>
                </c:pt>
                <c:pt idx="2">
                  <c:v>2159.0921499999999</c:v>
                </c:pt>
                <c:pt idx="3">
                  <c:v>2136.4721209999998</c:v>
                </c:pt>
                <c:pt idx="4">
                  <c:v>2168.9871889999999</c:v>
                </c:pt>
                <c:pt idx="5">
                  <c:v>2167.9654059999998</c:v>
                </c:pt>
                <c:pt idx="6">
                  <c:v>2140.854178</c:v>
                </c:pt>
                <c:pt idx="7">
                  <c:v>2115.5816890000001</c:v>
                </c:pt>
                <c:pt idx="8">
                  <c:v>2210.0593690000001</c:v>
                </c:pt>
                <c:pt idx="9">
                  <c:v>1707.4825519999999</c:v>
                </c:pt>
                <c:pt idx="10">
                  <c:v>1868.3740499999999</c:v>
                </c:pt>
                <c:pt idx="11">
                  <c:v>1465.0524499999999</c:v>
                </c:pt>
                <c:pt idx="12">
                  <c:v>1052.153912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193.16825549999999</c:v>
                </c:pt>
                <c:pt idx="1">
                  <c:v>198.4023795</c:v>
                </c:pt>
                <c:pt idx="2">
                  <c:v>167.38102850000001</c:v>
                </c:pt>
                <c:pt idx="3">
                  <c:v>179.471082</c:v>
                </c:pt>
                <c:pt idx="4">
                  <c:v>164.8067685</c:v>
                </c:pt>
                <c:pt idx="5">
                  <c:v>171.82050699999999</c:v>
                </c:pt>
                <c:pt idx="6">
                  <c:v>159.55676600000001</c:v>
                </c:pt>
                <c:pt idx="7">
                  <c:v>138.52277699999999</c:v>
                </c:pt>
                <c:pt idx="8">
                  <c:v>173.90431599999999</c:v>
                </c:pt>
                <c:pt idx="9">
                  <c:v>163.84968900000001</c:v>
                </c:pt>
                <c:pt idx="10">
                  <c:v>158.1020145</c:v>
                </c:pt>
                <c:pt idx="11">
                  <c:v>142.17442550000001</c:v>
                </c:pt>
                <c:pt idx="12">
                  <c:v>164.320134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BE1-4447-9B95-6E000051BCCC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6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01F-43D6-B603-8EF2A12A26AE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8E6-4771-8112-A943A5618A71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DB4-4D92-8E0D-9BF0ECF73E5F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C2A-4BA6-9C88-854F59B3A1E3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59D-47D1-ACBC-CCEF7EE67987}"/>
              </c:ext>
            </c:extLst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Dat_01!$W$180:$W$210</c:f>
              <c:numCache>
                <c:formatCode>0_)</c:formatCode>
                <c:ptCount val="31"/>
                <c:pt idx="0">
                  <c:v>112.086468</c:v>
                </c:pt>
                <c:pt idx="1">
                  <c:v>135.60714300000001</c:v>
                </c:pt>
                <c:pt idx="2">
                  <c:v>163.001441</c:v>
                </c:pt>
                <c:pt idx="3">
                  <c:v>146.636394</c:v>
                </c:pt>
                <c:pt idx="4">
                  <c:v>216.95150000000001</c:v>
                </c:pt>
                <c:pt idx="5">
                  <c:v>231.47615299999998</c:v>
                </c:pt>
                <c:pt idx="6">
                  <c:v>256.58077900000001</c:v>
                </c:pt>
                <c:pt idx="7">
                  <c:v>210.52496100000002</c:v>
                </c:pt>
                <c:pt idx="8">
                  <c:v>140.37109000000001</c:v>
                </c:pt>
                <c:pt idx="9">
                  <c:v>103.901163</c:v>
                </c:pt>
                <c:pt idx="10">
                  <c:v>111.910821</c:v>
                </c:pt>
                <c:pt idx="11">
                  <c:v>107.19437300000001</c:v>
                </c:pt>
                <c:pt idx="12">
                  <c:v>100.41499899999999</c:v>
                </c:pt>
                <c:pt idx="13">
                  <c:v>113.150058</c:v>
                </c:pt>
                <c:pt idx="14">
                  <c:v>154.17300899999998</c:v>
                </c:pt>
                <c:pt idx="15">
                  <c:v>90.423642999999998</c:v>
                </c:pt>
                <c:pt idx="16">
                  <c:v>108.05083900000001</c:v>
                </c:pt>
                <c:pt idx="17">
                  <c:v>148.451437</c:v>
                </c:pt>
                <c:pt idx="18">
                  <c:v>165.76010099999999</c:v>
                </c:pt>
                <c:pt idx="19">
                  <c:v>109.033086</c:v>
                </c:pt>
                <c:pt idx="20">
                  <c:v>149.35432</c:v>
                </c:pt>
                <c:pt idx="21">
                  <c:v>161.07607000000002</c:v>
                </c:pt>
                <c:pt idx="22">
                  <c:v>116.529737</c:v>
                </c:pt>
                <c:pt idx="23">
                  <c:v>83.719386</c:v>
                </c:pt>
                <c:pt idx="24">
                  <c:v>137.97351599999999</c:v>
                </c:pt>
                <c:pt idx="25">
                  <c:v>167.834755</c:v>
                </c:pt>
                <c:pt idx="26">
                  <c:v>123.55465600000001</c:v>
                </c:pt>
                <c:pt idx="27">
                  <c:v>77.263350000000003</c:v>
                </c:pt>
                <c:pt idx="28">
                  <c:v>112.98418099999999</c:v>
                </c:pt>
                <c:pt idx="29">
                  <c:v>188.55821799999998</c:v>
                </c:pt>
                <c:pt idx="30">
                  <c:v>136.83623499999999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1"/>
                <c:pt idx="0">
                  <c:v>15.372930220663356</c:v>
                </c:pt>
                <c:pt idx="1">
                  <c:v>19.289304289595233</c:v>
                </c:pt>
                <c:pt idx="2">
                  <c:v>23.554011410539275</c:v>
                </c:pt>
                <c:pt idx="3">
                  <c:v>18.872942006096316</c:v>
                </c:pt>
                <c:pt idx="4">
                  <c:v>26.805458248975235</c:v>
                </c:pt>
                <c:pt idx="5">
                  <c:v>29.135845113770468</c:v>
                </c:pt>
                <c:pt idx="6">
                  <c:v>31.891950853856489</c:v>
                </c:pt>
                <c:pt idx="7">
                  <c:v>26.475380327713367</c:v>
                </c:pt>
                <c:pt idx="8">
                  <c:v>19.092211388191775</c:v>
                </c:pt>
                <c:pt idx="9">
                  <c:v>14.359341112567813</c:v>
                </c:pt>
                <c:pt idx="10">
                  <c:v>13.786706554748578</c:v>
                </c:pt>
                <c:pt idx="11">
                  <c:v>12.895887171527812</c:v>
                </c:pt>
                <c:pt idx="12">
                  <c:v>11.452184511668602</c:v>
                </c:pt>
                <c:pt idx="13">
                  <c:v>13.034128478346588</c:v>
                </c:pt>
                <c:pt idx="14">
                  <c:v>17.233311263516956</c:v>
                </c:pt>
                <c:pt idx="15">
                  <c:v>10.923310641444605</c:v>
                </c:pt>
                <c:pt idx="16">
                  <c:v>13.637158402751409</c:v>
                </c:pt>
                <c:pt idx="17">
                  <c:v>16.867106291385817</c:v>
                </c:pt>
                <c:pt idx="18">
                  <c:v>19.442986937938681</c:v>
                </c:pt>
                <c:pt idx="19">
                  <c:v>12.923908651835362</c:v>
                </c:pt>
                <c:pt idx="20">
                  <c:v>17.092157135338059</c:v>
                </c:pt>
                <c:pt idx="21">
                  <c:v>18.769242037297882</c:v>
                </c:pt>
                <c:pt idx="22">
                  <c:v>14.645577190866973</c:v>
                </c:pt>
                <c:pt idx="23">
                  <c:v>11.009694005744537</c:v>
                </c:pt>
                <c:pt idx="24">
                  <c:v>16.570579122443451</c:v>
                </c:pt>
                <c:pt idx="25">
                  <c:v>19.281404836297234</c:v>
                </c:pt>
                <c:pt idx="26">
                  <c:v>14.890945937118827</c:v>
                </c:pt>
                <c:pt idx="27">
                  <c:v>9.9993116355082012</c:v>
                </c:pt>
                <c:pt idx="28">
                  <c:v>13.903343574635477</c:v>
                </c:pt>
                <c:pt idx="29">
                  <c:v>24.739087896714825</c:v>
                </c:pt>
                <c:pt idx="30">
                  <c:v>18.684258983941938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4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50"/>
      </c:valAx>
      <c:valAx>
        <c:axId val="690945248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5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0"/>
                <c:lvl>
                  <c:pt idx="14">
                    <c:v>J</c:v>
                  </c:pt>
                  <c:pt idx="45">
                    <c:v>A</c:v>
                  </c:pt>
                  <c:pt idx="76">
                    <c:v>S</c:v>
                  </c:pt>
                  <c:pt idx="106">
                    <c:v>O</c:v>
                  </c:pt>
                  <c:pt idx="137">
                    <c:v>N</c:v>
                  </c:pt>
                  <c:pt idx="167">
                    <c:v>D</c:v>
                  </c:pt>
                  <c:pt idx="198">
                    <c:v>E</c:v>
                  </c:pt>
                  <c:pt idx="229">
                    <c:v>F</c:v>
                  </c:pt>
                  <c:pt idx="257">
                    <c:v>M</c:v>
                  </c:pt>
                  <c:pt idx="288">
                    <c:v>A</c:v>
                  </c:pt>
                  <c:pt idx="318">
                    <c:v>M</c:v>
                  </c:pt>
                  <c:pt idx="349">
                    <c:v>J</c:v>
                  </c:pt>
                  <c:pt idx="379">
                    <c:v>J</c:v>
                  </c:pt>
                </c:lvl>
                <c:lvl>
                  <c:pt idx="0">
                    <c:v>2021</c:v>
                  </c:pt>
                  <c:pt idx="184">
                    <c:v>2022</c:v>
                  </c:pt>
                </c:lvl>
              </c:multiLvlStrCache>
            </c:multiLvlStrRef>
          </c:cat>
          <c:val>
            <c:numRef>
              <c:f>'Data 4'!$C$2:$C$395</c:f>
              <c:numCache>
                <c:formatCode>#,##0</c:formatCode>
                <c:ptCount val="394"/>
                <c:pt idx="0">
                  <c:v>53.853722000000005</c:v>
                </c:pt>
                <c:pt idx="1">
                  <c:v>81.504232000000002</c:v>
                </c:pt>
                <c:pt idx="2">
                  <c:v>108.750077</c:v>
                </c:pt>
                <c:pt idx="3">
                  <c:v>175.47572</c:v>
                </c:pt>
                <c:pt idx="4">
                  <c:v>185.84592800000001</c:v>
                </c:pt>
                <c:pt idx="5">
                  <c:v>170.28628600000002</c:v>
                </c:pt>
                <c:pt idx="6">
                  <c:v>100.12591</c:v>
                </c:pt>
                <c:pt idx="7">
                  <c:v>118.72372800000001</c:v>
                </c:pt>
                <c:pt idx="8">
                  <c:v>106.79435099999999</c:v>
                </c:pt>
                <c:pt idx="9">
                  <c:v>101.930645</c:v>
                </c:pt>
                <c:pt idx="10">
                  <c:v>129.881685</c:v>
                </c:pt>
                <c:pt idx="11">
                  <c:v>268.85704100000004</c:v>
                </c:pt>
                <c:pt idx="12">
                  <c:v>180.85459999999998</c:v>
                </c:pt>
                <c:pt idx="13">
                  <c:v>192.08371</c:v>
                </c:pt>
                <c:pt idx="14">
                  <c:v>191.56914</c:v>
                </c:pt>
                <c:pt idx="15">
                  <c:v>169.40151399999999</c:v>
                </c:pt>
                <c:pt idx="16">
                  <c:v>110.355237</c:v>
                </c:pt>
                <c:pt idx="17">
                  <c:v>164.72239999999999</c:v>
                </c:pt>
                <c:pt idx="18">
                  <c:v>90.316156000000007</c:v>
                </c:pt>
                <c:pt idx="19">
                  <c:v>60.916510000000002</c:v>
                </c:pt>
                <c:pt idx="20">
                  <c:v>54.754841999999996</c:v>
                </c:pt>
                <c:pt idx="21">
                  <c:v>107.59925</c:v>
                </c:pt>
                <c:pt idx="22">
                  <c:v>186.93346700000001</c:v>
                </c:pt>
                <c:pt idx="23">
                  <c:v>132.45575600000001</c:v>
                </c:pt>
                <c:pt idx="24">
                  <c:v>99.539763999999991</c:v>
                </c:pt>
                <c:pt idx="25">
                  <c:v>96.478289999999987</c:v>
                </c:pt>
                <c:pt idx="26">
                  <c:v>97.796486999999999</c:v>
                </c:pt>
                <c:pt idx="27">
                  <c:v>141.16972099999998</c:v>
                </c:pt>
                <c:pt idx="28">
                  <c:v>126.49287799999999</c:v>
                </c:pt>
                <c:pt idx="29">
                  <c:v>139.68551700000003</c:v>
                </c:pt>
                <c:pt idx="30">
                  <c:v>231.39542799999998</c:v>
                </c:pt>
                <c:pt idx="31">
                  <c:v>105.184585</c:v>
                </c:pt>
                <c:pt idx="32">
                  <c:v>65.451475000000002</c:v>
                </c:pt>
                <c:pt idx="33">
                  <c:v>81.196016</c:v>
                </c:pt>
                <c:pt idx="34">
                  <c:v>117.95353299999999</c:v>
                </c:pt>
                <c:pt idx="35">
                  <c:v>126.27573600000001</c:v>
                </c:pt>
                <c:pt idx="36">
                  <c:v>136.36306099999999</c:v>
                </c:pt>
                <c:pt idx="37">
                  <c:v>161.55542399999999</c:v>
                </c:pt>
                <c:pt idx="38">
                  <c:v>90.905316999999997</c:v>
                </c:pt>
                <c:pt idx="39">
                  <c:v>83.163594000000003</c:v>
                </c:pt>
                <c:pt idx="40">
                  <c:v>63.677168999999999</c:v>
                </c:pt>
                <c:pt idx="41">
                  <c:v>70.815585999999996</c:v>
                </c:pt>
                <c:pt idx="42">
                  <c:v>105.13843500000002</c:v>
                </c:pt>
                <c:pt idx="43">
                  <c:v>77.891987</c:v>
                </c:pt>
                <c:pt idx="44">
                  <c:v>88.146130999999997</c:v>
                </c:pt>
                <c:pt idx="45">
                  <c:v>135.29221699999999</c:v>
                </c:pt>
                <c:pt idx="46">
                  <c:v>245.59370000000001</c:v>
                </c:pt>
                <c:pt idx="47">
                  <c:v>264.10150699999997</c:v>
                </c:pt>
                <c:pt idx="48">
                  <c:v>194.31456600000001</c:v>
                </c:pt>
                <c:pt idx="49">
                  <c:v>100.869519</c:v>
                </c:pt>
                <c:pt idx="50">
                  <c:v>70.188290999999992</c:v>
                </c:pt>
                <c:pt idx="51">
                  <c:v>75.149498000000008</c:v>
                </c:pt>
                <c:pt idx="52">
                  <c:v>136.277231</c:v>
                </c:pt>
                <c:pt idx="53">
                  <c:v>225.98200699999998</c:v>
                </c:pt>
                <c:pt idx="54">
                  <c:v>200.105333</c:v>
                </c:pt>
                <c:pt idx="55">
                  <c:v>84.59216099999999</c:v>
                </c:pt>
                <c:pt idx="56">
                  <c:v>43.372470999999997</c:v>
                </c:pt>
                <c:pt idx="57">
                  <c:v>80.783937999999992</c:v>
                </c:pt>
                <c:pt idx="58">
                  <c:v>164.18552199999999</c:v>
                </c:pt>
                <c:pt idx="59">
                  <c:v>107.689087</c:v>
                </c:pt>
                <c:pt idx="60">
                  <c:v>70.608243999999999</c:v>
                </c:pt>
                <c:pt idx="61">
                  <c:v>79.501566000000011</c:v>
                </c:pt>
                <c:pt idx="62">
                  <c:v>106.17876099999999</c:v>
                </c:pt>
                <c:pt idx="63">
                  <c:v>31.283776000000003</c:v>
                </c:pt>
                <c:pt idx="64">
                  <c:v>18.009798</c:v>
                </c:pt>
                <c:pt idx="65">
                  <c:v>30.801286000000001</c:v>
                </c:pt>
                <c:pt idx="66">
                  <c:v>76.818422999999996</c:v>
                </c:pt>
                <c:pt idx="67">
                  <c:v>139.00310899999999</c:v>
                </c:pt>
                <c:pt idx="68">
                  <c:v>224.04742100000001</c:v>
                </c:pt>
                <c:pt idx="69">
                  <c:v>131.33592899999999</c:v>
                </c:pt>
                <c:pt idx="70">
                  <c:v>116.04786800000001</c:v>
                </c:pt>
                <c:pt idx="71">
                  <c:v>65.756388000000001</c:v>
                </c:pt>
                <c:pt idx="72">
                  <c:v>33.642375999999999</c:v>
                </c:pt>
                <c:pt idx="73">
                  <c:v>46.564877000000003</c:v>
                </c:pt>
                <c:pt idx="74">
                  <c:v>152.68408700000001</c:v>
                </c:pt>
                <c:pt idx="75">
                  <c:v>117.793465</c:v>
                </c:pt>
                <c:pt idx="76">
                  <c:v>45.131029000000005</c:v>
                </c:pt>
                <c:pt idx="77">
                  <c:v>82.342123000000001</c:v>
                </c:pt>
                <c:pt idx="78">
                  <c:v>51.168244000000008</c:v>
                </c:pt>
                <c:pt idx="79">
                  <c:v>108.26396200000001</c:v>
                </c:pt>
                <c:pt idx="80">
                  <c:v>91.990882999999997</c:v>
                </c:pt>
                <c:pt idx="81">
                  <c:v>196.96962100000002</c:v>
                </c:pt>
                <c:pt idx="82">
                  <c:v>221.25798699999999</c:v>
                </c:pt>
                <c:pt idx="83">
                  <c:v>154.246115</c:v>
                </c:pt>
                <c:pt idx="84">
                  <c:v>208.75555300000002</c:v>
                </c:pt>
                <c:pt idx="85">
                  <c:v>120.70046499999999</c:v>
                </c:pt>
                <c:pt idx="86">
                  <c:v>118.211063</c:v>
                </c:pt>
                <c:pt idx="87">
                  <c:v>100.70335300000001</c:v>
                </c:pt>
                <c:pt idx="88">
                  <c:v>77.789228000000008</c:v>
                </c:pt>
                <c:pt idx="89">
                  <c:v>58.146766000000007</c:v>
                </c:pt>
                <c:pt idx="90">
                  <c:v>121.07462099999999</c:v>
                </c:pt>
                <c:pt idx="91">
                  <c:v>83.121623999999997</c:v>
                </c:pt>
                <c:pt idx="92">
                  <c:v>38.888199</c:v>
                </c:pt>
                <c:pt idx="93">
                  <c:v>179.964888</c:v>
                </c:pt>
                <c:pt idx="94">
                  <c:v>246.533998</c:v>
                </c:pt>
                <c:pt idx="95">
                  <c:v>215.238437</c:v>
                </c:pt>
                <c:pt idx="96">
                  <c:v>168.73938099999998</c:v>
                </c:pt>
                <c:pt idx="97">
                  <c:v>125.47463</c:v>
                </c:pt>
                <c:pt idx="98">
                  <c:v>105.89893099999999</c:v>
                </c:pt>
                <c:pt idx="99">
                  <c:v>90.848475000000008</c:v>
                </c:pt>
                <c:pt idx="100">
                  <c:v>122.08157700000001</c:v>
                </c:pt>
                <c:pt idx="101">
                  <c:v>201.98101399999999</c:v>
                </c:pt>
                <c:pt idx="102">
                  <c:v>170.255595</c:v>
                </c:pt>
                <c:pt idx="103">
                  <c:v>151.565426</c:v>
                </c:pt>
                <c:pt idx="104">
                  <c:v>178.06794099999999</c:v>
                </c:pt>
                <c:pt idx="105">
                  <c:v>76.483199999999997</c:v>
                </c:pt>
                <c:pt idx="106">
                  <c:v>59.870756</c:v>
                </c:pt>
                <c:pt idx="107">
                  <c:v>51.859968000000002</c:v>
                </c:pt>
                <c:pt idx="108">
                  <c:v>54.082108999999996</c:v>
                </c:pt>
                <c:pt idx="109">
                  <c:v>68.709029999999998</c:v>
                </c:pt>
                <c:pt idx="110">
                  <c:v>183.80328700000001</c:v>
                </c:pt>
                <c:pt idx="111">
                  <c:v>217.531643</c:v>
                </c:pt>
                <c:pt idx="112">
                  <c:v>113.222797</c:v>
                </c:pt>
                <c:pt idx="113">
                  <c:v>168.46372399999998</c:v>
                </c:pt>
                <c:pt idx="114">
                  <c:v>77.004168000000007</c:v>
                </c:pt>
                <c:pt idx="115">
                  <c:v>53.185224000000005</c:v>
                </c:pt>
                <c:pt idx="116">
                  <c:v>37.106322999999996</c:v>
                </c:pt>
                <c:pt idx="117">
                  <c:v>77.944802999999993</c:v>
                </c:pt>
                <c:pt idx="118">
                  <c:v>43.982253</c:v>
                </c:pt>
                <c:pt idx="119">
                  <c:v>159.536011</c:v>
                </c:pt>
                <c:pt idx="120">
                  <c:v>214.90374</c:v>
                </c:pt>
                <c:pt idx="121">
                  <c:v>278.104557</c:v>
                </c:pt>
                <c:pt idx="122">
                  <c:v>321.622816</c:v>
                </c:pt>
                <c:pt idx="123">
                  <c:v>299.71646100000004</c:v>
                </c:pt>
                <c:pt idx="124">
                  <c:v>291.50400000000002</c:v>
                </c:pt>
                <c:pt idx="125">
                  <c:v>238.34883899999997</c:v>
                </c:pt>
                <c:pt idx="126">
                  <c:v>168.86299299999999</c:v>
                </c:pt>
                <c:pt idx="127">
                  <c:v>235.93647799999999</c:v>
                </c:pt>
                <c:pt idx="128">
                  <c:v>274.33406899999994</c:v>
                </c:pt>
                <c:pt idx="129">
                  <c:v>295.472418</c:v>
                </c:pt>
                <c:pt idx="130">
                  <c:v>281.052682</c:v>
                </c:pt>
                <c:pt idx="131">
                  <c:v>187.24220600000001</c:v>
                </c:pt>
                <c:pt idx="132">
                  <c:v>90.485464999999991</c:v>
                </c:pt>
                <c:pt idx="133">
                  <c:v>58.279859999999999</c:v>
                </c:pt>
                <c:pt idx="134">
                  <c:v>80.061032000000012</c:v>
                </c:pt>
                <c:pt idx="135">
                  <c:v>127.324252</c:v>
                </c:pt>
                <c:pt idx="136">
                  <c:v>228.948578</c:v>
                </c:pt>
                <c:pt idx="137">
                  <c:v>277.06967099999997</c:v>
                </c:pt>
                <c:pt idx="138">
                  <c:v>219.12346399999998</c:v>
                </c:pt>
                <c:pt idx="139">
                  <c:v>289.04092700000001</c:v>
                </c:pt>
                <c:pt idx="140">
                  <c:v>219.48891999999998</c:v>
                </c:pt>
                <c:pt idx="141">
                  <c:v>154.32367099999999</c:v>
                </c:pt>
                <c:pt idx="142">
                  <c:v>82.706011000000004</c:v>
                </c:pt>
                <c:pt idx="143">
                  <c:v>82.872039000000001</c:v>
                </c:pt>
                <c:pt idx="144">
                  <c:v>165.64692600000001</c:v>
                </c:pt>
                <c:pt idx="145">
                  <c:v>218.25944699999999</c:v>
                </c:pt>
                <c:pt idx="146">
                  <c:v>184.36218700000001</c:v>
                </c:pt>
                <c:pt idx="147">
                  <c:v>249.635299</c:v>
                </c:pt>
                <c:pt idx="148">
                  <c:v>259.46151900000001</c:v>
                </c:pt>
                <c:pt idx="149">
                  <c:v>368.92908699999998</c:v>
                </c:pt>
                <c:pt idx="150">
                  <c:v>350.87088900000003</c:v>
                </c:pt>
                <c:pt idx="151">
                  <c:v>309.36996700000003</c:v>
                </c:pt>
                <c:pt idx="152">
                  <c:v>81.182106000000005</c:v>
                </c:pt>
                <c:pt idx="153">
                  <c:v>232.54872</c:v>
                </c:pt>
                <c:pt idx="154">
                  <c:v>335.91356800000005</c:v>
                </c:pt>
                <c:pt idx="155">
                  <c:v>294.551716</c:v>
                </c:pt>
                <c:pt idx="156">
                  <c:v>319.35013800000002</c:v>
                </c:pt>
                <c:pt idx="157">
                  <c:v>390.46231300000005</c:v>
                </c:pt>
                <c:pt idx="158">
                  <c:v>282.725908</c:v>
                </c:pt>
                <c:pt idx="159">
                  <c:v>301.45201200000002</c:v>
                </c:pt>
                <c:pt idx="160">
                  <c:v>423.30775200000005</c:v>
                </c:pt>
                <c:pt idx="161">
                  <c:v>386.485388</c:v>
                </c:pt>
                <c:pt idx="162">
                  <c:v>417.07023799999996</c:v>
                </c:pt>
                <c:pt idx="163">
                  <c:v>260.28360699999996</c:v>
                </c:pt>
                <c:pt idx="164">
                  <c:v>99.346322000000001</c:v>
                </c:pt>
                <c:pt idx="165">
                  <c:v>92.523330000000001</c:v>
                </c:pt>
                <c:pt idx="166">
                  <c:v>60.152150999999996</c:v>
                </c:pt>
                <c:pt idx="167">
                  <c:v>107.20201300000001</c:v>
                </c:pt>
                <c:pt idx="168">
                  <c:v>147.840676</c:v>
                </c:pt>
                <c:pt idx="169">
                  <c:v>113.43718</c:v>
                </c:pt>
                <c:pt idx="170">
                  <c:v>83.451227000000003</c:v>
                </c:pt>
                <c:pt idx="171">
                  <c:v>122.51447400000001</c:v>
                </c:pt>
                <c:pt idx="172">
                  <c:v>119.96771099999999</c:v>
                </c:pt>
                <c:pt idx="173">
                  <c:v>131.450579</c:v>
                </c:pt>
                <c:pt idx="174">
                  <c:v>141.59109799999999</c:v>
                </c:pt>
                <c:pt idx="175">
                  <c:v>162.03058199999998</c:v>
                </c:pt>
                <c:pt idx="176">
                  <c:v>198.19411799999997</c:v>
                </c:pt>
                <c:pt idx="177">
                  <c:v>160.13869</c:v>
                </c:pt>
                <c:pt idx="178">
                  <c:v>235.758375</c:v>
                </c:pt>
                <c:pt idx="179">
                  <c:v>391.16411900000003</c:v>
                </c:pt>
                <c:pt idx="180">
                  <c:v>378.94098299999996</c:v>
                </c:pt>
                <c:pt idx="181">
                  <c:v>214.961682</c:v>
                </c:pt>
                <c:pt idx="182">
                  <c:v>93.666549000000003</c:v>
                </c:pt>
                <c:pt idx="183">
                  <c:v>120.18132399999999</c:v>
                </c:pt>
                <c:pt idx="184">
                  <c:v>139.46714299999999</c:v>
                </c:pt>
                <c:pt idx="185">
                  <c:v>103.22421899999999</c:v>
                </c:pt>
                <c:pt idx="186">
                  <c:v>151.54802099999998</c:v>
                </c:pt>
                <c:pt idx="187">
                  <c:v>303.58201500000001</c:v>
                </c:pt>
                <c:pt idx="188">
                  <c:v>291.232482</c:v>
                </c:pt>
                <c:pt idx="189">
                  <c:v>206.08566300000001</c:v>
                </c:pt>
                <c:pt idx="190">
                  <c:v>208.517426</c:v>
                </c:pt>
                <c:pt idx="191">
                  <c:v>261.85432700000001</c:v>
                </c:pt>
                <c:pt idx="192">
                  <c:v>392.63695100000001</c:v>
                </c:pt>
                <c:pt idx="193">
                  <c:v>307.09090900000001</c:v>
                </c:pt>
                <c:pt idx="194">
                  <c:v>245.221847</c:v>
                </c:pt>
                <c:pt idx="195">
                  <c:v>263.36616300000003</c:v>
                </c:pt>
                <c:pt idx="196">
                  <c:v>128.97225800000001</c:v>
                </c:pt>
                <c:pt idx="197">
                  <c:v>84.023750000000007</c:v>
                </c:pt>
                <c:pt idx="198">
                  <c:v>62.009610000000002</c:v>
                </c:pt>
                <c:pt idx="199">
                  <c:v>64.098206000000005</c:v>
                </c:pt>
                <c:pt idx="200">
                  <c:v>76.089658</c:v>
                </c:pt>
                <c:pt idx="201">
                  <c:v>50.593338000000003</c:v>
                </c:pt>
                <c:pt idx="202">
                  <c:v>95.961089000000001</c:v>
                </c:pt>
                <c:pt idx="203">
                  <c:v>208.84425399999998</c:v>
                </c:pt>
                <c:pt idx="204">
                  <c:v>308.51583400000004</c:v>
                </c:pt>
                <c:pt idx="205">
                  <c:v>174.68729300000001</c:v>
                </c:pt>
                <c:pt idx="206">
                  <c:v>95.033597</c:v>
                </c:pt>
                <c:pt idx="207">
                  <c:v>82.138345000000001</c:v>
                </c:pt>
                <c:pt idx="208">
                  <c:v>99.780138000000008</c:v>
                </c:pt>
                <c:pt idx="209">
                  <c:v>122.851392</c:v>
                </c:pt>
                <c:pt idx="210">
                  <c:v>134.06660399999998</c:v>
                </c:pt>
                <c:pt idx="211">
                  <c:v>212.95236799999998</c:v>
                </c:pt>
                <c:pt idx="212">
                  <c:v>114.510254</c:v>
                </c:pt>
                <c:pt idx="213">
                  <c:v>91.937937999999988</c:v>
                </c:pt>
                <c:pt idx="214">
                  <c:v>297.76748099999998</c:v>
                </c:pt>
                <c:pt idx="215">
                  <c:v>315.40232800000001</c:v>
                </c:pt>
                <c:pt idx="216">
                  <c:v>143.09100799999999</c:v>
                </c:pt>
                <c:pt idx="217">
                  <c:v>83.192159000000004</c:v>
                </c:pt>
                <c:pt idx="218">
                  <c:v>104.78446400000001</c:v>
                </c:pt>
                <c:pt idx="219">
                  <c:v>199.71894899999998</c:v>
                </c:pt>
                <c:pt idx="220">
                  <c:v>147.25397400000003</c:v>
                </c:pt>
                <c:pt idx="221">
                  <c:v>238.07046899999997</c:v>
                </c:pt>
                <c:pt idx="222">
                  <c:v>135.511663</c:v>
                </c:pt>
                <c:pt idx="223">
                  <c:v>102.331266</c:v>
                </c:pt>
                <c:pt idx="224">
                  <c:v>49.852665999999999</c:v>
                </c:pt>
                <c:pt idx="225">
                  <c:v>74.106666000000004</c:v>
                </c:pt>
                <c:pt idx="226">
                  <c:v>49.278058999999999</c:v>
                </c:pt>
                <c:pt idx="227">
                  <c:v>247.46411699999999</c:v>
                </c:pt>
                <c:pt idx="228">
                  <c:v>299.74413299999998</c:v>
                </c:pt>
                <c:pt idx="229">
                  <c:v>233.16501200000002</c:v>
                </c:pt>
                <c:pt idx="230">
                  <c:v>313.79940999999997</c:v>
                </c:pt>
                <c:pt idx="231">
                  <c:v>175.657027</c:v>
                </c:pt>
                <c:pt idx="232">
                  <c:v>145.24757100000002</c:v>
                </c:pt>
                <c:pt idx="233">
                  <c:v>234.25650099999999</c:v>
                </c:pt>
                <c:pt idx="234">
                  <c:v>139.199096</c:v>
                </c:pt>
                <c:pt idx="235">
                  <c:v>204.28830499999998</c:v>
                </c:pt>
                <c:pt idx="236">
                  <c:v>188.027286</c:v>
                </c:pt>
                <c:pt idx="237">
                  <c:v>111.786466</c:v>
                </c:pt>
                <c:pt idx="238">
                  <c:v>134.77212100000003</c:v>
                </c:pt>
                <c:pt idx="239">
                  <c:v>301.82719600000001</c:v>
                </c:pt>
                <c:pt idx="240">
                  <c:v>175.147471</c:v>
                </c:pt>
                <c:pt idx="241">
                  <c:v>59.524872999999999</c:v>
                </c:pt>
                <c:pt idx="242">
                  <c:v>58.123584999999999</c:v>
                </c:pt>
                <c:pt idx="243">
                  <c:v>122.92765700000001</c:v>
                </c:pt>
                <c:pt idx="244">
                  <c:v>183.63776999999999</c:v>
                </c:pt>
                <c:pt idx="245">
                  <c:v>179.32528500000001</c:v>
                </c:pt>
                <c:pt idx="246">
                  <c:v>292.31105400000001</c:v>
                </c:pt>
                <c:pt idx="247">
                  <c:v>162.934864</c:v>
                </c:pt>
                <c:pt idx="248">
                  <c:v>130.44919300000001</c:v>
                </c:pt>
                <c:pt idx="249">
                  <c:v>102.77058599999999</c:v>
                </c:pt>
                <c:pt idx="250">
                  <c:v>168.05851899999999</c:v>
                </c:pt>
                <c:pt idx="251">
                  <c:v>159.07691600000001</c:v>
                </c:pt>
                <c:pt idx="252">
                  <c:v>200.95555999999999</c:v>
                </c:pt>
                <c:pt idx="253">
                  <c:v>249.30061099999998</c:v>
                </c:pt>
                <c:pt idx="254">
                  <c:v>232.19116299999999</c:v>
                </c:pt>
                <c:pt idx="255">
                  <c:v>162.969685</c:v>
                </c:pt>
                <c:pt idx="256">
                  <c:v>357.43952399999995</c:v>
                </c:pt>
                <c:pt idx="257">
                  <c:v>324.42634399999997</c:v>
                </c:pt>
                <c:pt idx="258">
                  <c:v>205.35738899999998</c:v>
                </c:pt>
                <c:pt idx="259">
                  <c:v>392.84065100000004</c:v>
                </c:pt>
                <c:pt idx="260">
                  <c:v>202.779573</c:v>
                </c:pt>
                <c:pt idx="261">
                  <c:v>138.54988200000003</c:v>
                </c:pt>
                <c:pt idx="262">
                  <c:v>238.59902400000001</c:v>
                </c:pt>
                <c:pt idx="263">
                  <c:v>284.60406799999998</c:v>
                </c:pt>
                <c:pt idx="264">
                  <c:v>306.63777900000002</c:v>
                </c:pt>
                <c:pt idx="265">
                  <c:v>278.91913499999998</c:v>
                </c:pt>
                <c:pt idx="266">
                  <c:v>226.11694</c:v>
                </c:pt>
                <c:pt idx="267">
                  <c:v>186.88693700000002</c:v>
                </c:pt>
                <c:pt idx="268">
                  <c:v>115.53528</c:v>
                </c:pt>
                <c:pt idx="269">
                  <c:v>115.38867999999999</c:v>
                </c:pt>
                <c:pt idx="270">
                  <c:v>172.728061</c:v>
                </c:pt>
                <c:pt idx="271">
                  <c:v>64.641711999999998</c:v>
                </c:pt>
                <c:pt idx="272">
                  <c:v>184.60262600000001</c:v>
                </c:pt>
                <c:pt idx="273">
                  <c:v>308.63382000000001</c:v>
                </c:pt>
                <c:pt idx="274">
                  <c:v>327.848207</c:v>
                </c:pt>
                <c:pt idx="275">
                  <c:v>259.57246299999997</c:v>
                </c:pt>
                <c:pt idx="276">
                  <c:v>247.549204</c:v>
                </c:pt>
                <c:pt idx="277">
                  <c:v>298.96183399999995</c:v>
                </c:pt>
                <c:pt idx="278">
                  <c:v>180.01677100000001</c:v>
                </c:pt>
                <c:pt idx="279">
                  <c:v>140.25377900000001</c:v>
                </c:pt>
                <c:pt idx="280">
                  <c:v>291.23056700000006</c:v>
                </c:pt>
                <c:pt idx="281">
                  <c:v>340.73509499999994</c:v>
                </c:pt>
                <c:pt idx="282">
                  <c:v>143.24871599999997</c:v>
                </c:pt>
                <c:pt idx="283">
                  <c:v>188.628028</c:v>
                </c:pt>
                <c:pt idx="284">
                  <c:v>342.30463400000002</c:v>
                </c:pt>
                <c:pt idx="285">
                  <c:v>172.51355900000001</c:v>
                </c:pt>
                <c:pt idx="286">
                  <c:v>115.374589</c:v>
                </c:pt>
                <c:pt idx="287">
                  <c:v>111.75668899999999</c:v>
                </c:pt>
                <c:pt idx="288">
                  <c:v>61.966009</c:v>
                </c:pt>
                <c:pt idx="289">
                  <c:v>139.814052</c:v>
                </c:pt>
                <c:pt idx="290">
                  <c:v>123.50425800000001</c:v>
                </c:pt>
                <c:pt idx="291">
                  <c:v>169.95030299999999</c:v>
                </c:pt>
                <c:pt idx="292">
                  <c:v>242.46557300000001</c:v>
                </c:pt>
                <c:pt idx="293">
                  <c:v>341.63912100000005</c:v>
                </c:pt>
                <c:pt idx="294">
                  <c:v>218.94220300000001</c:v>
                </c:pt>
                <c:pt idx="295">
                  <c:v>178.854511</c:v>
                </c:pt>
                <c:pt idx="296">
                  <c:v>347.51635900000002</c:v>
                </c:pt>
                <c:pt idx="297">
                  <c:v>169.876386</c:v>
                </c:pt>
                <c:pt idx="298">
                  <c:v>33.183500000000002</c:v>
                </c:pt>
                <c:pt idx="299">
                  <c:v>64.831139000000007</c:v>
                </c:pt>
                <c:pt idx="300">
                  <c:v>42.717110999999996</c:v>
                </c:pt>
                <c:pt idx="301">
                  <c:v>83.537114999999986</c:v>
                </c:pt>
                <c:pt idx="302">
                  <c:v>76.722092000000004</c:v>
                </c:pt>
                <c:pt idx="303">
                  <c:v>120.19039599999999</c:v>
                </c:pt>
                <c:pt idx="304">
                  <c:v>96.079611</c:v>
                </c:pt>
                <c:pt idx="305">
                  <c:v>153.68681400000003</c:v>
                </c:pt>
                <c:pt idx="306">
                  <c:v>180.78858400000001</c:v>
                </c:pt>
                <c:pt idx="307">
                  <c:v>173.30180399999998</c:v>
                </c:pt>
                <c:pt idx="308">
                  <c:v>199.232642</c:v>
                </c:pt>
                <c:pt idx="309">
                  <c:v>227.37767899999997</c:v>
                </c:pt>
                <c:pt idx="310">
                  <c:v>149.853081</c:v>
                </c:pt>
                <c:pt idx="311">
                  <c:v>96.728193000000005</c:v>
                </c:pt>
                <c:pt idx="312">
                  <c:v>59.737413999999994</c:v>
                </c:pt>
                <c:pt idx="313">
                  <c:v>78.470572000000004</c:v>
                </c:pt>
                <c:pt idx="314">
                  <c:v>124.968198</c:v>
                </c:pt>
                <c:pt idx="315">
                  <c:v>131.41893999999999</c:v>
                </c:pt>
                <c:pt idx="316">
                  <c:v>50.105214999999994</c:v>
                </c:pt>
                <c:pt idx="317">
                  <c:v>107.45642100000001</c:v>
                </c:pt>
                <c:pt idx="318">
                  <c:v>199.42677499999999</c:v>
                </c:pt>
                <c:pt idx="319">
                  <c:v>122.83414900000001</c:v>
                </c:pt>
                <c:pt idx="320">
                  <c:v>106.037814</c:v>
                </c:pt>
                <c:pt idx="321">
                  <c:v>111.48863800000001</c:v>
                </c:pt>
                <c:pt idx="322">
                  <c:v>188.80027799999999</c:v>
                </c:pt>
                <c:pt idx="323">
                  <c:v>205.49503200000001</c:v>
                </c:pt>
                <c:pt idx="324">
                  <c:v>170.148976</c:v>
                </c:pt>
                <c:pt idx="325">
                  <c:v>151.623041</c:v>
                </c:pt>
                <c:pt idx="326">
                  <c:v>167.31313800000001</c:v>
                </c:pt>
                <c:pt idx="327">
                  <c:v>194.95788000000002</c:v>
                </c:pt>
                <c:pt idx="328">
                  <c:v>233.44097299999999</c:v>
                </c:pt>
                <c:pt idx="329">
                  <c:v>251.70730799999998</c:v>
                </c:pt>
                <c:pt idx="330">
                  <c:v>223.394194</c:v>
                </c:pt>
                <c:pt idx="331">
                  <c:v>142.273076</c:v>
                </c:pt>
                <c:pt idx="332">
                  <c:v>146.92327300000002</c:v>
                </c:pt>
                <c:pt idx="333">
                  <c:v>102.34906699999999</c:v>
                </c:pt>
                <c:pt idx="334">
                  <c:v>50.243061000000004</c:v>
                </c:pt>
                <c:pt idx="335">
                  <c:v>114.599975</c:v>
                </c:pt>
                <c:pt idx="336">
                  <c:v>70.015323000000009</c:v>
                </c:pt>
                <c:pt idx="337">
                  <c:v>74.905062000000001</c:v>
                </c:pt>
                <c:pt idx="338">
                  <c:v>81.585093999999998</c:v>
                </c:pt>
                <c:pt idx="339">
                  <c:v>74.693217000000004</c:v>
                </c:pt>
                <c:pt idx="340">
                  <c:v>88.805487999999997</c:v>
                </c:pt>
                <c:pt idx="341">
                  <c:v>82.791608999999994</c:v>
                </c:pt>
                <c:pt idx="342">
                  <c:v>174.90681199999997</c:v>
                </c:pt>
                <c:pt idx="343">
                  <c:v>159.96762200000001</c:v>
                </c:pt>
                <c:pt idx="344">
                  <c:v>124.965159</c:v>
                </c:pt>
                <c:pt idx="345">
                  <c:v>173.98156599999999</c:v>
                </c:pt>
                <c:pt idx="346">
                  <c:v>199.43347900000001</c:v>
                </c:pt>
                <c:pt idx="347">
                  <c:v>161.563895</c:v>
                </c:pt>
                <c:pt idx="348">
                  <c:v>85.082397</c:v>
                </c:pt>
                <c:pt idx="349">
                  <c:v>95.982008999999991</c:v>
                </c:pt>
                <c:pt idx="350">
                  <c:v>101.65593399999999</c:v>
                </c:pt>
                <c:pt idx="351">
                  <c:v>121.90847799999999</c:v>
                </c:pt>
                <c:pt idx="352">
                  <c:v>182.33998099999999</c:v>
                </c:pt>
                <c:pt idx="353">
                  <c:v>209.10906899999998</c:v>
                </c:pt>
                <c:pt idx="354">
                  <c:v>109.541572</c:v>
                </c:pt>
                <c:pt idx="355">
                  <c:v>90.816609</c:v>
                </c:pt>
                <c:pt idx="356">
                  <c:v>79.910153999999991</c:v>
                </c:pt>
                <c:pt idx="357">
                  <c:v>115.02095200000001</c:v>
                </c:pt>
                <c:pt idx="358">
                  <c:v>142.626991</c:v>
                </c:pt>
                <c:pt idx="359">
                  <c:v>110.838002</c:v>
                </c:pt>
                <c:pt idx="360">
                  <c:v>119.648966</c:v>
                </c:pt>
                <c:pt idx="361">
                  <c:v>188.52474100000001</c:v>
                </c:pt>
                <c:pt idx="362">
                  <c:v>76.935383999999999</c:v>
                </c:pt>
                <c:pt idx="363">
                  <c:v>108.10150900000001</c:v>
                </c:pt>
                <c:pt idx="364">
                  <c:v>134.53365700000001</c:v>
                </c:pt>
                <c:pt idx="365">
                  <c:v>112.43</c:v>
                </c:pt>
                <c:pt idx="366">
                  <c:v>135.66653300000002</c:v>
                </c:pt>
                <c:pt idx="367">
                  <c:v>163.001441</c:v>
                </c:pt>
                <c:pt idx="368">
                  <c:v>148.10968700000001</c:v>
                </c:pt>
                <c:pt idx="369">
                  <c:v>217.49890500000001</c:v>
                </c:pt>
                <c:pt idx="370">
                  <c:v>231.592378</c:v>
                </c:pt>
                <c:pt idx="371">
                  <c:v>261.81611500000002</c:v>
                </c:pt>
                <c:pt idx="372">
                  <c:v>212.00078400000001</c:v>
                </c:pt>
                <c:pt idx="373">
                  <c:v>140.37109000000001</c:v>
                </c:pt>
                <c:pt idx="374">
                  <c:v>103.905463</c:v>
                </c:pt>
                <c:pt idx="375">
                  <c:v>111.910821</c:v>
                </c:pt>
                <c:pt idx="376">
                  <c:v>107.19437300000001</c:v>
                </c:pt>
                <c:pt idx="377">
                  <c:v>100.41499899999999</c:v>
                </c:pt>
                <c:pt idx="378">
                  <c:v>113.150058</c:v>
                </c:pt>
                <c:pt idx="379">
                  <c:v>154.17300899999998</c:v>
                </c:pt>
                <c:pt idx="380">
                  <c:v>90.423883999999987</c:v>
                </c:pt>
                <c:pt idx="381">
                  <c:v>108.05383700000002</c:v>
                </c:pt>
                <c:pt idx="382">
                  <c:v>148.528716</c:v>
                </c:pt>
                <c:pt idx="383">
                  <c:v>165.762934</c:v>
                </c:pt>
                <c:pt idx="384">
                  <c:v>109.03798599999999</c:v>
                </c:pt>
                <c:pt idx="385">
                  <c:v>149.36042</c:v>
                </c:pt>
                <c:pt idx="386">
                  <c:v>161.42967899999999</c:v>
                </c:pt>
                <c:pt idx="387">
                  <c:v>116.92483199999999</c:v>
                </c:pt>
                <c:pt idx="388">
                  <c:v>83.719386</c:v>
                </c:pt>
                <c:pt idx="389">
                  <c:v>145.67791500000001</c:v>
                </c:pt>
                <c:pt idx="390">
                  <c:v>170.21056200000001</c:v>
                </c:pt>
                <c:pt idx="391">
                  <c:v>124.36342500000001</c:v>
                </c:pt>
                <c:pt idx="392">
                  <c:v>77.282630000000012</c:v>
                </c:pt>
                <c:pt idx="393">
                  <c:v>113.66052099999999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0"/>
                <c:lvl>
                  <c:pt idx="14">
                    <c:v>J</c:v>
                  </c:pt>
                  <c:pt idx="45">
                    <c:v>A</c:v>
                  </c:pt>
                  <c:pt idx="76">
                    <c:v>S</c:v>
                  </c:pt>
                  <c:pt idx="106">
                    <c:v>O</c:v>
                  </c:pt>
                  <c:pt idx="137">
                    <c:v>N</c:v>
                  </c:pt>
                  <c:pt idx="167">
                    <c:v>D</c:v>
                  </c:pt>
                  <c:pt idx="198">
                    <c:v>E</c:v>
                  </c:pt>
                  <c:pt idx="229">
                    <c:v>F</c:v>
                  </c:pt>
                  <c:pt idx="257">
                    <c:v>M</c:v>
                  </c:pt>
                  <c:pt idx="288">
                    <c:v>A</c:v>
                  </c:pt>
                  <c:pt idx="318">
                    <c:v>M</c:v>
                  </c:pt>
                  <c:pt idx="349">
                    <c:v>J</c:v>
                  </c:pt>
                  <c:pt idx="379">
                    <c:v>J</c:v>
                  </c:pt>
                </c:lvl>
                <c:lvl>
                  <c:pt idx="0">
                    <c:v>2021</c:v>
                  </c:pt>
                  <c:pt idx="184">
                    <c:v>2022</c:v>
                  </c:pt>
                </c:lvl>
              </c:multiLvlStrCache>
            </c:multiLvlStrRef>
          </c:cat>
          <c:val>
            <c:numRef>
              <c:f>'Data 4'!$D$2:$D$395</c:f>
              <c:numCache>
                <c:formatCode>#,##0.0</c:formatCode>
                <c:ptCount val="394"/>
                <c:pt idx="0">
                  <c:v>123.30366529599279</c:v>
                </c:pt>
                <c:pt idx="1">
                  <c:v>123.30366529599279</c:v>
                </c:pt>
                <c:pt idx="2">
                  <c:v>123.30366529599279</c:v>
                </c:pt>
                <c:pt idx="3">
                  <c:v>123.30366529599279</c:v>
                </c:pt>
                <c:pt idx="4">
                  <c:v>123.30366529599279</c:v>
                </c:pt>
                <c:pt idx="5">
                  <c:v>123.30366529599279</c:v>
                </c:pt>
                <c:pt idx="6">
                  <c:v>123.30366529599279</c:v>
                </c:pt>
                <c:pt idx="7">
                  <c:v>123.30366529599279</c:v>
                </c:pt>
                <c:pt idx="8">
                  <c:v>123.30366529599279</c:v>
                </c:pt>
                <c:pt idx="9">
                  <c:v>123.30366529599279</c:v>
                </c:pt>
                <c:pt idx="10">
                  <c:v>123.30366529599279</c:v>
                </c:pt>
                <c:pt idx="11">
                  <c:v>123.30366529599279</c:v>
                </c:pt>
                <c:pt idx="12">
                  <c:v>123.30366529599279</c:v>
                </c:pt>
                <c:pt idx="13">
                  <c:v>123.30366529599279</c:v>
                </c:pt>
                <c:pt idx="14">
                  <c:v>123.30366529599279</c:v>
                </c:pt>
                <c:pt idx="15">
                  <c:v>123.30366529599279</c:v>
                </c:pt>
                <c:pt idx="16">
                  <c:v>123.30366529599279</c:v>
                </c:pt>
                <c:pt idx="17">
                  <c:v>123.30366529599279</c:v>
                </c:pt>
                <c:pt idx="18">
                  <c:v>123.30366529599279</c:v>
                </c:pt>
                <c:pt idx="19">
                  <c:v>123.30366529599279</c:v>
                </c:pt>
                <c:pt idx="20">
                  <c:v>123.30366529599279</c:v>
                </c:pt>
                <c:pt idx="21">
                  <c:v>123.30366529599279</c:v>
                </c:pt>
                <c:pt idx="22">
                  <c:v>123.30366529599279</c:v>
                </c:pt>
                <c:pt idx="23">
                  <c:v>123.30366529599279</c:v>
                </c:pt>
                <c:pt idx="24">
                  <c:v>123.30366529599279</c:v>
                </c:pt>
                <c:pt idx="25">
                  <c:v>123.30366529599279</c:v>
                </c:pt>
                <c:pt idx="26">
                  <c:v>123.30366529599279</c:v>
                </c:pt>
                <c:pt idx="27">
                  <c:v>123.30366529599279</c:v>
                </c:pt>
                <c:pt idx="28">
                  <c:v>123.30366529599279</c:v>
                </c:pt>
                <c:pt idx="29">
                  <c:v>123.30366529599279</c:v>
                </c:pt>
                <c:pt idx="30">
                  <c:v>123.30366529599279</c:v>
                </c:pt>
                <c:pt idx="31">
                  <c:v>119.88721554736063</c:v>
                </c:pt>
                <c:pt idx="32">
                  <c:v>119.88721554736063</c:v>
                </c:pt>
                <c:pt idx="33">
                  <c:v>119.88721554736063</c:v>
                </c:pt>
                <c:pt idx="34">
                  <c:v>119.88721554736063</c:v>
                </c:pt>
                <c:pt idx="35">
                  <c:v>119.88721554736063</c:v>
                </c:pt>
                <c:pt idx="36">
                  <c:v>119.88721554736063</c:v>
                </c:pt>
                <c:pt idx="37">
                  <c:v>119.88721554736063</c:v>
                </c:pt>
                <c:pt idx="38">
                  <c:v>119.88721554736063</c:v>
                </c:pt>
                <c:pt idx="39">
                  <c:v>119.88721554736063</c:v>
                </c:pt>
                <c:pt idx="40">
                  <c:v>119.88721554736063</c:v>
                </c:pt>
                <c:pt idx="41">
                  <c:v>119.88721554736063</c:v>
                </c:pt>
                <c:pt idx="42">
                  <c:v>119.88721554736063</c:v>
                </c:pt>
                <c:pt idx="43">
                  <c:v>119.88721554736063</c:v>
                </c:pt>
                <c:pt idx="44">
                  <c:v>119.88721554736063</c:v>
                </c:pt>
                <c:pt idx="45">
                  <c:v>119.88721554736063</c:v>
                </c:pt>
                <c:pt idx="46">
                  <c:v>119.88721554736063</c:v>
                </c:pt>
                <c:pt idx="47">
                  <c:v>119.88721554736063</c:v>
                </c:pt>
                <c:pt idx="48">
                  <c:v>119.88721554736063</c:v>
                </c:pt>
                <c:pt idx="49">
                  <c:v>119.88721554736063</c:v>
                </c:pt>
                <c:pt idx="50">
                  <c:v>119.88721554736063</c:v>
                </c:pt>
                <c:pt idx="51">
                  <c:v>119.88721554736063</c:v>
                </c:pt>
                <c:pt idx="52">
                  <c:v>119.88721554736063</c:v>
                </c:pt>
                <c:pt idx="53">
                  <c:v>119.88721554736063</c:v>
                </c:pt>
                <c:pt idx="54">
                  <c:v>119.88721554736063</c:v>
                </c:pt>
                <c:pt idx="55">
                  <c:v>119.88721554736063</c:v>
                </c:pt>
                <c:pt idx="56">
                  <c:v>119.88721554736063</c:v>
                </c:pt>
                <c:pt idx="57">
                  <c:v>119.88721554736063</c:v>
                </c:pt>
                <c:pt idx="58">
                  <c:v>119.88721554736063</c:v>
                </c:pt>
                <c:pt idx="59">
                  <c:v>119.88721554736063</c:v>
                </c:pt>
                <c:pt idx="60">
                  <c:v>119.88721554736063</c:v>
                </c:pt>
                <c:pt idx="61">
                  <c:v>119.88721554736063</c:v>
                </c:pt>
                <c:pt idx="62">
                  <c:v>117.97935252465646</c:v>
                </c:pt>
                <c:pt idx="63">
                  <c:v>117.97935252465646</c:v>
                </c:pt>
                <c:pt idx="64">
                  <c:v>117.97935252465646</c:v>
                </c:pt>
                <c:pt idx="65">
                  <c:v>117.97935252465646</c:v>
                </c:pt>
                <c:pt idx="66">
                  <c:v>117.97935252465646</c:v>
                </c:pt>
                <c:pt idx="67">
                  <c:v>117.97935252465646</c:v>
                </c:pt>
                <c:pt idx="68">
                  <c:v>117.97935252465646</c:v>
                </c:pt>
                <c:pt idx="69">
                  <c:v>117.97935252465646</c:v>
                </c:pt>
                <c:pt idx="70">
                  <c:v>117.97935252465646</c:v>
                </c:pt>
                <c:pt idx="71">
                  <c:v>117.97935252465646</c:v>
                </c:pt>
                <c:pt idx="72">
                  <c:v>117.97935252465646</c:v>
                </c:pt>
                <c:pt idx="73">
                  <c:v>117.97935252465646</c:v>
                </c:pt>
                <c:pt idx="74">
                  <c:v>117.97935252465646</c:v>
                </c:pt>
                <c:pt idx="75">
                  <c:v>117.97935252465646</c:v>
                </c:pt>
                <c:pt idx="76">
                  <c:v>117.97935252465646</c:v>
                </c:pt>
                <c:pt idx="77">
                  <c:v>117.97935252465646</c:v>
                </c:pt>
                <c:pt idx="78">
                  <c:v>117.97935252465646</c:v>
                </c:pt>
                <c:pt idx="79">
                  <c:v>117.97935252465646</c:v>
                </c:pt>
                <c:pt idx="80">
                  <c:v>117.97935252465646</c:v>
                </c:pt>
                <c:pt idx="81">
                  <c:v>117.97935252465646</c:v>
                </c:pt>
                <c:pt idx="82">
                  <c:v>117.97935252465646</c:v>
                </c:pt>
                <c:pt idx="83">
                  <c:v>117.97935252465646</c:v>
                </c:pt>
                <c:pt idx="84">
                  <c:v>117.97935252465646</c:v>
                </c:pt>
                <c:pt idx="85">
                  <c:v>117.97935252465646</c:v>
                </c:pt>
                <c:pt idx="86">
                  <c:v>117.97935252465646</c:v>
                </c:pt>
                <c:pt idx="87">
                  <c:v>117.97935252465646</c:v>
                </c:pt>
                <c:pt idx="88">
                  <c:v>117.97935252465646</c:v>
                </c:pt>
                <c:pt idx="89">
                  <c:v>117.97935252465646</c:v>
                </c:pt>
                <c:pt idx="90">
                  <c:v>117.97935252465646</c:v>
                </c:pt>
                <c:pt idx="91">
                  <c:v>117.97935252465646</c:v>
                </c:pt>
                <c:pt idx="92">
                  <c:v>137.65858028005749</c:v>
                </c:pt>
                <c:pt idx="93">
                  <c:v>137.65858028005749</c:v>
                </c:pt>
                <c:pt idx="94">
                  <c:v>137.65858028005749</c:v>
                </c:pt>
                <c:pt idx="95">
                  <c:v>137.65858028005749</c:v>
                </c:pt>
                <c:pt idx="96">
                  <c:v>137.65858028005749</c:v>
                </c:pt>
                <c:pt idx="97">
                  <c:v>137.65858028005749</c:v>
                </c:pt>
                <c:pt idx="98">
                  <c:v>137.65858028005749</c:v>
                </c:pt>
                <c:pt idx="99">
                  <c:v>137.65858028005749</c:v>
                </c:pt>
                <c:pt idx="100">
                  <c:v>137.65858028005749</c:v>
                </c:pt>
                <c:pt idx="101">
                  <c:v>137.65858028005749</c:v>
                </c:pt>
                <c:pt idx="102">
                  <c:v>137.65858028005749</c:v>
                </c:pt>
                <c:pt idx="103">
                  <c:v>137.65858028005749</c:v>
                </c:pt>
                <c:pt idx="104">
                  <c:v>137.65858028005749</c:v>
                </c:pt>
                <c:pt idx="105">
                  <c:v>137.65858028005749</c:v>
                </c:pt>
                <c:pt idx="106">
                  <c:v>137.65858028005749</c:v>
                </c:pt>
                <c:pt idx="107">
                  <c:v>137.65858028005749</c:v>
                </c:pt>
                <c:pt idx="108">
                  <c:v>137.65858028005749</c:v>
                </c:pt>
                <c:pt idx="109">
                  <c:v>137.65858028005749</c:v>
                </c:pt>
                <c:pt idx="110">
                  <c:v>137.65858028005749</c:v>
                </c:pt>
                <c:pt idx="111">
                  <c:v>137.65858028005749</c:v>
                </c:pt>
                <c:pt idx="112">
                  <c:v>137.65858028005749</c:v>
                </c:pt>
                <c:pt idx="113">
                  <c:v>137.65858028005749</c:v>
                </c:pt>
                <c:pt idx="114">
                  <c:v>137.65858028005749</c:v>
                </c:pt>
                <c:pt idx="115">
                  <c:v>137.65858028005749</c:v>
                </c:pt>
                <c:pt idx="116">
                  <c:v>137.65858028005749</c:v>
                </c:pt>
                <c:pt idx="117">
                  <c:v>137.65858028005749</c:v>
                </c:pt>
                <c:pt idx="118">
                  <c:v>137.65858028005749</c:v>
                </c:pt>
                <c:pt idx="119">
                  <c:v>137.65858028005749</c:v>
                </c:pt>
                <c:pt idx="120">
                  <c:v>137.65858028005749</c:v>
                </c:pt>
                <c:pt idx="121">
                  <c:v>137.65858028005749</c:v>
                </c:pt>
                <c:pt idx="122">
                  <c:v>137.65858028005749</c:v>
                </c:pt>
                <c:pt idx="123">
                  <c:v>183.92361341139531</c:v>
                </c:pt>
                <c:pt idx="124">
                  <c:v>183.92361341139531</c:v>
                </c:pt>
                <c:pt idx="125">
                  <c:v>183.92361341139531</c:v>
                </c:pt>
                <c:pt idx="126">
                  <c:v>183.92361341139531</c:v>
                </c:pt>
                <c:pt idx="127">
                  <c:v>183.92361341139531</c:v>
                </c:pt>
                <c:pt idx="128">
                  <c:v>183.92361341139531</c:v>
                </c:pt>
                <c:pt idx="129">
                  <c:v>183.92361341139531</c:v>
                </c:pt>
                <c:pt idx="130">
                  <c:v>183.92361341139531</c:v>
                </c:pt>
                <c:pt idx="131">
                  <c:v>183.92361341139531</c:v>
                </c:pt>
                <c:pt idx="132">
                  <c:v>183.92361341139531</c:v>
                </c:pt>
                <c:pt idx="133">
                  <c:v>183.92361341139531</c:v>
                </c:pt>
                <c:pt idx="134">
                  <c:v>183.92361341139531</c:v>
                </c:pt>
                <c:pt idx="135">
                  <c:v>183.92361341139531</c:v>
                </c:pt>
                <c:pt idx="136">
                  <c:v>183.92361341139531</c:v>
                </c:pt>
                <c:pt idx="137">
                  <c:v>183.92361341139531</c:v>
                </c:pt>
                <c:pt idx="138">
                  <c:v>183.92361341139531</c:v>
                </c:pt>
                <c:pt idx="139">
                  <c:v>183.92361341139531</c:v>
                </c:pt>
                <c:pt idx="140">
                  <c:v>183.92361341139531</c:v>
                </c:pt>
                <c:pt idx="141">
                  <c:v>183.92361341139531</c:v>
                </c:pt>
                <c:pt idx="142">
                  <c:v>183.92361341139531</c:v>
                </c:pt>
                <c:pt idx="143">
                  <c:v>183.92361341139531</c:v>
                </c:pt>
                <c:pt idx="144">
                  <c:v>183.92361341139531</c:v>
                </c:pt>
                <c:pt idx="145">
                  <c:v>183.92361341139531</c:v>
                </c:pt>
                <c:pt idx="146">
                  <c:v>183.92361341139531</c:v>
                </c:pt>
                <c:pt idx="147">
                  <c:v>183.92361341139531</c:v>
                </c:pt>
                <c:pt idx="148">
                  <c:v>183.92361341139531</c:v>
                </c:pt>
                <c:pt idx="149">
                  <c:v>183.92361341139531</c:v>
                </c:pt>
                <c:pt idx="150">
                  <c:v>183.92361341139531</c:v>
                </c:pt>
                <c:pt idx="151">
                  <c:v>183.92361341139531</c:v>
                </c:pt>
                <c:pt idx="152">
                  <c:v>183.92361341139531</c:v>
                </c:pt>
                <c:pt idx="153">
                  <c:v>181.49597011806557</c:v>
                </c:pt>
                <c:pt idx="154">
                  <c:v>181.49597011806557</c:v>
                </c:pt>
                <c:pt idx="155">
                  <c:v>181.49597011806557</c:v>
                </c:pt>
                <c:pt idx="156">
                  <c:v>181.49597011806557</c:v>
                </c:pt>
                <c:pt idx="157">
                  <c:v>181.49597011806557</c:v>
                </c:pt>
                <c:pt idx="158">
                  <c:v>181.49597011806557</c:v>
                </c:pt>
                <c:pt idx="159">
                  <c:v>181.49597011806557</c:v>
                </c:pt>
                <c:pt idx="160">
                  <c:v>181.49597011806557</c:v>
                </c:pt>
                <c:pt idx="161">
                  <c:v>181.49597011806557</c:v>
                </c:pt>
                <c:pt idx="162">
                  <c:v>181.49597011806557</c:v>
                </c:pt>
                <c:pt idx="163">
                  <c:v>181.49597011806557</c:v>
                </c:pt>
                <c:pt idx="164">
                  <c:v>181.49597011806557</c:v>
                </c:pt>
                <c:pt idx="165">
                  <c:v>181.49597011806557</c:v>
                </c:pt>
                <c:pt idx="166">
                  <c:v>181.49597011806557</c:v>
                </c:pt>
                <c:pt idx="167">
                  <c:v>181.49597011806557</c:v>
                </c:pt>
                <c:pt idx="168">
                  <c:v>181.49597011806557</c:v>
                </c:pt>
                <c:pt idx="169">
                  <c:v>181.49597011806557</c:v>
                </c:pt>
                <c:pt idx="170">
                  <c:v>181.49597011806557</c:v>
                </c:pt>
                <c:pt idx="171">
                  <c:v>181.49597011806557</c:v>
                </c:pt>
                <c:pt idx="172">
                  <c:v>181.49597011806557</c:v>
                </c:pt>
                <c:pt idx="173">
                  <c:v>181.49597011806557</c:v>
                </c:pt>
                <c:pt idx="174">
                  <c:v>181.49597011806557</c:v>
                </c:pt>
                <c:pt idx="175">
                  <c:v>181.49597011806557</c:v>
                </c:pt>
                <c:pt idx="176">
                  <c:v>181.49597011806557</c:v>
                </c:pt>
                <c:pt idx="177">
                  <c:v>181.49597011806557</c:v>
                </c:pt>
                <c:pt idx="178">
                  <c:v>181.49597011806557</c:v>
                </c:pt>
                <c:pt idx="179">
                  <c:v>181.49597011806557</c:v>
                </c:pt>
                <c:pt idx="180">
                  <c:v>181.49597011806557</c:v>
                </c:pt>
                <c:pt idx="181">
                  <c:v>181.49597011806557</c:v>
                </c:pt>
                <c:pt idx="182">
                  <c:v>181.49597011806557</c:v>
                </c:pt>
                <c:pt idx="183">
                  <c:v>181.49597011806557</c:v>
                </c:pt>
                <c:pt idx="184">
                  <c:v>211.72655948372767</c:v>
                </c:pt>
                <c:pt idx="185">
                  <c:v>211.72655948372767</c:v>
                </c:pt>
                <c:pt idx="186">
                  <c:v>211.72655948372767</c:v>
                </c:pt>
                <c:pt idx="187">
                  <c:v>211.72655948372767</c:v>
                </c:pt>
                <c:pt idx="188">
                  <c:v>211.72655948372767</c:v>
                </c:pt>
                <c:pt idx="189">
                  <c:v>211.72655948372767</c:v>
                </c:pt>
                <c:pt idx="190">
                  <c:v>211.72655948372767</c:v>
                </c:pt>
                <c:pt idx="191">
                  <c:v>211.72655948372767</c:v>
                </c:pt>
                <c:pt idx="192">
                  <c:v>211.72655948372767</c:v>
                </c:pt>
                <c:pt idx="193">
                  <c:v>211.72655948372767</c:v>
                </c:pt>
                <c:pt idx="194">
                  <c:v>211.72655948372767</c:v>
                </c:pt>
                <c:pt idx="195">
                  <c:v>211.72655948372767</c:v>
                </c:pt>
                <c:pt idx="196">
                  <c:v>211.72655948372767</c:v>
                </c:pt>
                <c:pt idx="197">
                  <c:v>211.72655948372767</c:v>
                </c:pt>
                <c:pt idx="198">
                  <c:v>211.72655948372767</c:v>
                </c:pt>
                <c:pt idx="199">
                  <c:v>211.72655948372767</c:v>
                </c:pt>
                <c:pt idx="200">
                  <c:v>211.72655948372767</c:v>
                </c:pt>
                <c:pt idx="201">
                  <c:v>211.72655948372767</c:v>
                </c:pt>
                <c:pt idx="202">
                  <c:v>211.72655948372767</c:v>
                </c:pt>
                <c:pt idx="203">
                  <c:v>211.72655948372767</c:v>
                </c:pt>
                <c:pt idx="204">
                  <c:v>211.72655948372767</c:v>
                </c:pt>
                <c:pt idx="205">
                  <c:v>211.72655948372767</c:v>
                </c:pt>
                <c:pt idx="206">
                  <c:v>211.72655948372767</c:v>
                </c:pt>
                <c:pt idx="207">
                  <c:v>211.72655948372767</c:v>
                </c:pt>
                <c:pt idx="208">
                  <c:v>211.72655948372767</c:v>
                </c:pt>
                <c:pt idx="209">
                  <c:v>211.72655948372767</c:v>
                </c:pt>
                <c:pt idx="210">
                  <c:v>211.72655948372767</c:v>
                </c:pt>
                <c:pt idx="211">
                  <c:v>211.72655948372767</c:v>
                </c:pt>
                <c:pt idx="212">
                  <c:v>211.72655948372767</c:v>
                </c:pt>
                <c:pt idx="213">
                  <c:v>211.72655948372767</c:v>
                </c:pt>
                <c:pt idx="214">
                  <c:v>211.72655948372767</c:v>
                </c:pt>
                <c:pt idx="215">
                  <c:v>223.52103944529028</c:v>
                </c:pt>
                <c:pt idx="216">
                  <c:v>223.52103944529028</c:v>
                </c:pt>
                <c:pt idx="217">
                  <c:v>223.52103944529028</c:v>
                </c:pt>
                <c:pt idx="218">
                  <c:v>223.52103944529028</c:v>
                </c:pt>
                <c:pt idx="219">
                  <c:v>223.52103944529028</c:v>
                </c:pt>
                <c:pt idx="220">
                  <c:v>223.52103944529028</c:v>
                </c:pt>
                <c:pt idx="221">
                  <c:v>223.52103944529028</c:v>
                </c:pt>
                <c:pt idx="222">
                  <c:v>223.52103944529028</c:v>
                </c:pt>
                <c:pt idx="223">
                  <c:v>223.52103944529028</c:v>
                </c:pt>
                <c:pt idx="224">
                  <c:v>223.52103944529028</c:v>
                </c:pt>
                <c:pt idx="225">
                  <c:v>223.52103944529028</c:v>
                </c:pt>
                <c:pt idx="226">
                  <c:v>223.52103944529028</c:v>
                </c:pt>
                <c:pt idx="227">
                  <c:v>223.52103944529028</c:v>
                </c:pt>
                <c:pt idx="228">
                  <c:v>223.52103944529028</c:v>
                </c:pt>
                <c:pt idx="229">
                  <c:v>223.52103944529028</c:v>
                </c:pt>
                <c:pt idx="230">
                  <c:v>223.52103944529028</c:v>
                </c:pt>
                <c:pt idx="231">
                  <c:v>223.52103944529028</c:v>
                </c:pt>
                <c:pt idx="232">
                  <c:v>223.52103944529028</c:v>
                </c:pt>
                <c:pt idx="233">
                  <c:v>223.52103944529028</c:v>
                </c:pt>
                <c:pt idx="234">
                  <c:v>223.52103944529028</c:v>
                </c:pt>
                <c:pt idx="235">
                  <c:v>223.52103944529028</c:v>
                </c:pt>
                <c:pt idx="236">
                  <c:v>223.52103944529028</c:v>
                </c:pt>
                <c:pt idx="237">
                  <c:v>223.52103944529028</c:v>
                </c:pt>
                <c:pt idx="238">
                  <c:v>223.52103944529028</c:v>
                </c:pt>
                <c:pt idx="239">
                  <c:v>223.52103944529028</c:v>
                </c:pt>
                <c:pt idx="240">
                  <c:v>223.52103944529028</c:v>
                </c:pt>
                <c:pt idx="241">
                  <c:v>223.52103944529028</c:v>
                </c:pt>
                <c:pt idx="242">
                  <c:v>223.52103944529028</c:v>
                </c:pt>
                <c:pt idx="243">
                  <c:v>206.98665053824496</c:v>
                </c:pt>
                <c:pt idx="244">
                  <c:v>206.98665053824496</c:v>
                </c:pt>
                <c:pt idx="245">
                  <c:v>206.98665053824496</c:v>
                </c:pt>
                <c:pt idx="246">
                  <c:v>206.98665053824496</c:v>
                </c:pt>
                <c:pt idx="247">
                  <c:v>206.98665053824496</c:v>
                </c:pt>
                <c:pt idx="248">
                  <c:v>206.98665053824496</c:v>
                </c:pt>
                <c:pt idx="249">
                  <c:v>206.98665053824496</c:v>
                </c:pt>
                <c:pt idx="250">
                  <c:v>206.98665053824496</c:v>
                </c:pt>
                <c:pt idx="251">
                  <c:v>206.98665053824496</c:v>
                </c:pt>
                <c:pt idx="252">
                  <c:v>206.98665053824496</c:v>
                </c:pt>
                <c:pt idx="253">
                  <c:v>206.98665053824496</c:v>
                </c:pt>
                <c:pt idx="254">
                  <c:v>206.98665053824496</c:v>
                </c:pt>
                <c:pt idx="255">
                  <c:v>206.98665053824496</c:v>
                </c:pt>
                <c:pt idx="256">
                  <c:v>206.98665053824496</c:v>
                </c:pt>
                <c:pt idx="257">
                  <c:v>206.98665053824496</c:v>
                </c:pt>
                <c:pt idx="258">
                  <c:v>206.98665053824496</c:v>
                </c:pt>
                <c:pt idx="259">
                  <c:v>206.98665053824496</c:v>
                </c:pt>
                <c:pt idx="260">
                  <c:v>206.98665053824496</c:v>
                </c:pt>
                <c:pt idx="261">
                  <c:v>206.98665053824496</c:v>
                </c:pt>
                <c:pt idx="262">
                  <c:v>206.98665053824496</c:v>
                </c:pt>
                <c:pt idx="263">
                  <c:v>206.98665053824496</c:v>
                </c:pt>
                <c:pt idx="264">
                  <c:v>206.98665053824496</c:v>
                </c:pt>
                <c:pt idx="265">
                  <c:v>206.98665053824496</c:v>
                </c:pt>
                <c:pt idx="266">
                  <c:v>206.98665053824496</c:v>
                </c:pt>
                <c:pt idx="267">
                  <c:v>206.98665053824496</c:v>
                </c:pt>
                <c:pt idx="268">
                  <c:v>206.98665053824496</c:v>
                </c:pt>
                <c:pt idx="269">
                  <c:v>206.98665053824496</c:v>
                </c:pt>
                <c:pt idx="270">
                  <c:v>206.98665053824496</c:v>
                </c:pt>
                <c:pt idx="271">
                  <c:v>206.98665053824496</c:v>
                </c:pt>
                <c:pt idx="272">
                  <c:v>206.98665053824496</c:v>
                </c:pt>
                <c:pt idx="273">
                  <c:v>206.98665053824496</c:v>
                </c:pt>
                <c:pt idx="274">
                  <c:v>173.53615947149632</c:v>
                </c:pt>
                <c:pt idx="275">
                  <c:v>173.53615947149632</c:v>
                </c:pt>
                <c:pt idx="276">
                  <c:v>173.53615947149632</c:v>
                </c:pt>
                <c:pt idx="277">
                  <c:v>173.53615947149632</c:v>
                </c:pt>
                <c:pt idx="278">
                  <c:v>173.53615947149632</c:v>
                </c:pt>
                <c:pt idx="279">
                  <c:v>173.53615947149632</c:v>
                </c:pt>
                <c:pt idx="280">
                  <c:v>173.53615947149632</c:v>
                </c:pt>
                <c:pt idx="281">
                  <c:v>173.53615947149632</c:v>
                </c:pt>
                <c:pt idx="282">
                  <c:v>173.53615947149632</c:v>
                </c:pt>
                <c:pt idx="283">
                  <c:v>173.53615947149632</c:v>
                </c:pt>
                <c:pt idx="284">
                  <c:v>173.53615947149632</c:v>
                </c:pt>
                <c:pt idx="285">
                  <c:v>173.53615947149632</c:v>
                </c:pt>
                <c:pt idx="286">
                  <c:v>173.53615947149632</c:v>
                </c:pt>
                <c:pt idx="287">
                  <c:v>173.53615947149632</c:v>
                </c:pt>
                <c:pt idx="288">
                  <c:v>173.53615947149632</c:v>
                </c:pt>
                <c:pt idx="289">
                  <c:v>173.53615947149632</c:v>
                </c:pt>
                <c:pt idx="290">
                  <c:v>173.53615947149632</c:v>
                </c:pt>
                <c:pt idx="291">
                  <c:v>173.53615947149632</c:v>
                </c:pt>
                <c:pt idx="292">
                  <c:v>173.53615947149632</c:v>
                </c:pt>
                <c:pt idx="293">
                  <c:v>173.53615947149632</c:v>
                </c:pt>
                <c:pt idx="294">
                  <c:v>173.53615947149632</c:v>
                </c:pt>
                <c:pt idx="295">
                  <c:v>173.53615947149632</c:v>
                </c:pt>
                <c:pt idx="296">
                  <c:v>173.53615947149632</c:v>
                </c:pt>
                <c:pt idx="297">
                  <c:v>173.53615947149632</c:v>
                </c:pt>
                <c:pt idx="298">
                  <c:v>173.53615947149632</c:v>
                </c:pt>
                <c:pt idx="299">
                  <c:v>173.53615947149632</c:v>
                </c:pt>
                <c:pt idx="300">
                  <c:v>173.53615947149632</c:v>
                </c:pt>
                <c:pt idx="301">
                  <c:v>173.53615947149632</c:v>
                </c:pt>
                <c:pt idx="302">
                  <c:v>173.53615947149632</c:v>
                </c:pt>
                <c:pt idx="303">
                  <c:v>173.53615947149632</c:v>
                </c:pt>
                <c:pt idx="304">
                  <c:v>155.29895276016032</c:v>
                </c:pt>
                <c:pt idx="305">
                  <c:v>155.29895276016032</c:v>
                </c:pt>
                <c:pt idx="306">
                  <c:v>155.29895276016032</c:v>
                </c:pt>
                <c:pt idx="307">
                  <c:v>155.29895276016032</c:v>
                </c:pt>
                <c:pt idx="308">
                  <c:v>155.29895276016032</c:v>
                </c:pt>
                <c:pt idx="309">
                  <c:v>155.29895276016032</c:v>
                </c:pt>
                <c:pt idx="310">
                  <c:v>155.29895276016032</c:v>
                </c:pt>
                <c:pt idx="311">
                  <c:v>155.29895276016032</c:v>
                </c:pt>
                <c:pt idx="312">
                  <c:v>155.29895276016032</c:v>
                </c:pt>
                <c:pt idx="313">
                  <c:v>155.29895276016032</c:v>
                </c:pt>
                <c:pt idx="314">
                  <c:v>155.29895276016032</c:v>
                </c:pt>
                <c:pt idx="315">
                  <c:v>155.29895276016032</c:v>
                </c:pt>
                <c:pt idx="316">
                  <c:v>155.29895276016032</c:v>
                </c:pt>
                <c:pt idx="317">
                  <c:v>155.29895276016032</c:v>
                </c:pt>
                <c:pt idx="318">
                  <c:v>155.29895276016032</c:v>
                </c:pt>
                <c:pt idx="319">
                  <c:v>155.29895276016032</c:v>
                </c:pt>
                <c:pt idx="320">
                  <c:v>155.29895276016032</c:v>
                </c:pt>
                <c:pt idx="321">
                  <c:v>155.29895276016032</c:v>
                </c:pt>
                <c:pt idx="322">
                  <c:v>155.29895276016032</c:v>
                </c:pt>
                <c:pt idx="323">
                  <c:v>155.29895276016032</c:v>
                </c:pt>
                <c:pt idx="324">
                  <c:v>155.29895276016032</c:v>
                </c:pt>
                <c:pt idx="325">
                  <c:v>155.29895276016032</c:v>
                </c:pt>
                <c:pt idx="326">
                  <c:v>155.29895276016032</c:v>
                </c:pt>
                <c:pt idx="327">
                  <c:v>155.29895276016032</c:v>
                </c:pt>
                <c:pt idx="328">
                  <c:v>155.29895276016032</c:v>
                </c:pt>
                <c:pt idx="329">
                  <c:v>155.29895276016032</c:v>
                </c:pt>
                <c:pt idx="330">
                  <c:v>155.29895276016032</c:v>
                </c:pt>
                <c:pt idx="331">
                  <c:v>155.29895276016032</c:v>
                </c:pt>
                <c:pt idx="332">
                  <c:v>155.29895276016032</c:v>
                </c:pt>
                <c:pt idx="333">
                  <c:v>155.29895276016032</c:v>
                </c:pt>
                <c:pt idx="334">
                  <c:v>155.29895276016032</c:v>
                </c:pt>
                <c:pt idx="335">
                  <c:v>160.47558451883233</c:v>
                </c:pt>
                <c:pt idx="336">
                  <c:v>128.92423379076934</c:v>
                </c:pt>
                <c:pt idx="337">
                  <c:v>128.92423379076934</c:v>
                </c:pt>
                <c:pt idx="338">
                  <c:v>128.92423379076934</c:v>
                </c:pt>
                <c:pt idx="339">
                  <c:v>128.92423379076934</c:v>
                </c:pt>
                <c:pt idx="340">
                  <c:v>128.92423379076934</c:v>
                </c:pt>
                <c:pt idx="341">
                  <c:v>128.92423379076934</c:v>
                </c:pt>
                <c:pt idx="342">
                  <c:v>128.92423379076934</c:v>
                </c:pt>
                <c:pt idx="343">
                  <c:v>128.92423379076934</c:v>
                </c:pt>
                <c:pt idx="344">
                  <c:v>128.92423379076934</c:v>
                </c:pt>
                <c:pt idx="345">
                  <c:v>128.92423379076934</c:v>
                </c:pt>
                <c:pt idx="346">
                  <c:v>128.92423379076934</c:v>
                </c:pt>
                <c:pt idx="347">
                  <c:v>128.92423379076934</c:v>
                </c:pt>
                <c:pt idx="348">
                  <c:v>128.92423379076934</c:v>
                </c:pt>
                <c:pt idx="349">
                  <c:v>128.92423379076934</c:v>
                </c:pt>
                <c:pt idx="350">
                  <c:v>128.92423379076934</c:v>
                </c:pt>
                <c:pt idx="351">
                  <c:v>128.92423379076934</c:v>
                </c:pt>
                <c:pt idx="352">
                  <c:v>128.92423379076934</c:v>
                </c:pt>
                <c:pt idx="353">
                  <c:v>128.92423379076934</c:v>
                </c:pt>
                <c:pt idx="354">
                  <c:v>128.92423379076934</c:v>
                </c:pt>
                <c:pt idx="355">
                  <c:v>128.92423379076934</c:v>
                </c:pt>
                <c:pt idx="356">
                  <c:v>128.92423379076934</c:v>
                </c:pt>
                <c:pt idx="357">
                  <c:v>128.92423379076934</c:v>
                </c:pt>
                <c:pt idx="358">
                  <c:v>128.92423379076934</c:v>
                </c:pt>
                <c:pt idx="359">
                  <c:v>128.92423379076934</c:v>
                </c:pt>
                <c:pt idx="360">
                  <c:v>128.92423379076934</c:v>
                </c:pt>
                <c:pt idx="361">
                  <c:v>128.92423379076934</c:v>
                </c:pt>
                <c:pt idx="362">
                  <c:v>128.92423379076934</c:v>
                </c:pt>
                <c:pt idx="363">
                  <c:v>128.92423379076934</c:v>
                </c:pt>
                <c:pt idx="364">
                  <c:v>128.92423379076934</c:v>
                </c:pt>
                <c:pt idx="365">
                  <c:v>124.7653875394542</c:v>
                </c:pt>
                <c:pt idx="366">
                  <c:v>124.7653875394542</c:v>
                </c:pt>
                <c:pt idx="367">
                  <c:v>124.7653875394542</c:v>
                </c:pt>
                <c:pt idx="368">
                  <c:v>124.7653875394542</c:v>
                </c:pt>
                <c:pt idx="369">
                  <c:v>124.7653875394542</c:v>
                </c:pt>
                <c:pt idx="370">
                  <c:v>124.7653875394542</c:v>
                </c:pt>
                <c:pt idx="371">
                  <c:v>124.7653875394542</c:v>
                </c:pt>
                <c:pt idx="372">
                  <c:v>124.7653875394542</c:v>
                </c:pt>
                <c:pt idx="373">
                  <c:v>124.7653875394542</c:v>
                </c:pt>
                <c:pt idx="374">
                  <c:v>124.7653875394542</c:v>
                </c:pt>
                <c:pt idx="375">
                  <c:v>124.7653875394542</c:v>
                </c:pt>
                <c:pt idx="376">
                  <c:v>124.7653875394542</c:v>
                </c:pt>
                <c:pt idx="377">
                  <c:v>124.7653875394542</c:v>
                </c:pt>
                <c:pt idx="378">
                  <c:v>124.7653875394542</c:v>
                </c:pt>
                <c:pt idx="379">
                  <c:v>124.7653875394542</c:v>
                </c:pt>
                <c:pt idx="380">
                  <c:v>124.7653875394542</c:v>
                </c:pt>
                <c:pt idx="381">
                  <c:v>124.7653875394542</c:v>
                </c:pt>
                <c:pt idx="382">
                  <c:v>124.7653875394542</c:v>
                </c:pt>
                <c:pt idx="383">
                  <c:v>124.7653875394542</c:v>
                </c:pt>
                <c:pt idx="384">
                  <c:v>124.7653875394542</c:v>
                </c:pt>
                <c:pt idx="385">
                  <c:v>124.7653875394542</c:v>
                </c:pt>
                <c:pt idx="386">
                  <c:v>124.7653875394542</c:v>
                </c:pt>
                <c:pt idx="387">
                  <c:v>124.7653875394542</c:v>
                </c:pt>
                <c:pt idx="388">
                  <c:v>124.7653875394542</c:v>
                </c:pt>
                <c:pt idx="389">
                  <c:v>124.7653875394542</c:v>
                </c:pt>
                <c:pt idx="390">
                  <c:v>124.7653875394542</c:v>
                </c:pt>
                <c:pt idx="391">
                  <c:v>124.7653875394542</c:v>
                </c:pt>
                <c:pt idx="392">
                  <c:v>124.7653875394542</c:v>
                </c:pt>
                <c:pt idx="393">
                  <c:v>124.7653875394542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4'!$E$2:$E$395</c:f>
              <c:numCache>
                <c:formatCode>#,##0</c:formatCode>
                <c:ptCount val="394"/>
                <c:pt idx="0">
                  <c:v>53.853722000000005</c:v>
                </c:pt>
                <c:pt idx="1">
                  <c:v>81.504232000000002</c:v>
                </c:pt>
                <c:pt idx="2">
                  <c:v>108.750077</c:v>
                </c:pt>
                <c:pt idx="3">
                  <c:v>123.30366529599279</c:v>
                </c:pt>
                <c:pt idx="4">
                  <c:v>123.30366529599279</c:v>
                </c:pt>
                <c:pt idx="5">
                  <c:v>123.30366529599279</c:v>
                </c:pt>
                <c:pt idx="6">
                  <c:v>100.12591</c:v>
                </c:pt>
                <c:pt idx="7">
                  <c:v>118.72372800000001</c:v>
                </c:pt>
                <c:pt idx="8">
                  <c:v>106.79435099999999</c:v>
                </c:pt>
                <c:pt idx="9">
                  <c:v>101.930645</c:v>
                </c:pt>
                <c:pt idx="10">
                  <c:v>123.30366529599279</c:v>
                </c:pt>
                <c:pt idx="11">
                  <c:v>123.30366529599279</c:v>
                </c:pt>
                <c:pt idx="12">
                  <c:v>123.30366529599279</c:v>
                </c:pt>
                <c:pt idx="13">
                  <c:v>123.30366529599279</c:v>
                </c:pt>
                <c:pt idx="14">
                  <c:v>123.30366529599279</c:v>
                </c:pt>
                <c:pt idx="15">
                  <c:v>123.30366529599279</c:v>
                </c:pt>
                <c:pt idx="16">
                  <c:v>110.355237</c:v>
                </c:pt>
                <c:pt idx="17">
                  <c:v>123.30366529599279</c:v>
                </c:pt>
                <c:pt idx="18">
                  <c:v>90.316156000000007</c:v>
                </c:pt>
                <c:pt idx="19">
                  <c:v>60.916510000000002</c:v>
                </c:pt>
                <c:pt idx="20">
                  <c:v>54.754841999999996</c:v>
                </c:pt>
                <c:pt idx="21">
                  <c:v>107.59925</c:v>
                </c:pt>
                <c:pt idx="22">
                  <c:v>123.30366529599279</c:v>
                </c:pt>
                <c:pt idx="23">
                  <c:v>123.30366529599279</c:v>
                </c:pt>
                <c:pt idx="24">
                  <c:v>99.539763999999991</c:v>
                </c:pt>
                <c:pt idx="25">
                  <c:v>96.478289999999987</c:v>
                </c:pt>
                <c:pt idx="26">
                  <c:v>97.796486999999999</c:v>
                </c:pt>
                <c:pt idx="27">
                  <c:v>123.30366529599279</c:v>
                </c:pt>
                <c:pt idx="28">
                  <c:v>123.30366529599279</c:v>
                </c:pt>
                <c:pt idx="29">
                  <c:v>123.30366529599279</c:v>
                </c:pt>
                <c:pt idx="30">
                  <c:v>123.30366529599279</c:v>
                </c:pt>
                <c:pt idx="31">
                  <c:v>105.184585</c:v>
                </c:pt>
                <c:pt idx="32">
                  <c:v>65.451475000000002</c:v>
                </c:pt>
                <c:pt idx="33">
                  <c:v>81.196016</c:v>
                </c:pt>
                <c:pt idx="34">
                  <c:v>117.95353299999999</c:v>
                </c:pt>
                <c:pt idx="35">
                  <c:v>119.88721554736063</c:v>
                </c:pt>
                <c:pt idx="36">
                  <c:v>119.88721554736063</c:v>
                </c:pt>
                <c:pt idx="37">
                  <c:v>119.88721554736063</c:v>
                </c:pt>
                <c:pt idx="38">
                  <c:v>90.905316999999997</c:v>
                </c:pt>
                <c:pt idx="39">
                  <c:v>83.163594000000003</c:v>
                </c:pt>
                <c:pt idx="40">
                  <c:v>63.677168999999999</c:v>
                </c:pt>
                <c:pt idx="41">
                  <c:v>70.815585999999996</c:v>
                </c:pt>
                <c:pt idx="42">
                  <c:v>105.13843500000002</c:v>
                </c:pt>
                <c:pt idx="43">
                  <c:v>77.891987</c:v>
                </c:pt>
                <c:pt idx="44">
                  <c:v>88.146130999999997</c:v>
                </c:pt>
                <c:pt idx="45">
                  <c:v>119.88721554736063</c:v>
                </c:pt>
                <c:pt idx="46">
                  <c:v>119.88721554736063</c:v>
                </c:pt>
                <c:pt idx="47">
                  <c:v>119.88721554736063</c:v>
                </c:pt>
                <c:pt idx="48">
                  <c:v>119.88721554736063</c:v>
                </c:pt>
                <c:pt idx="49">
                  <c:v>100.869519</c:v>
                </c:pt>
                <c:pt idx="50">
                  <c:v>70.188290999999992</c:v>
                </c:pt>
                <c:pt idx="51">
                  <c:v>75.149498000000008</c:v>
                </c:pt>
                <c:pt idx="52">
                  <c:v>119.88721554736063</c:v>
                </c:pt>
                <c:pt idx="53">
                  <c:v>119.88721554736063</c:v>
                </c:pt>
                <c:pt idx="54">
                  <c:v>119.88721554736063</c:v>
                </c:pt>
                <c:pt idx="55">
                  <c:v>84.59216099999999</c:v>
                </c:pt>
                <c:pt idx="56">
                  <c:v>43.372470999999997</c:v>
                </c:pt>
                <c:pt idx="57">
                  <c:v>80.783937999999992</c:v>
                </c:pt>
                <c:pt idx="58">
                  <c:v>119.88721554736063</c:v>
                </c:pt>
                <c:pt idx="59">
                  <c:v>107.689087</c:v>
                </c:pt>
                <c:pt idx="60">
                  <c:v>70.608243999999999</c:v>
                </c:pt>
                <c:pt idx="61">
                  <c:v>79.501566000000011</c:v>
                </c:pt>
                <c:pt idx="62">
                  <c:v>106.17876099999999</c:v>
                </c:pt>
                <c:pt idx="63">
                  <c:v>31.283776000000003</c:v>
                </c:pt>
                <c:pt idx="64">
                  <c:v>18.009798</c:v>
                </c:pt>
                <c:pt idx="65">
                  <c:v>30.801286000000001</c:v>
                </c:pt>
                <c:pt idx="66">
                  <c:v>76.818422999999996</c:v>
                </c:pt>
                <c:pt idx="67">
                  <c:v>117.97935252465646</c:v>
                </c:pt>
                <c:pt idx="68">
                  <c:v>117.97935252465646</c:v>
                </c:pt>
                <c:pt idx="69">
                  <c:v>117.97935252465646</c:v>
                </c:pt>
                <c:pt idx="70">
                  <c:v>116.04786800000001</c:v>
                </c:pt>
                <c:pt idx="71">
                  <c:v>65.756388000000001</c:v>
                </c:pt>
                <c:pt idx="72">
                  <c:v>33.642375999999999</c:v>
                </c:pt>
                <c:pt idx="73">
                  <c:v>46.564877000000003</c:v>
                </c:pt>
                <c:pt idx="74">
                  <c:v>117.97935252465646</c:v>
                </c:pt>
                <c:pt idx="75">
                  <c:v>117.793465</c:v>
                </c:pt>
                <c:pt idx="76">
                  <c:v>45.131029000000005</c:v>
                </c:pt>
                <c:pt idx="77">
                  <c:v>82.342123000000001</c:v>
                </c:pt>
                <c:pt idx="78">
                  <c:v>51.168244000000008</c:v>
                </c:pt>
                <c:pt idx="79">
                  <c:v>108.26396200000001</c:v>
                </c:pt>
                <c:pt idx="80">
                  <c:v>91.990882999999997</c:v>
                </c:pt>
                <c:pt idx="81">
                  <c:v>117.97935252465646</c:v>
                </c:pt>
                <c:pt idx="82">
                  <c:v>117.97935252465646</c:v>
                </c:pt>
                <c:pt idx="83">
                  <c:v>117.97935252465646</c:v>
                </c:pt>
                <c:pt idx="84">
                  <c:v>117.97935252465646</c:v>
                </c:pt>
                <c:pt idx="85">
                  <c:v>117.97935252465646</c:v>
                </c:pt>
                <c:pt idx="86">
                  <c:v>117.97935252465646</c:v>
                </c:pt>
                <c:pt idx="87">
                  <c:v>100.70335300000001</c:v>
                </c:pt>
                <c:pt idx="88">
                  <c:v>77.789228000000008</c:v>
                </c:pt>
                <c:pt idx="89">
                  <c:v>58.146766000000007</c:v>
                </c:pt>
                <c:pt idx="90">
                  <c:v>117.97935252465646</c:v>
                </c:pt>
                <c:pt idx="91">
                  <c:v>83.121623999999997</c:v>
                </c:pt>
                <c:pt idx="92">
                  <c:v>38.888199</c:v>
                </c:pt>
                <c:pt idx="93">
                  <c:v>137.65858028005749</c:v>
                </c:pt>
                <c:pt idx="94">
                  <c:v>137.65858028005749</c:v>
                </c:pt>
                <c:pt idx="95">
                  <c:v>137.65858028005749</c:v>
                </c:pt>
                <c:pt idx="96">
                  <c:v>137.65858028005749</c:v>
                </c:pt>
                <c:pt idx="97">
                  <c:v>125.47463</c:v>
                </c:pt>
                <c:pt idx="98">
                  <c:v>105.89893099999999</c:v>
                </c:pt>
                <c:pt idx="99">
                  <c:v>90.848475000000008</c:v>
                </c:pt>
                <c:pt idx="100">
                  <c:v>122.08157700000001</c:v>
                </c:pt>
                <c:pt idx="101">
                  <c:v>137.65858028005749</c:v>
                </c:pt>
                <c:pt idx="102">
                  <c:v>137.65858028005749</c:v>
                </c:pt>
                <c:pt idx="103">
                  <c:v>137.65858028005749</c:v>
                </c:pt>
                <c:pt idx="104">
                  <c:v>137.65858028005749</c:v>
                </c:pt>
                <c:pt idx="105">
                  <c:v>76.483199999999997</c:v>
                </c:pt>
                <c:pt idx="106">
                  <c:v>59.870756</c:v>
                </c:pt>
                <c:pt idx="107">
                  <c:v>51.859968000000002</c:v>
                </c:pt>
                <c:pt idx="108">
                  <c:v>54.082108999999996</c:v>
                </c:pt>
                <c:pt idx="109">
                  <c:v>68.709029999999998</c:v>
                </c:pt>
                <c:pt idx="110">
                  <c:v>137.65858028005749</c:v>
                </c:pt>
                <c:pt idx="111">
                  <c:v>137.65858028005749</c:v>
                </c:pt>
                <c:pt idx="112">
                  <c:v>113.222797</c:v>
                </c:pt>
                <c:pt idx="113">
                  <c:v>137.65858028005749</c:v>
                </c:pt>
                <c:pt idx="114">
                  <c:v>77.004168000000007</c:v>
                </c:pt>
                <c:pt idx="115">
                  <c:v>53.185224000000005</c:v>
                </c:pt>
                <c:pt idx="116">
                  <c:v>37.106322999999996</c:v>
                </c:pt>
                <c:pt idx="117">
                  <c:v>77.944802999999993</c:v>
                </c:pt>
                <c:pt idx="118">
                  <c:v>43.982253</c:v>
                </c:pt>
                <c:pt idx="119">
                  <c:v>137.65858028005749</c:v>
                </c:pt>
                <c:pt idx="120">
                  <c:v>137.65858028005749</c:v>
                </c:pt>
                <c:pt idx="121">
                  <c:v>137.65858028005749</c:v>
                </c:pt>
                <c:pt idx="122">
                  <c:v>137.65858028005749</c:v>
                </c:pt>
                <c:pt idx="123">
                  <c:v>183.92361341139531</c:v>
                </c:pt>
                <c:pt idx="124">
                  <c:v>183.92361341139531</c:v>
                </c:pt>
                <c:pt idx="125">
                  <c:v>183.92361341139531</c:v>
                </c:pt>
                <c:pt idx="126">
                  <c:v>168.86299299999999</c:v>
                </c:pt>
                <c:pt idx="127">
                  <c:v>183.92361341139531</c:v>
                </c:pt>
                <c:pt idx="128">
                  <c:v>183.92361341139531</c:v>
                </c:pt>
                <c:pt idx="129">
                  <c:v>183.92361341139531</c:v>
                </c:pt>
                <c:pt idx="130">
                  <c:v>183.92361341139531</c:v>
                </c:pt>
                <c:pt idx="131">
                  <c:v>183.92361341139531</c:v>
                </c:pt>
                <c:pt idx="132">
                  <c:v>90.485464999999991</c:v>
                </c:pt>
                <c:pt idx="133">
                  <c:v>58.279859999999999</c:v>
                </c:pt>
                <c:pt idx="134">
                  <c:v>80.061032000000012</c:v>
                </c:pt>
                <c:pt idx="135">
                  <c:v>127.324252</c:v>
                </c:pt>
                <c:pt idx="136">
                  <c:v>183.92361341139531</c:v>
                </c:pt>
                <c:pt idx="137">
                  <c:v>183.92361341139531</c:v>
                </c:pt>
                <c:pt idx="138">
                  <c:v>183.92361341139531</c:v>
                </c:pt>
                <c:pt idx="139">
                  <c:v>183.92361341139531</c:v>
                </c:pt>
                <c:pt idx="140">
                  <c:v>183.92361341139531</c:v>
                </c:pt>
                <c:pt idx="141">
                  <c:v>154.32367099999999</c:v>
                </c:pt>
                <c:pt idx="142">
                  <c:v>82.706011000000004</c:v>
                </c:pt>
                <c:pt idx="143">
                  <c:v>82.872039000000001</c:v>
                </c:pt>
                <c:pt idx="144">
                  <c:v>165.64692600000001</c:v>
                </c:pt>
                <c:pt idx="145">
                  <c:v>183.92361341139531</c:v>
                </c:pt>
                <c:pt idx="146">
                  <c:v>183.92361341139531</c:v>
                </c:pt>
                <c:pt idx="147">
                  <c:v>183.92361341139531</c:v>
                </c:pt>
                <c:pt idx="148">
                  <c:v>183.92361341139531</c:v>
                </c:pt>
                <c:pt idx="149">
                  <c:v>183.92361341139531</c:v>
                </c:pt>
                <c:pt idx="150">
                  <c:v>183.92361341139531</c:v>
                </c:pt>
                <c:pt idx="151">
                  <c:v>183.92361341139531</c:v>
                </c:pt>
                <c:pt idx="152">
                  <c:v>81.182106000000005</c:v>
                </c:pt>
                <c:pt idx="153">
                  <c:v>181.49597011806557</c:v>
                </c:pt>
                <c:pt idx="154">
                  <c:v>181.49597011806557</c:v>
                </c:pt>
                <c:pt idx="155">
                  <c:v>181.49597011806557</c:v>
                </c:pt>
                <c:pt idx="156">
                  <c:v>181.49597011806557</c:v>
                </c:pt>
                <c:pt idx="157">
                  <c:v>181.49597011806557</c:v>
                </c:pt>
                <c:pt idx="158">
                  <c:v>181.49597011806557</c:v>
                </c:pt>
                <c:pt idx="159">
                  <c:v>181.49597011806557</c:v>
                </c:pt>
                <c:pt idx="160">
                  <c:v>181.49597011806557</c:v>
                </c:pt>
                <c:pt idx="161">
                  <c:v>181.49597011806557</c:v>
                </c:pt>
                <c:pt idx="162">
                  <c:v>181.49597011806557</c:v>
                </c:pt>
                <c:pt idx="163">
                  <c:v>181.49597011806557</c:v>
                </c:pt>
                <c:pt idx="164">
                  <c:v>99.346322000000001</c:v>
                </c:pt>
                <c:pt idx="165">
                  <c:v>92.523330000000001</c:v>
                </c:pt>
                <c:pt idx="166">
                  <c:v>60.152150999999996</c:v>
                </c:pt>
                <c:pt idx="167">
                  <c:v>107.20201300000001</c:v>
                </c:pt>
                <c:pt idx="168">
                  <c:v>147.840676</c:v>
                </c:pt>
                <c:pt idx="169">
                  <c:v>113.43718</c:v>
                </c:pt>
                <c:pt idx="170">
                  <c:v>83.451227000000003</c:v>
                </c:pt>
                <c:pt idx="171">
                  <c:v>122.51447400000001</c:v>
                </c:pt>
                <c:pt idx="172">
                  <c:v>119.96771099999999</c:v>
                </c:pt>
                <c:pt idx="173">
                  <c:v>131.450579</c:v>
                </c:pt>
                <c:pt idx="174">
                  <c:v>141.59109799999999</c:v>
                </c:pt>
                <c:pt idx="175">
                  <c:v>162.03058199999998</c:v>
                </c:pt>
                <c:pt idx="176">
                  <c:v>181.49597011806557</c:v>
                </c:pt>
                <c:pt idx="177">
                  <c:v>160.13869</c:v>
                </c:pt>
                <c:pt idx="178">
                  <c:v>181.49597011806557</c:v>
                </c:pt>
                <c:pt idx="179">
                  <c:v>181.49597011806557</c:v>
                </c:pt>
                <c:pt idx="180">
                  <c:v>181.49597011806557</c:v>
                </c:pt>
                <c:pt idx="181">
                  <c:v>181.49597011806557</c:v>
                </c:pt>
                <c:pt idx="182">
                  <c:v>93.666549000000003</c:v>
                </c:pt>
                <c:pt idx="183">
                  <c:v>120.18132399999999</c:v>
                </c:pt>
                <c:pt idx="184">
                  <c:v>139.46714299999999</c:v>
                </c:pt>
                <c:pt idx="185">
                  <c:v>103.22421899999999</c:v>
                </c:pt>
                <c:pt idx="186">
                  <c:v>151.54802099999998</c:v>
                </c:pt>
                <c:pt idx="187">
                  <c:v>211.72655948372767</c:v>
                </c:pt>
                <c:pt idx="188">
                  <c:v>211.72655948372767</c:v>
                </c:pt>
                <c:pt idx="189">
                  <c:v>206.08566300000001</c:v>
                </c:pt>
                <c:pt idx="190">
                  <c:v>208.517426</c:v>
                </c:pt>
                <c:pt idx="191">
                  <c:v>211.72655948372767</c:v>
                </c:pt>
                <c:pt idx="192">
                  <c:v>211.72655948372767</c:v>
                </c:pt>
                <c:pt idx="193">
                  <c:v>211.72655948372767</c:v>
                </c:pt>
                <c:pt idx="194">
                  <c:v>211.72655948372767</c:v>
                </c:pt>
                <c:pt idx="195">
                  <c:v>211.72655948372767</c:v>
                </c:pt>
                <c:pt idx="196">
                  <c:v>128.97225800000001</c:v>
                </c:pt>
                <c:pt idx="197">
                  <c:v>84.023750000000007</c:v>
                </c:pt>
                <c:pt idx="198">
                  <c:v>62.009610000000002</c:v>
                </c:pt>
                <c:pt idx="199">
                  <c:v>64.098206000000005</c:v>
                </c:pt>
                <c:pt idx="200">
                  <c:v>76.089658</c:v>
                </c:pt>
                <c:pt idx="201">
                  <c:v>50.593338000000003</c:v>
                </c:pt>
                <c:pt idx="202">
                  <c:v>95.961089000000001</c:v>
                </c:pt>
                <c:pt idx="203">
                  <c:v>208.84425399999998</c:v>
                </c:pt>
                <c:pt idx="204">
                  <c:v>211.72655948372767</c:v>
                </c:pt>
                <c:pt idx="205">
                  <c:v>174.68729300000001</c:v>
                </c:pt>
                <c:pt idx="206">
                  <c:v>95.033597</c:v>
                </c:pt>
                <c:pt idx="207">
                  <c:v>82.138345000000001</c:v>
                </c:pt>
                <c:pt idx="208">
                  <c:v>99.780138000000008</c:v>
                </c:pt>
                <c:pt idx="209">
                  <c:v>122.851392</c:v>
                </c:pt>
                <c:pt idx="210">
                  <c:v>134.06660399999998</c:v>
                </c:pt>
                <c:pt idx="211">
                  <c:v>211.72655948372767</c:v>
                </c:pt>
                <c:pt idx="212">
                  <c:v>114.510254</c:v>
                </c:pt>
                <c:pt idx="213">
                  <c:v>91.937937999999988</c:v>
                </c:pt>
                <c:pt idx="214">
                  <c:v>211.72655948372767</c:v>
                </c:pt>
                <c:pt idx="215">
                  <c:v>223.52103944529028</c:v>
                </c:pt>
                <c:pt idx="216">
                  <c:v>143.09100799999999</c:v>
                </c:pt>
                <c:pt idx="217">
                  <c:v>83.192159000000004</c:v>
                </c:pt>
                <c:pt idx="218">
                  <c:v>104.78446400000001</c:v>
                </c:pt>
                <c:pt idx="219">
                  <c:v>199.71894899999998</c:v>
                </c:pt>
                <c:pt idx="220">
                  <c:v>147.25397400000003</c:v>
                </c:pt>
                <c:pt idx="221">
                  <c:v>223.52103944529028</c:v>
                </c:pt>
                <c:pt idx="222">
                  <c:v>135.511663</c:v>
                </c:pt>
                <c:pt idx="223">
                  <c:v>102.331266</c:v>
                </c:pt>
                <c:pt idx="224">
                  <c:v>49.852665999999999</c:v>
                </c:pt>
                <c:pt idx="225">
                  <c:v>74.106666000000004</c:v>
                </c:pt>
                <c:pt idx="226">
                  <c:v>49.278058999999999</c:v>
                </c:pt>
                <c:pt idx="227">
                  <c:v>223.52103944529028</c:v>
                </c:pt>
                <c:pt idx="228">
                  <c:v>223.52103944529028</c:v>
                </c:pt>
                <c:pt idx="229">
                  <c:v>223.52103944529028</c:v>
                </c:pt>
                <c:pt idx="230">
                  <c:v>223.52103944529028</c:v>
                </c:pt>
                <c:pt idx="231">
                  <c:v>175.657027</c:v>
                </c:pt>
                <c:pt idx="232">
                  <c:v>145.24757100000002</c:v>
                </c:pt>
                <c:pt idx="233">
                  <c:v>223.52103944529028</c:v>
                </c:pt>
                <c:pt idx="234">
                  <c:v>139.199096</c:v>
                </c:pt>
                <c:pt idx="235">
                  <c:v>204.28830499999998</c:v>
                </c:pt>
                <c:pt idx="236">
                  <c:v>188.027286</c:v>
                </c:pt>
                <c:pt idx="237">
                  <c:v>111.786466</c:v>
                </c:pt>
                <c:pt idx="238">
                  <c:v>134.77212100000003</c:v>
                </c:pt>
                <c:pt idx="239">
                  <c:v>223.52103944529028</c:v>
                </c:pt>
                <c:pt idx="240">
                  <c:v>175.147471</c:v>
                </c:pt>
                <c:pt idx="241">
                  <c:v>59.524872999999999</c:v>
                </c:pt>
                <c:pt idx="242">
                  <c:v>58.123584999999999</c:v>
                </c:pt>
                <c:pt idx="243">
                  <c:v>122.92765700000001</c:v>
                </c:pt>
                <c:pt idx="244">
                  <c:v>183.63776999999999</c:v>
                </c:pt>
                <c:pt idx="245">
                  <c:v>179.32528500000001</c:v>
                </c:pt>
                <c:pt idx="246">
                  <c:v>206.98665053824496</c:v>
                </c:pt>
                <c:pt idx="247">
                  <c:v>162.934864</c:v>
                </c:pt>
                <c:pt idx="248">
                  <c:v>130.44919300000001</c:v>
                </c:pt>
                <c:pt idx="249">
                  <c:v>102.77058599999999</c:v>
                </c:pt>
                <c:pt idx="250">
                  <c:v>168.05851899999999</c:v>
                </c:pt>
                <c:pt idx="251">
                  <c:v>159.07691600000001</c:v>
                </c:pt>
                <c:pt idx="252">
                  <c:v>200.95555999999999</c:v>
                </c:pt>
                <c:pt idx="253">
                  <c:v>206.98665053824496</c:v>
                </c:pt>
                <c:pt idx="254">
                  <c:v>206.98665053824496</c:v>
                </c:pt>
                <c:pt idx="255">
                  <c:v>162.969685</c:v>
                </c:pt>
                <c:pt idx="256">
                  <c:v>206.98665053824496</c:v>
                </c:pt>
                <c:pt idx="257">
                  <c:v>206.98665053824496</c:v>
                </c:pt>
                <c:pt idx="258">
                  <c:v>205.35738899999998</c:v>
                </c:pt>
                <c:pt idx="259">
                  <c:v>206.98665053824496</c:v>
                </c:pt>
                <c:pt idx="260">
                  <c:v>202.779573</c:v>
                </c:pt>
                <c:pt idx="261">
                  <c:v>138.54988200000003</c:v>
                </c:pt>
                <c:pt idx="262">
                  <c:v>206.98665053824496</c:v>
                </c:pt>
                <c:pt idx="263">
                  <c:v>206.98665053824496</c:v>
                </c:pt>
                <c:pt idx="264">
                  <c:v>206.98665053824496</c:v>
                </c:pt>
                <c:pt idx="265">
                  <c:v>206.98665053824496</c:v>
                </c:pt>
                <c:pt idx="266">
                  <c:v>206.98665053824496</c:v>
                </c:pt>
                <c:pt idx="267">
                  <c:v>186.88693700000002</c:v>
                </c:pt>
                <c:pt idx="268">
                  <c:v>115.53528</c:v>
                </c:pt>
                <c:pt idx="269">
                  <c:v>115.38867999999999</c:v>
                </c:pt>
                <c:pt idx="270">
                  <c:v>172.728061</c:v>
                </c:pt>
                <c:pt idx="271">
                  <c:v>64.641711999999998</c:v>
                </c:pt>
                <c:pt idx="272">
                  <c:v>184.60262600000001</c:v>
                </c:pt>
                <c:pt idx="273">
                  <c:v>206.98665053824496</c:v>
                </c:pt>
                <c:pt idx="274">
                  <c:v>173.53615947149632</c:v>
                </c:pt>
                <c:pt idx="275">
                  <c:v>173.53615947149632</c:v>
                </c:pt>
                <c:pt idx="276">
                  <c:v>173.53615947149632</c:v>
                </c:pt>
                <c:pt idx="277">
                  <c:v>173.53615947149632</c:v>
                </c:pt>
                <c:pt idx="278">
                  <c:v>173.53615947149632</c:v>
                </c:pt>
                <c:pt idx="279">
                  <c:v>140.25377900000001</c:v>
                </c:pt>
                <c:pt idx="280">
                  <c:v>173.53615947149632</c:v>
                </c:pt>
                <c:pt idx="281">
                  <c:v>173.53615947149632</c:v>
                </c:pt>
                <c:pt idx="282">
                  <c:v>143.24871599999997</c:v>
                </c:pt>
                <c:pt idx="283">
                  <c:v>173.53615947149632</c:v>
                </c:pt>
                <c:pt idx="284">
                  <c:v>173.53615947149632</c:v>
                </c:pt>
                <c:pt idx="285">
                  <c:v>172.51355900000001</c:v>
                </c:pt>
                <c:pt idx="286">
                  <c:v>115.374589</c:v>
                </c:pt>
                <c:pt idx="287">
                  <c:v>111.75668899999999</c:v>
                </c:pt>
                <c:pt idx="288">
                  <c:v>61.966009</c:v>
                </c:pt>
                <c:pt idx="289">
                  <c:v>139.814052</c:v>
                </c:pt>
                <c:pt idx="290">
                  <c:v>123.50425800000001</c:v>
                </c:pt>
                <c:pt idx="291">
                  <c:v>169.95030299999999</c:v>
                </c:pt>
                <c:pt idx="292">
                  <c:v>173.53615947149632</c:v>
                </c:pt>
                <c:pt idx="293">
                  <c:v>173.53615947149632</c:v>
                </c:pt>
                <c:pt idx="294">
                  <c:v>173.53615947149632</c:v>
                </c:pt>
                <c:pt idx="295">
                  <c:v>173.53615947149632</c:v>
                </c:pt>
                <c:pt idx="296">
                  <c:v>173.53615947149632</c:v>
                </c:pt>
                <c:pt idx="297">
                  <c:v>169.876386</c:v>
                </c:pt>
                <c:pt idx="298">
                  <c:v>33.183500000000002</c:v>
                </c:pt>
                <c:pt idx="299">
                  <c:v>64.831139000000007</c:v>
                </c:pt>
                <c:pt idx="300">
                  <c:v>42.717110999999996</c:v>
                </c:pt>
                <c:pt idx="301">
                  <c:v>83.537114999999986</c:v>
                </c:pt>
                <c:pt idx="302">
                  <c:v>76.722092000000004</c:v>
                </c:pt>
                <c:pt idx="303">
                  <c:v>120.19039599999999</c:v>
                </c:pt>
                <c:pt idx="304">
                  <c:v>96.079611</c:v>
                </c:pt>
                <c:pt idx="305">
                  <c:v>153.68681400000003</c:v>
                </c:pt>
                <c:pt idx="306">
                  <c:v>155.29895276016032</c:v>
                </c:pt>
                <c:pt idx="307">
                  <c:v>155.29895276016032</c:v>
                </c:pt>
                <c:pt idx="308">
                  <c:v>155.29895276016032</c:v>
                </c:pt>
                <c:pt idx="309">
                  <c:v>155.29895276016032</c:v>
                </c:pt>
                <c:pt idx="310">
                  <c:v>149.853081</c:v>
                </c:pt>
                <c:pt idx="311">
                  <c:v>96.728193000000005</c:v>
                </c:pt>
                <c:pt idx="312">
                  <c:v>59.737413999999994</c:v>
                </c:pt>
                <c:pt idx="313">
                  <c:v>78.470572000000004</c:v>
                </c:pt>
                <c:pt idx="314">
                  <c:v>124.968198</c:v>
                </c:pt>
                <c:pt idx="315">
                  <c:v>131.41893999999999</c:v>
                </c:pt>
                <c:pt idx="316">
                  <c:v>50.105214999999994</c:v>
                </c:pt>
                <c:pt idx="317">
                  <c:v>107.45642100000001</c:v>
                </c:pt>
                <c:pt idx="318">
                  <c:v>155.29895276016032</c:v>
                </c:pt>
                <c:pt idx="319">
                  <c:v>122.83414900000001</c:v>
                </c:pt>
                <c:pt idx="320">
                  <c:v>106.037814</c:v>
                </c:pt>
                <c:pt idx="321">
                  <c:v>111.48863800000001</c:v>
                </c:pt>
                <c:pt idx="322">
                  <c:v>155.29895276016032</c:v>
                </c:pt>
                <c:pt idx="323">
                  <c:v>155.29895276016032</c:v>
                </c:pt>
                <c:pt idx="324">
                  <c:v>155.29895276016032</c:v>
                </c:pt>
                <c:pt idx="325">
                  <c:v>151.623041</c:v>
                </c:pt>
                <c:pt idx="326">
                  <c:v>155.29895276016032</c:v>
                </c:pt>
                <c:pt idx="327">
                  <c:v>155.29895276016032</c:v>
                </c:pt>
                <c:pt idx="328">
                  <c:v>155.29895276016032</c:v>
                </c:pt>
                <c:pt idx="329">
                  <c:v>155.29895276016032</c:v>
                </c:pt>
                <c:pt idx="330">
                  <c:v>155.29895276016032</c:v>
                </c:pt>
                <c:pt idx="331">
                  <c:v>142.273076</c:v>
                </c:pt>
                <c:pt idx="332">
                  <c:v>146.92327300000002</c:v>
                </c:pt>
                <c:pt idx="333">
                  <c:v>102.34906699999999</c:v>
                </c:pt>
                <c:pt idx="334">
                  <c:v>50.243061000000004</c:v>
                </c:pt>
                <c:pt idx="335">
                  <c:v>114.599975</c:v>
                </c:pt>
                <c:pt idx="336">
                  <c:v>70.015323000000009</c:v>
                </c:pt>
                <c:pt idx="337">
                  <c:v>74.905062000000001</c:v>
                </c:pt>
                <c:pt idx="338">
                  <c:v>81.585093999999998</c:v>
                </c:pt>
                <c:pt idx="339">
                  <c:v>74.693217000000004</c:v>
                </c:pt>
                <c:pt idx="340">
                  <c:v>88.805487999999997</c:v>
                </c:pt>
                <c:pt idx="341">
                  <c:v>82.791608999999994</c:v>
                </c:pt>
                <c:pt idx="342">
                  <c:v>128.92423379076934</c:v>
                </c:pt>
                <c:pt idx="343">
                  <c:v>128.92423379076934</c:v>
                </c:pt>
                <c:pt idx="344">
                  <c:v>124.965159</c:v>
                </c:pt>
                <c:pt idx="345">
                  <c:v>128.92423379076934</c:v>
                </c:pt>
                <c:pt idx="346">
                  <c:v>128.92423379076934</c:v>
                </c:pt>
                <c:pt idx="347">
                  <c:v>128.92423379076934</c:v>
                </c:pt>
                <c:pt idx="348">
                  <c:v>85.082397</c:v>
                </c:pt>
                <c:pt idx="349">
                  <c:v>95.982008999999991</c:v>
                </c:pt>
                <c:pt idx="350">
                  <c:v>101.65593399999999</c:v>
                </c:pt>
                <c:pt idx="351">
                  <c:v>121.90847799999999</c:v>
                </c:pt>
                <c:pt idx="352">
                  <c:v>128.92423379076934</c:v>
                </c:pt>
                <c:pt idx="353">
                  <c:v>128.92423379076934</c:v>
                </c:pt>
                <c:pt idx="354">
                  <c:v>109.541572</c:v>
                </c:pt>
                <c:pt idx="355">
                  <c:v>90.816609</c:v>
                </c:pt>
                <c:pt idx="356">
                  <c:v>79.910153999999991</c:v>
                </c:pt>
                <c:pt idx="357">
                  <c:v>115.02095200000001</c:v>
                </c:pt>
                <c:pt idx="358">
                  <c:v>128.92423379076934</c:v>
                </c:pt>
                <c:pt idx="359">
                  <c:v>110.838002</c:v>
                </c:pt>
                <c:pt idx="360">
                  <c:v>119.648966</c:v>
                </c:pt>
                <c:pt idx="361">
                  <c:v>128.92423379076934</c:v>
                </c:pt>
                <c:pt idx="362">
                  <c:v>76.935383999999999</c:v>
                </c:pt>
                <c:pt idx="363">
                  <c:v>108.10150900000001</c:v>
                </c:pt>
                <c:pt idx="364">
                  <c:v>128.92423379076934</c:v>
                </c:pt>
                <c:pt idx="365">
                  <c:v>112.43</c:v>
                </c:pt>
                <c:pt idx="366">
                  <c:v>124.7653875394542</c:v>
                </c:pt>
                <c:pt idx="367">
                  <c:v>124.7653875394542</c:v>
                </c:pt>
                <c:pt idx="368">
                  <c:v>124.7653875394542</c:v>
                </c:pt>
                <c:pt idx="369">
                  <c:v>124.7653875394542</c:v>
                </c:pt>
                <c:pt idx="370">
                  <c:v>124.7653875394542</c:v>
                </c:pt>
                <c:pt idx="371">
                  <c:v>124.7653875394542</c:v>
                </c:pt>
                <c:pt idx="372">
                  <c:v>124.7653875394542</c:v>
                </c:pt>
                <c:pt idx="373">
                  <c:v>124.7653875394542</c:v>
                </c:pt>
                <c:pt idx="374">
                  <c:v>103.905463</c:v>
                </c:pt>
                <c:pt idx="375">
                  <c:v>111.910821</c:v>
                </c:pt>
                <c:pt idx="376">
                  <c:v>107.19437300000001</c:v>
                </c:pt>
                <c:pt idx="377">
                  <c:v>100.41499899999999</c:v>
                </c:pt>
                <c:pt idx="378">
                  <c:v>113.150058</c:v>
                </c:pt>
                <c:pt idx="379">
                  <c:v>124.7653875394542</c:v>
                </c:pt>
                <c:pt idx="380">
                  <c:v>90.423883999999987</c:v>
                </c:pt>
                <c:pt idx="381">
                  <c:v>108.05383700000002</c:v>
                </c:pt>
                <c:pt idx="382">
                  <c:v>124.7653875394542</c:v>
                </c:pt>
                <c:pt idx="383">
                  <c:v>124.7653875394542</c:v>
                </c:pt>
                <c:pt idx="384">
                  <c:v>109.03798599999999</c:v>
                </c:pt>
                <c:pt idx="385">
                  <c:v>124.7653875394542</c:v>
                </c:pt>
                <c:pt idx="386">
                  <c:v>124.7653875394542</c:v>
                </c:pt>
                <c:pt idx="387">
                  <c:v>116.92483199999999</c:v>
                </c:pt>
                <c:pt idx="388">
                  <c:v>83.719386</c:v>
                </c:pt>
                <c:pt idx="389">
                  <c:v>124.7653875394542</c:v>
                </c:pt>
                <c:pt idx="390">
                  <c:v>124.7653875394542</c:v>
                </c:pt>
                <c:pt idx="391">
                  <c:v>124.36342500000001</c:v>
                </c:pt>
                <c:pt idx="392">
                  <c:v>77.282630000000012</c:v>
                </c:pt>
                <c:pt idx="393">
                  <c:v>113.66052099999999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4'!$G$2:$G$395</c:f>
              <c:strCache>
                <c:ptCount val="380"/>
                <c:pt idx="14">
                  <c:v>J</c:v>
                </c:pt>
                <c:pt idx="45">
                  <c:v>A</c:v>
                </c:pt>
                <c:pt idx="76">
                  <c:v>S</c:v>
                </c:pt>
                <c:pt idx="106">
                  <c:v>O</c:v>
                </c:pt>
                <c:pt idx="137">
                  <c:v>N</c:v>
                </c:pt>
                <c:pt idx="167">
                  <c:v>D</c:v>
                </c:pt>
                <c:pt idx="198">
                  <c:v>E</c:v>
                </c:pt>
                <c:pt idx="229">
                  <c:v>F</c:v>
                </c:pt>
                <c:pt idx="257">
                  <c:v>M</c:v>
                </c:pt>
                <c:pt idx="288">
                  <c:v>A</c:v>
                </c:pt>
                <c:pt idx="318">
                  <c:v>M</c:v>
                </c:pt>
                <c:pt idx="349">
                  <c:v>J</c:v>
                </c:pt>
                <c:pt idx="379">
                  <c:v>J</c:v>
                </c:pt>
              </c:strCache>
            </c:strRef>
          </c:cat>
          <c:val>
            <c:numRef>
              <c:f>'Data 4'!$H$2:$H$395</c:f>
              <c:numCache>
                <c:formatCode>0.0</c:formatCode>
                <c:ptCount val="3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J</c:v>
                </c:pt>
                <c:pt idx="45">
                  <c:v>A</c:v>
                </c:pt>
                <c:pt idx="76">
                  <c:v>S</c:v>
                </c:pt>
                <c:pt idx="106">
                  <c:v>O</c:v>
                </c:pt>
                <c:pt idx="137">
                  <c:v>N</c:v>
                </c:pt>
                <c:pt idx="167">
                  <c:v>D</c:v>
                </c:pt>
                <c:pt idx="198">
                  <c:v>E</c:v>
                </c:pt>
                <c:pt idx="229">
                  <c:v>F</c:v>
                </c:pt>
                <c:pt idx="257">
                  <c:v>M</c:v>
                </c:pt>
                <c:pt idx="288">
                  <c:v>A</c:v>
                </c:pt>
                <c:pt idx="318">
                  <c:v>M</c:v>
                </c:pt>
                <c:pt idx="349">
                  <c:v>J</c:v>
                </c:pt>
                <c:pt idx="379">
                  <c:v>J</c:v>
                </c:pt>
              </c:strCache>
            </c:strRef>
          </c:cat>
          <c:val>
            <c:numRef>
              <c:f>Dat_02!$C$3:$C$397</c:f>
              <c:numCache>
                <c:formatCode>#,##0.0</c:formatCode>
                <c:ptCount val="395"/>
                <c:pt idx="0">
                  <c:v>44.62471131430425</c:v>
                </c:pt>
                <c:pt idx="1">
                  <c:v>42.429424178304252</c:v>
                </c:pt>
                <c:pt idx="2">
                  <c:v>38.563100278302386</c:v>
                </c:pt>
                <c:pt idx="3">
                  <c:v>4.5934732943023917</c:v>
                </c:pt>
                <c:pt idx="4">
                  <c:v>37.484665742304266</c:v>
                </c:pt>
                <c:pt idx="5">
                  <c:v>40.497175394304257</c:v>
                </c:pt>
                <c:pt idx="6">
                  <c:v>37.492404876303219</c:v>
                </c:pt>
                <c:pt idx="7">
                  <c:v>25.250259888306942</c:v>
                </c:pt>
                <c:pt idx="8">
                  <c:v>24.846315244305078</c:v>
                </c:pt>
                <c:pt idx="9">
                  <c:v>24.875425528305072</c:v>
                </c:pt>
                <c:pt idx="10">
                  <c:v>24.555974760305077</c:v>
                </c:pt>
                <c:pt idx="11">
                  <c:v>14.567424316305084</c:v>
                </c:pt>
                <c:pt idx="12">
                  <c:v>17.458720352305086</c:v>
                </c:pt>
                <c:pt idx="13">
                  <c:v>3.2801613586414167</c:v>
                </c:pt>
                <c:pt idx="14">
                  <c:v>3.7021285986414152</c:v>
                </c:pt>
                <c:pt idx="15">
                  <c:v>3.4328874426414258</c:v>
                </c:pt>
                <c:pt idx="16">
                  <c:v>6.1905694026414126</c:v>
                </c:pt>
                <c:pt idx="17">
                  <c:v>2.9161338986432819</c:v>
                </c:pt>
                <c:pt idx="18">
                  <c:v>3.8112047226414143</c:v>
                </c:pt>
                <c:pt idx="19">
                  <c:v>0.74533419064328332</c:v>
                </c:pt>
                <c:pt idx="20">
                  <c:v>19.407550297499554</c:v>
                </c:pt>
                <c:pt idx="21">
                  <c:v>16.555754301501416</c:v>
                </c:pt>
                <c:pt idx="22">
                  <c:v>13.259645153499557</c:v>
                </c:pt>
                <c:pt idx="23">
                  <c:v>11.605605877501418</c:v>
                </c:pt>
                <c:pt idx="24">
                  <c:v>7.0987854214995529</c:v>
                </c:pt>
                <c:pt idx="25">
                  <c:v>10.141006933501419</c:v>
                </c:pt>
                <c:pt idx="26">
                  <c:v>9.3542710974995575</c:v>
                </c:pt>
                <c:pt idx="27">
                  <c:v>6.3809409010995806</c:v>
                </c:pt>
                <c:pt idx="28">
                  <c:v>18.61382452909772</c:v>
                </c:pt>
                <c:pt idx="29">
                  <c:v>20.12006257709772</c:v>
                </c:pt>
                <c:pt idx="30">
                  <c:v>1.8893583750977123</c:v>
                </c:pt>
                <c:pt idx="31">
                  <c:v>4.5655955870995752</c:v>
                </c:pt>
                <c:pt idx="32">
                  <c:v>24.369447137101439</c:v>
                </c:pt>
                <c:pt idx="33">
                  <c:v>22.849233373095849</c:v>
                </c:pt>
                <c:pt idx="34">
                  <c:v>20.851566048340771</c:v>
                </c:pt>
                <c:pt idx="35">
                  <c:v>20.527216116342636</c:v>
                </c:pt>
                <c:pt idx="36">
                  <c:v>8.4270759103407684</c:v>
                </c:pt>
                <c:pt idx="37">
                  <c:v>3.1181593463426327</c:v>
                </c:pt>
                <c:pt idx="38">
                  <c:v>0.97960024234076992</c:v>
                </c:pt>
                <c:pt idx="39">
                  <c:v>14.443968728340769</c:v>
                </c:pt>
                <c:pt idx="40">
                  <c:v>12.368461616340777</c:v>
                </c:pt>
                <c:pt idx="41">
                  <c:v>12.890011353729017</c:v>
                </c:pt>
                <c:pt idx="42">
                  <c:v>11.795801197727153</c:v>
                </c:pt>
                <c:pt idx="43">
                  <c:v>10.709613341727149</c:v>
                </c:pt>
                <c:pt idx="44">
                  <c:v>8.390193413727145</c:v>
                </c:pt>
                <c:pt idx="45">
                  <c:v>3.8323451297280844</c:v>
                </c:pt>
                <c:pt idx="46">
                  <c:v>1.5208754617262239</c:v>
                </c:pt>
                <c:pt idx="47">
                  <c:v>1.6454641217280805</c:v>
                </c:pt>
                <c:pt idx="48">
                  <c:v>1.1239345109318819</c:v>
                </c:pt>
                <c:pt idx="49">
                  <c:v>12.31830282093188</c:v>
                </c:pt>
                <c:pt idx="50">
                  <c:v>10.13184883293188</c:v>
                </c:pt>
                <c:pt idx="51">
                  <c:v>3.855074796932815</c:v>
                </c:pt>
                <c:pt idx="52">
                  <c:v>0.51473324493095429</c:v>
                </c:pt>
                <c:pt idx="53">
                  <c:v>1.0608810569318812</c:v>
                </c:pt>
                <c:pt idx="54">
                  <c:v>0.95651898293281556</c:v>
                </c:pt>
                <c:pt idx="55">
                  <c:v>7.1533921176681394</c:v>
                </c:pt>
                <c:pt idx="56">
                  <c:v>9.1958073616690665</c:v>
                </c:pt>
                <c:pt idx="57">
                  <c:v>4.1350082336709315</c:v>
                </c:pt>
                <c:pt idx="58">
                  <c:v>0.77185449366814285</c:v>
                </c:pt>
                <c:pt idx="59">
                  <c:v>1.0640044536700006</c:v>
                </c:pt>
                <c:pt idx="60">
                  <c:v>10.140573249667206</c:v>
                </c:pt>
                <c:pt idx="61">
                  <c:v>13.94423220567093</c:v>
                </c:pt>
                <c:pt idx="62">
                  <c:v>24.232942552924062</c:v>
                </c:pt>
                <c:pt idx="63">
                  <c:v>23.923948540925927</c:v>
                </c:pt>
                <c:pt idx="64">
                  <c:v>22.820461948923132</c:v>
                </c:pt>
                <c:pt idx="65">
                  <c:v>16.785473316926858</c:v>
                </c:pt>
                <c:pt idx="66">
                  <c:v>10.244637292924068</c:v>
                </c:pt>
                <c:pt idx="67">
                  <c:v>15.825120408925926</c:v>
                </c:pt>
                <c:pt idx="68">
                  <c:v>6.2947448249249938</c:v>
                </c:pt>
                <c:pt idx="69">
                  <c:v>20.115420491951163</c:v>
                </c:pt>
                <c:pt idx="70">
                  <c:v>20.943244847952091</c:v>
                </c:pt>
                <c:pt idx="71">
                  <c:v>20.22736524795209</c:v>
                </c:pt>
                <c:pt idx="72">
                  <c:v>15.135667991953021</c:v>
                </c:pt>
                <c:pt idx="73">
                  <c:v>20.061154527952095</c:v>
                </c:pt>
                <c:pt idx="74">
                  <c:v>12.823799795953025</c:v>
                </c:pt>
                <c:pt idx="75">
                  <c:v>25.974186331951163</c:v>
                </c:pt>
                <c:pt idx="76">
                  <c:v>38.31835680787313</c:v>
                </c:pt>
                <c:pt idx="77">
                  <c:v>21.487675855873132</c:v>
                </c:pt>
                <c:pt idx="78">
                  <c:v>16.394569441872203</c:v>
                </c:pt>
                <c:pt idx="79">
                  <c:v>11.821708425872202</c:v>
                </c:pt>
                <c:pt idx="80">
                  <c:v>11.033212529874065</c:v>
                </c:pt>
                <c:pt idx="81">
                  <c:v>12.408188627872201</c:v>
                </c:pt>
                <c:pt idx="82">
                  <c:v>11.887315421872204</c:v>
                </c:pt>
                <c:pt idx="83">
                  <c:v>24.565719547283638</c:v>
                </c:pt>
                <c:pt idx="84">
                  <c:v>18.78037494927991</c:v>
                </c:pt>
                <c:pt idx="85">
                  <c:v>28.647999827281776</c:v>
                </c:pt>
                <c:pt idx="86">
                  <c:v>21.776072683282706</c:v>
                </c:pt>
                <c:pt idx="87">
                  <c:v>15.501655585280846</c:v>
                </c:pt>
                <c:pt idx="88">
                  <c:v>22.111520435282706</c:v>
                </c:pt>
                <c:pt idx="89">
                  <c:v>31.315857271280844</c:v>
                </c:pt>
                <c:pt idx="90">
                  <c:v>21.160280351840992</c:v>
                </c:pt>
                <c:pt idx="91">
                  <c:v>20.742861095840059</c:v>
                </c:pt>
                <c:pt idx="92">
                  <c:v>26.522195107839128</c:v>
                </c:pt>
                <c:pt idx="93">
                  <c:v>11.450506385840995</c:v>
                </c:pt>
                <c:pt idx="94">
                  <c:v>7.0336940938400625</c:v>
                </c:pt>
                <c:pt idx="95">
                  <c:v>20.078182471840059</c:v>
                </c:pt>
                <c:pt idx="96">
                  <c:v>20.407965117839129</c:v>
                </c:pt>
                <c:pt idx="97">
                  <c:v>34.537367477795087</c:v>
                </c:pt>
                <c:pt idx="98">
                  <c:v>32.421314555796023</c:v>
                </c:pt>
                <c:pt idx="99">
                  <c:v>28.830218095796024</c:v>
                </c:pt>
                <c:pt idx="100">
                  <c:v>26.074201315795086</c:v>
                </c:pt>
                <c:pt idx="101">
                  <c:v>14.97372190579509</c:v>
                </c:pt>
                <c:pt idx="102">
                  <c:v>18.989537715795091</c:v>
                </c:pt>
                <c:pt idx="103">
                  <c:v>16.810403215795091</c:v>
                </c:pt>
                <c:pt idx="104">
                  <c:v>9.6915650946646714</c:v>
                </c:pt>
                <c:pt idx="105">
                  <c:v>21.102004324664666</c:v>
                </c:pt>
                <c:pt idx="106">
                  <c:v>22.793578934664669</c:v>
                </c:pt>
                <c:pt idx="107">
                  <c:v>22.891749824663741</c:v>
                </c:pt>
                <c:pt idx="108">
                  <c:v>20.531404104664666</c:v>
                </c:pt>
                <c:pt idx="109">
                  <c:v>20.055615194663741</c:v>
                </c:pt>
                <c:pt idx="110">
                  <c:v>13.659925614663738</c:v>
                </c:pt>
                <c:pt idx="111">
                  <c:v>15.363624254522176</c:v>
                </c:pt>
                <c:pt idx="112">
                  <c:v>22.04892331452125</c:v>
                </c:pt>
                <c:pt idx="113">
                  <c:v>15.953329024523107</c:v>
                </c:pt>
                <c:pt idx="114">
                  <c:v>16.079614874521244</c:v>
                </c:pt>
                <c:pt idx="115">
                  <c:v>16.836174644522178</c:v>
                </c:pt>
                <c:pt idx="116">
                  <c:v>28.025825204521244</c:v>
                </c:pt>
                <c:pt idx="117">
                  <c:v>20.552402704523111</c:v>
                </c:pt>
                <c:pt idx="118">
                  <c:v>38.627298912769433</c:v>
                </c:pt>
                <c:pt idx="119">
                  <c:v>29.895004102771292</c:v>
                </c:pt>
                <c:pt idx="120">
                  <c:v>25.749818082769426</c:v>
                </c:pt>
                <c:pt idx="121">
                  <c:v>27.030004642770361</c:v>
                </c:pt>
                <c:pt idx="122">
                  <c:v>14.640549322768496</c:v>
                </c:pt>
                <c:pt idx="123">
                  <c:v>22.313917842770358</c:v>
                </c:pt>
                <c:pt idx="124">
                  <c:v>28.912959306771292</c:v>
                </c:pt>
                <c:pt idx="125">
                  <c:v>55.970923198660778</c:v>
                </c:pt>
                <c:pt idx="126">
                  <c:v>53.446203498659841</c:v>
                </c:pt>
                <c:pt idx="127">
                  <c:v>54.771741696662637</c:v>
                </c:pt>
                <c:pt idx="128">
                  <c:v>51.570235068661717</c:v>
                </c:pt>
                <c:pt idx="129">
                  <c:v>44.703382378660784</c:v>
                </c:pt>
                <c:pt idx="130">
                  <c:v>58.176928336660779</c:v>
                </c:pt>
                <c:pt idx="131">
                  <c:v>60.36964599866171</c:v>
                </c:pt>
                <c:pt idx="132">
                  <c:v>40.97435282420534</c:v>
                </c:pt>
                <c:pt idx="133">
                  <c:v>42.417581774205345</c:v>
                </c:pt>
                <c:pt idx="134">
                  <c:v>41.176484884206282</c:v>
                </c:pt>
                <c:pt idx="135">
                  <c:v>23.390989284206277</c:v>
                </c:pt>
                <c:pt idx="136">
                  <c:v>24.434203184204414</c:v>
                </c:pt>
                <c:pt idx="137">
                  <c:v>34.052250696206279</c:v>
                </c:pt>
                <c:pt idx="138">
                  <c:v>28.129850584206277</c:v>
                </c:pt>
                <c:pt idx="139">
                  <c:v>16.031524459577522</c:v>
                </c:pt>
                <c:pt idx="140">
                  <c:v>19.834301079575656</c:v>
                </c:pt>
                <c:pt idx="141">
                  <c:v>29.031869949575658</c:v>
                </c:pt>
                <c:pt idx="142">
                  <c:v>25.204199631577517</c:v>
                </c:pt>
                <c:pt idx="143">
                  <c:v>27.474410815575656</c:v>
                </c:pt>
                <c:pt idx="144">
                  <c:v>27.98157283157752</c:v>
                </c:pt>
                <c:pt idx="145">
                  <c:v>26.741202983576585</c:v>
                </c:pt>
                <c:pt idx="146">
                  <c:v>45.54969271737734</c:v>
                </c:pt>
                <c:pt idx="147">
                  <c:v>47.647484435378267</c:v>
                </c:pt>
                <c:pt idx="148">
                  <c:v>47.625536095378266</c:v>
                </c:pt>
                <c:pt idx="149">
                  <c:v>51.534761423378264</c:v>
                </c:pt>
                <c:pt idx="150">
                  <c:v>44.432550211378263</c:v>
                </c:pt>
                <c:pt idx="151">
                  <c:v>53.96349179537733</c:v>
                </c:pt>
                <c:pt idx="152">
                  <c:v>68.858192995378261</c:v>
                </c:pt>
                <c:pt idx="153">
                  <c:v>67.914082788547205</c:v>
                </c:pt>
                <c:pt idx="154">
                  <c:v>67.634317772550943</c:v>
                </c:pt>
                <c:pt idx="155">
                  <c:v>79.771890052547207</c:v>
                </c:pt>
                <c:pt idx="156">
                  <c:v>73.835649612549076</c:v>
                </c:pt>
                <c:pt idx="157">
                  <c:v>67.854101322548146</c:v>
                </c:pt>
                <c:pt idx="158">
                  <c:v>75.36825752454908</c:v>
                </c:pt>
                <c:pt idx="159">
                  <c:v>75.19998157054907</c:v>
                </c:pt>
                <c:pt idx="160">
                  <c:v>134.12053199479683</c:v>
                </c:pt>
                <c:pt idx="161">
                  <c:v>149.83404116679773</c:v>
                </c:pt>
                <c:pt idx="162">
                  <c:v>150.75707037479683</c:v>
                </c:pt>
                <c:pt idx="163">
                  <c:v>155.9076950487987</c:v>
                </c:pt>
                <c:pt idx="164">
                  <c:v>165.94317509679775</c:v>
                </c:pt>
                <c:pt idx="165">
                  <c:v>168.94623704479682</c:v>
                </c:pt>
                <c:pt idx="166">
                  <c:v>163.42586551079776</c:v>
                </c:pt>
                <c:pt idx="167">
                  <c:v>99.20214076305858</c:v>
                </c:pt>
                <c:pt idx="168">
                  <c:v>94.316234811056717</c:v>
                </c:pt>
                <c:pt idx="169">
                  <c:v>100.71085091105765</c:v>
                </c:pt>
                <c:pt idx="170">
                  <c:v>107.73071106705764</c:v>
                </c:pt>
                <c:pt idx="171">
                  <c:v>94.236187843058573</c:v>
                </c:pt>
                <c:pt idx="172">
                  <c:v>108.97748723105857</c:v>
                </c:pt>
                <c:pt idx="173">
                  <c:v>115.96634227105858</c:v>
                </c:pt>
                <c:pt idx="174">
                  <c:v>109.5801564097107</c:v>
                </c:pt>
                <c:pt idx="175">
                  <c:v>100.54819594570883</c:v>
                </c:pt>
                <c:pt idx="176">
                  <c:v>73.15339101971162</c:v>
                </c:pt>
                <c:pt idx="177">
                  <c:v>62.947384397708817</c:v>
                </c:pt>
                <c:pt idx="178">
                  <c:v>66.909976297710685</c:v>
                </c:pt>
                <c:pt idx="179">
                  <c:v>70.186913739709752</c:v>
                </c:pt>
                <c:pt idx="180">
                  <c:v>74.018275097710671</c:v>
                </c:pt>
                <c:pt idx="181">
                  <c:v>126.29973371740441</c:v>
                </c:pt>
                <c:pt idx="182">
                  <c:v>127.2610685074044</c:v>
                </c:pt>
                <c:pt idx="183">
                  <c:v>118.3931635174044</c:v>
                </c:pt>
                <c:pt idx="184">
                  <c:v>102.17540151940534</c:v>
                </c:pt>
                <c:pt idx="185">
                  <c:v>104.62349681740534</c:v>
                </c:pt>
                <c:pt idx="186">
                  <c:v>105.21932554740441</c:v>
                </c:pt>
                <c:pt idx="187">
                  <c:v>103.55801551140441</c:v>
                </c:pt>
                <c:pt idx="188">
                  <c:v>91.987723495153446</c:v>
                </c:pt>
                <c:pt idx="189">
                  <c:v>95.198739353151581</c:v>
                </c:pt>
                <c:pt idx="190">
                  <c:v>95.836925759152507</c:v>
                </c:pt>
                <c:pt idx="191">
                  <c:v>90.269487789151583</c:v>
                </c:pt>
                <c:pt idx="192">
                  <c:v>82.673086073152518</c:v>
                </c:pt>
                <c:pt idx="193">
                  <c:v>105.36310315515158</c:v>
                </c:pt>
                <c:pt idx="194">
                  <c:v>106.01807528715251</c:v>
                </c:pt>
                <c:pt idx="195">
                  <c:v>80.883930473632347</c:v>
                </c:pt>
                <c:pt idx="196">
                  <c:v>108.53032502363422</c:v>
                </c:pt>
                <c:pt idx="197">
                  <c:v>109.9746273136342</c:v>
                </c:pt>
                <c:pt idx="198">
                  <c:v>107.25943700363328</c:v>
                </c:pt>
                <c:pt idx="199">
                  <c:v>93.148619171634209</c:v>
                </c:pt>
                <c:pt idx="200">
                  <c:v>101.72879704363422</c:v>
                </c:pt>
                <c:pt idx="201">
                  <c:v>103.87119560363328</c:v>
                </c:pt>
                <c:pt idx="202">
                  <c:v>67.409800574516936</c:v>
                </c:pt>
                <c:pt idx="203">
                  <c:v>56.526716274517867</c:v>
                </c:pt>
                <c:pt idx="204">
                  <c:v>43.579174246515997</c:v>
                </c:pt>
                <c:pt idx="205">
                  <c:v>41.629165836516933</c:v>
                </c:pt>
                <c:pt idx="206">
                  <c:v>53.975750974516927</c:v>
                </c:pt>
                <c:pt idx="207">
                  <c:v>79.832427634515071</c:v>
                </c:pt>
                <c:pt idx="208">
                  <c:v>60.620104462519727</c:v>
                </c:pt>
                <c:pt idx="209">
                  <c:v>57.039959710062163</c:v>
                </c:pt>
                <c:pt idx="210">
                  <c:v>40.904587002061234</c:v>
                </c:pt>
                <c:pt idx="211">
                  <c:v>30.755261530062167</c:v>
                </c:pt>
                <c:pt idx="212">
                  <c:v>30.089815514064963</c:v>
                </c:pt>
                <c:pt idx="213">
                  <c:v>28.242457818062167</c:v>
                </c:pt>
                <c:pt idx="214">
                  <c:v>26.349692656061233</c:v>
                </c:pt>
                <c:pt idx="215">
                  <c:v>21.487646220064963</c:v>
                </c:pt>
                <c:pt idx="216">
                  <c:v>41.651559683846571</c:v>
                </c:pt>
                <c:pt idx="217">
                  <c:v>40.250095097848437</c:v>
                </c:pt>
                <c:pt idx="218">
                  <c:v>39.671995491848435</c:v>
                </c:pt>
                <c:pt idx="219">
                  <c:v>23.922625091847504</c:v>
                </c:pt>
                <c:pt idx="220">
                  <c:v>28.187521431847504</c:v>
                </c:pt>
                <c:pt idx="221">
                  <c:v>29.725018323848438</c:v>
                </c:pt>
                <c:pt idx="222">
                  <c:v>30.513595177848437</c:v>
                </c:pt>
                <c:pt idx="223">
                  <c:v>35.111333372648339</c:v>
                </c:pt>
                <c:pt idx="224">
                  <c:v>42.777986102650196</c:v>
                </c:pt>
                <c:pt idx="225">
                  <c:v>47.478293512649266</c:v>
                </c:pt>
                <c:pt idx="226">
                  <c:v>37.158866846651129</c:v>
                </c:pt>
                <c:pt idx="227">
                  <c:v>19.881522136649266</c:v>
                </c:pt>
                <c:pt idx="228">
                  <c:v>27.611176538649271</c:v>
                </c:pt>
                <c:pt idx="229">
                  <c:v>34.258890400651133</c:v>
                </c:pt>
                <c:pt idx="230">
                  <c:v>28.749563519336924</c:v>
                </c:pt>
                <c:pt idx="231">
                  <c:v>43.197240531335062</c:v>
                </c:pt>
                <c:pt idx="232">
                  <c:v>47.718475881335998</c:v>
                </c:pt>
                <c:pt idx="233">
                  <c:v>33.988274225336923</c:v>
                </c:pt>
                <c:pt idx="234">
                  <c:v>39.823815895335997</c:v>
                </c:pt>
                <c:pt idx="235">
                  <c:v>41.68908106933786</c:v>
                </c:pt>
                <c:pt idx="236">
                  <c:v>42.155632395335061</c:v>
                </c:pt>
                <c:pt idx="237">
                  <c:v>31.339652456992443</c:v>
                </c:pt>
                <c:pt idx="238">
                  <c:v>36.859241576992439</c:v>
                </c:pt>
                <c:pt idx="239">
                  <c:v>31.293420378992444</c:v>
                </c:pt>
                <c:pt idx="240">
                  <c:v>32.225518250991513</c:v>
                </c:pt>
                <c:pt idx="241">
                  <c:v>31.636667194992441</c:v>
                </c:pt>
                <c:pt idx="242">
                  <c:v>24.663975052992441</c:v>
                </c:pt>
                <c:pt idx="243">
                  <c:v>31.211716412993372</c:v>
                </c:pt>
                <c:pt idx="244">
                  <c:v>40.57303017967331</c:v>
                </c:pt>
                <c:pt idx="245">
                  <c:v>49.097572419673313</c:v>
                </c:pt>
                <c:pt idx="246">
                  <c:v>39.132082935674248</c:v>
                </c:pt>
                <c:pt idx="247">
                  <c:v>48.696892543674245</c:v>
                </c:pt>
                <c:pt idx="248">
                  <c:v>45.562907035673312</c:v>
                </c:pt>
                <c:pt idx="249">
                  <c:v>60.436224323673322</c:v>
                </c:pt>
                <c:pt idx="250">
                  <c:v>36.773538775673316</c:v>
                </c:pt>
                <c:pt idx="251">
                  <c:v>62.022237105205562</c:v>
                </c:pt>
                <c:pt idx="252">
                  <c:v>54.58580692720556</c:v>
                </c:pt>
                <c:pt idx="253">
                  <c:v>60.39870195520556</c:v>
                </c:pt>
                <c:pt idx="254">
                  <c:v>58.957142285206494</c:v>
                </c:pt>
                <c:pt idx="255">
                  <c:v>60.333727731206494</c:v>
                </c:pt>
                <c:pt idx="256">
                  <c:v>63.452272503205563</c:v>
                </c:pt>
                <c:pt idx="257">
                  <c:v>88.496498825206487</c:v>
                </c:pt>
                <c:pt idx="258">
                  <c:v>105.71589378317859</c:v>
                </c:pt>
                <c:pt idx="259">
                  <c:v>76.264557677176725</c:v>
                </c:pt>
                <c:pt idx="260">
                  <c:v>83.562964599177647</c:v>
                </c:pt>
                <c:pt idx="261">
                  <c:v>72.890805351177647</c:v>
                </c:pt>
                <c:pt idx="262">
                  <c:v>63.217655083177654</c:v>
                </c:pt>
                <c:pt idx="263">
                  <c:v>64.287039147177651</c:v>
                </c:pt>
                <c:pt idx="264">
                  <c:v>71.233800761177662</c:v>
                </c:pt>
                <c:pt idx="265">
                  <c:v>96.300871922288962</c:v>
                </c:pt>
                <c:pt idx="266">
                  <c:v>108.53630518828989</c:v>
                </c:pt>
                <c:pt idx="267">
                  <c:v>101.10625637829081</c:v>
                </c:pt>
                <c:pt idx="268">
                  <c:v>96.942868272288962</c:v>
                </c:pt>
                <c:pt idx="269">
                  <c:v>76.312869546289875</c:v>
                </c:pt>
                <c:pt idx="270">
                  <c:v>87.289832582288952</c:v>
                </c:pt>
                <c:pt idx="271">
                  <c:v>99.370696372289885</c:v>
                </c:pt>
                <c:pt idx="272">
                  <c:v>76.106027651458618</c:v>
                </c:pt>
                <c:pt idx="273">
                  <c:v>77.720048207456756</c:v>
                </c:pt>
                <c:pt idx="274">
                  <c:v>78.839873601457683</c:v>
                </c:pt>
                <c:pt idx="275">
                  <c:v>63.046450265456755</c:v>
                </c:pt>
                <c:pt idx="276">
                  <c:v>52.072992857457685</c:v>
                </c:pt>
                <c:pt idx="277">
                  <c:v>70.839746007457691</c:v>
                </c:pt>
                <c:pt idx="278">
                  <c:v>95.355469031456749</c:v>
                </c:pt>
                <c:pt idx="279">
                  <c:v>75.585592753457234</c:v>
                </c:pt>
                <c:pt idx="280">
                  <c:v>55.244623899457231</c:v>
                </c:pt>
                <c:pt idx="281">
                  <c:v>51.797464833460026</c:v>
                </c:pt>
                <c:pt idx="282">
                  <c:v>69.802486067457238</c:v>
                </c:pt>
                <c:pt idx="283">
                  <c:v>39.923223189456301</c:v>
                </c:pt>
                <c:pt idx="284">
                  <c:v>45.800387089458162</c:v>
                </c:pt>
                <c:pt idx="285">
                  <c:v>72.032842325457224</c:v>
                </c:pt>
                <c:pt idx="286">
                  <c:v>95.962773481449176</c:v>
                </c:pt>
                <c:pt idx="287">
                  <c:v>80.326796453449177</c:v>
                </c:pt>
                <c:pt idx="288">
                  <c:v>73.794778233448241</c:v>
                </c:pt>
                <c:pt idx="289">
                  <c:v>64.55082363744917</c:v>
                </c:pt>
                <c:pt idx="290">
                  <c:v>71.875160119449163</c:v>
                </c:pt>
                <c:pt idx="291">
                  <c:v>78.589104269448228</c:v>
                </c:pt>
                <c:pt idx="292">
                  <c:v>82.199800059450112</c:v>
                </c:pt>
                <c:pt idx="293">
                  <c:v>90.743445421669946</c:v>
                </c:pt>
                <c:pt idx="294">
                  <c:v>106.76173008966995</c:v>
                </c:pt>
                <c:pt idx="295">
                  <c:v>109.09790919367089</c:v>
                </c:pt>
                <c:pt idx="296">
                  <c:v>78.608218011670886</c:v>
                </c:pt>
                <c:pt idx="297">
                  <c:v>90.865217781669955</c:v>
                </c:pt>
                <c:pt idx="298">
                  <c:v>100.78672183766902</c:v>
                </c:pt>
                <c:pt idx="299">
                  <c:v>103.82701329367089</c:v>
                </c:pt>
                <c:pt idx="300">
                  <c:v>98.870202420552701</c:v>
                </c:pt>
                <c:pt idx="301">
                  <c:v>113.83576418455084</c:v>
                </c:pt>
                <c:pt idx="302">
                  <c:v>117.61099088055269</c:v>
                </c:pt>
                <c:pt idx="303">
                  <c:v>104.52050493055363</c:v>
                </c:pt>
                <c:pt idx="304">
                  <c:v>82.959294126549906</c:v>
                </c:pt>
                <c:pt idx="305">
                  <c:v>91.021933052553635</c:v>
                </c:pt>
                <c:pt idx="306">
                  <c:v>110.8805439485527</c:v>
                </c:pt>
                <c:pt idx="307">
                  <c:v>107.11517597630744</c:v>
                </c:pt>
                <c:pt idx="308">
                  <c:v>86.649732152306498</c:v>
                </c:pt>
                <c:pt idx="309">
                  <c:v>68.948401436307435</c:v>
                </c:pt>
                <c:pt idx="310">
                  <c:v>72.468294806305579</c:v>
                </c:pt>
                <c:pt idx="311">
                  <c:v>64.690423066308369</c:v>
                </c:pt>
                <c:pt idx="312">
                  <c:v>79.107121340306506</c:v>
                </c:pt>
                <c:pt idx="313">
                  <c:v>83.215861604307449</c:v>
                </c:pt>
                <c:pt idx="314">
                  <c:v>64.301127028005027</c:v>
                </c:pt>
                <c:pt idx="315">
                  <c:v>54.710969084005946</c:v>
                </c:pt>
                <c:pt idx="316">
                  <c:v>61.459500572005027</c:v>
                </c:pt>
                <c:pt idx="317">
                  <c:v>39.984898944004087</c:v>
                </c:pt>
                <c:pt idx="318">
                  <c:v>39.059384080005948</c:v>
                </c:pt>
                <c:pt idx="319">
                  <c:v>49.069294322006876</c:v>
                </c:pt>
                <c:pt idx="320">
                  <c:v>51.632073812005018</c:v>
                </c:pt>
                <c:pt idx="321">
                  <c:v>61.044502312259816</c:v>
                </c:pt>
                <c:pt idx="322">
                  <c:v>65.046981836259818</c:v>
                </c:pt>
                <c:pt idx="323">
                  <c:v>61.973451656260742</c:v>
                </c:pt>
                <c:pt idx="324">
                  <c:v>57.66031306425981</c:v>
                </c:pt>
                <c:pt idx="325">
                  <c:v>52.574491350260743</c:v>
                </c:pt>
                <c:pt idx="326">
                  <c:v>62.651791904259817</c:v>
                </c:pt>
                <c:pt idx="327">
                  <c:v>55.702016632261682</c:v>
                </c:pt>
                <c:pt idx="328">
                  <c:v>37.10577716888654</c:v>
                </c:pt>
                <c:pt idx="329">
                  <c:v>32.7984575448884</c:v>
                </c:pt>
                <c:pt idx="330">
                  <c:v>34.793228270888399</c:v>
                </c:pt>
                <c:pt idx="331">
                  <c:v>41.2591363828884</c:v>
                </c:pt>
                <c:pt idx="332">
                  <c:v>28.227946492888396</c:v>
                </c:pt>
                <c:pt idx="333">
                  <c:v>38.312418940888399</c:v>
                </c:pt>
                <c:pt idx="334">
                  <c:v>48.322491006887468</c:v>
                </c:pt>
                <c:pt idx="335">
                  <c:v>41.123223929528258</c:v>
                </c:pt>
                <c:pt idx="336">
                  <c:v>52.456698009527322</c:v>
                </c:pt>
                <c:pt idx="337">
                  <c:v>46.022433545527328</c:v>
                </c:pt>
                <c:pt idx="338">
                  <c:v>32.122847235526393</c:v>
                </c:pt>
                <c:pt idx="339">
                  <c:v>24.04601276152826</c:v>
                </c:pt>
                <c:pt idx="340">
                  <c:v>30.42039194552919</c:v>
                </c:pt>
                <c:pt idx="341">
                  <c:v>29.281747123526394</c:v>
                </c:pt>
                <c:pt idx="342">
                  <c:v>22.808710077752295</c:v>
                </c:pt>
                <c:pt idx="343">
                  <c:v>25.381636507752294</c:v>
                </c:pt>
                <c:pt idx="344">
                  <c:v>30.097485453753222</c:v>
                </c:pt>
                <c:pt idx="345">
                  <c:v>26.399948901751362</c:v>
                </c:pt>
                <c:pt idx="346">
                  <c:v>19.313892079751355</c:v>
                </c:pt>
                <c:pt idx="347">
                  <c:v>46.131497131753228</c:v>
                </c:pt>
                <c:pt idx="348">
                  <c:v>42.376979761752295</c:v>
                </c:pt>
                <c:pt idx="349">
                  <c:v>29.866455020219043</c:v>
                </c:pt>
                <c:pt idx="350">
                  <c:v>3.6858126262199731</c:v>
                </c:pt>
                <c:pt idx="351">
                  <c:v>4.2177814382199683</c:v>
                </c:pt>
                <c:pt idx="352">
                  <c:v>5.5702210842199715</c:v>
                </c:pt>
                <c:pt idx="353">
                  <c:v>5.4717802962209028</c:v>
                </c:pt>
                <c:pt idx="354">
                  <c:v>4.6292638182190418</c:v>
                </c:pt>
                <c:pt idx="355">
                  <c:v>7.8382079562199722</c:v>
                </c:pt>
                <c:pt idx="356">
                  <c:v>19.542001010242529</c:v>
                </c:pt>
                <c:pt idx="357">
                  <c:v>11.83257413824346</c:v>
                </c:pt>
                <c:pt idx="358">
                  <c:v>13.604441506245326</c:v>
                </c:pt>
                <c:pt idx="359">
                  <c:v>14.067334344244395</c:v>
                </c:pt>
                <c:pt idx="360">
                  <c:v>14.775482156243463</c:v>
                </c:pt>
                <c:pt idx="361">
                  <c:v>16.261251046242531</c:v>
                </c:pt>
                <c:pt idx="362">
                  <c:v>21.935580164243461</c:v>
                </c:pt>
                <c:pt idx="363">
                  <c:v>9.1596987699111931</c:v>
                </c:pt>
                <c:pt idx="364">
                  <c:v>13.891888505911192</c:v>
                </c:pt>
                <c:pt idx="365">
                  <c:v>18.251279493911191</c:v>
                </c:pt>
                <c:pt idx="366">
                  <c:v>13.30726302791026</c:v>
                </c:pt>
                <c:pt idx="367">
                  <c:v>10.85917095791026</c:v>
                </c:pt>
                <c:pt idx="368">
                  <c:v>12.598542783910263</c:v>
                </c:pt>
                <c:pt idx="369">
                  <c:v>9.8952008619102596</c:v>
                </c:pt>
                <c:pt idx="370">
                  <c:v>11.241820423679</c:v>
                </c:pt>
                <c:pt idx="371">
                  <c:v>8.9794350036817967</c:v>
                </c:pt>
                <c:pt idx="372">
                  <c:v>9.724760133679931</c:v>
                </c:pt>
                <c:pt idx="373">
                  <c:v>10.570958937678999</c:v>
                </c:pt>
                <c:pt idx="374">
                  <c:v>6.7936013716790002</c:v>
                </c:pt>
                <c:pt idx="375">
                  <c:v>6.1090904676808639</c:v>
                </c:pt>
                <c:pt idx="376">
                  <c:v>11.517142063679</c:v>
                </c:pt>
                <c:pt idx="377">
                  <c:v>4.7365951573210552</c:v>
                </c:pt>
                <c:pt idx="378">
                  <c:v>4.4466675373191977</c:v>
                </c:pt>
                <c:pt idx="379">
                  <c:v>3.4484459653201265</c:v>
                </c:pt>
                <c:pt idx="380">
                  <c:v>2.2119180733191932</c:v>
                </c:pt>
                <c:pt idx="381">
                  <c:v>4.3806667053201274</c:v>
                </c:pt>
                <c:pt idx="382">
                  <c:v>2.7063242153210596</c:v>
                </c:pt>
                <c:pt idx="383">
                  <c:v>8.1026848313191948</c:v>
                </c:pt>
                <c:pt idx="384">
                  <c:v>7.0364355158213581</c:v>
                </c:pt>
                <c:pt idx="385">
                  <c:v>2.2514252478222878</c:v>
                </c:pt>
                <c:pt idx="386">
                  <c:v>9.5429019778213551</c:v>
                </c:pt>
                <c:pt idx="387">
                  <c:v>1.8340053678213553</c:v>
                </c:pt>
                <c:pt idx="388">
                  <c:v>6.3163635378232215</c:v>
                </c:pt>
                <c:pt idx="389">
                  <c:v>2.608429777821355</c:v>
                </c:pt>
                <c:pt idx="390">
                  <c:v>2.9616896878222905</c:v>
                </c:pt>
                <c:pt idx="391">
                  <c:v>1.8403673500869917</c:v>
                </c:pt>
                <c:pt idx="392">
                  <c:v>3.9601499940860667</c:v>
                </c:pt>
                <c:pt idx="393">
                  <c:v>4.9799810000860667</c:v>
                </c:pt>
                <c:pt idx="394">
                  <c:v>3.3192366360860652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J</c:v>
                </c:pt>
                <c:pt idx="45">
                  <c:v>A</c:v>
                </c:pt>
                <c:pt idx="76">
                  <c:v>S</c:v>
                </c:pt>
                <c:pt idx="106">
                  <c:v>O</c:v>
                </c:pt>
                <c:pt idx="137">
                  <c:v>N</c:v>
                </c:pt>
                <c:pt idx="167">
                  <c:v>D</c:v>
                </c:pt>
                <c:pt idx="198">
                  <c:v>E</c:v>
                </c:pt>
                <c:pt idx="229">
                  <c:v>F</c:v>
                </c:pt>
                <c:pt idx="257">
                  <c:v>M</c:v>
                </c:pt>
                <c:pt idx="288">
                  <c:v>A</c:v>
                </c:pt>
                <c:pt idx="318">
                  <c:v>M</c:v>
                </c:pt>
                <c:pt idx="349">
                  <c:v>J</c:v>
                </c:pt>
                <c:pt idx="379">
                  <c:v>J</c:v>
                </c:pt>
              </c:strCache>
            </c:strRef>
          </c:cat>
          <c:val>
            <c:numRef>
              <c:f>Dat_02!$D$3:$D$397</c:f>
              <c:numCache>
                <c:formatCode>#,##0.0</c:formatCode>
                <c:ptCount val="395"/>
                <c:pt idx="0">
                  <c:v>28.26541708637771</c:v>
                </c:pt>
                <c:pt idx="1">
                  <c:v>28.26541708637771</c:v>
                </c:pt>
                <c:pt idx="2">
                  <c:v>28.26541708637771</c:v>
                </c:pt>
                <c:pt idx="3">
                  <c:v>28.26541708637771</c:v>
                </c:pt>
                <c:pt idx="4">
                  <c:v>28.26541708637771</c:v>
                </c:pt>
                <c:pt idx="5">
                  <c:v>28.26541708637771</c:v>
                </c:pt>
                <c:pt idx="6">
                  <c:v>28.26541708637771</c:v>
                </c:pt>
                <c:pt idx="7">
                  <c:v>28.26541708637771</c:v>
                </c:pt>
                <c:pt idx="8">
                  <c:v>28.26541708637771</c:v>
                </c:pt>
                <c:pt idx="9">
                  <c:v>28.26541708637771</c:v>
                </c:pt>
                <c:pt idx="10">
                  <c:v>28.26541708637771</c:v>
                </c:pt>
                <c:pt idx="11">
                  <c:v>28.26541708637771</c:v>
                </c:pt>
                <c:pt idx="12">
                  <c:v>28.26541708637771</c:v>
                </c:pt>
                <c:pt idx="13">
                  <c:v>28.26541708637771</c:v>
                </c:pt>
                <c:pt idx="14">
                  <c:v>28.26541708637771</c:v>
                </c:pt>
                <c:pt idx="15">
                  <c:v>28.26541708637771</c:v>
                </c:pt>
                <c:pt idx="16">
                  <c:v>28.26541708637771</c:v>
                </c:pt>
                <c:pt idx="17">
                  <c:v>28.26541708637771</c:v>
                </c:pt>
                <c:pt idx="18">
                  <c:v>28.26541708637771</c:v>
                </c:pt>
                <c:pt idx="19">
                  <c:v>28.26541708637771</c:v>
                </c:pt>
                <c:pt idx="20">
                  <c:v>28.26541708637771</c:v>
                </c:pt>
                <c:pt idx="21">
                  <c:v>28.26541708637771</c:v>
                </c:pt>
                <c:pt idx="22">
                  <c:v>28.26541708637771</c:v>
                </c:pt>
                <c:pt idx="23">
                  <c:v>28.26541708637771</c:v>
                </c:pt>
                <c:pt idx="24">
                  <c:v>28.26541708637771</c:v>
                </c:pt>
                <c:pt idx="25">
                  <c:v>28.26541708637771</c:v>
                </c:pt>
                <c:pt idx="26">
                  <c:v>28.26541708637771</c:v>
                </c:pt>
                <c:pt idx="27">
                  <c:v>28.26541708637771</c:v>
                </c:pt>
                <c:pt idx="28">
                  <c:v>28.26541708637771</c:v>
                </c:pt>
                <c:pt idx="29">
                  <c:v>28.26541708637771</c:v>
                </c:pt>
                <c:pt idx="30">
                  <c:v>28.26541708637771</c:v>
                </c:pt>
                <c:pt idx="31">
                  <c:v>17.065966880459293</c:v>
                </c:pt>
                <c:pt idx="32">
                  <c:v>17.065966880459293</c:v>
                </c:pt>
                <c:pt idx="33">
                  <c:v>17.065966880459293</c:v>
                </c:pt>
                <c:pt idx="34">
                  <c:v>17.065966880459293</c:v>
                </c:pt>
                <c:pt idx="35">
                  <c:v>17.065966880459293</c:v>
                </c:pt>
                <c:pt idx="36">
                  <c:v>17.065966880459293</c:v>
                </c:pt>
                <c:pt idx="37">
                  <c:v>17.065966880459293</c:v>
                </c:pt>
                <c:pt idx="38">
                  <c:v>17.065966880459293</c:v>
                </c:pt>
                <c:pt idx="39">
                  <c:v>17.065966880459293</c:v>
                </c:pt>
                <c:pt idx="40">
                  <c:v>17.065966880459293</c:v>
                </c:pt>
                <c:pt idx="41">
                  <c:v>17.065966880459293</c:v>
                </c:pt>
                <c:pt idx="42">
                  <c:v>17.065966880459293</c:v>
                </c:pt>
                <c:pt idx="43">
                  <c:v>17.065966880459293</c:v>
                </c:pt>
                <c:pt idx="44">
                  <c:v>17.065966880459293</c:v>
                </c:pt>
                <c:pt idx="45">
                  <c:v>17.065966880459293</c:v>
                </c:pt>
                <c:pt idx="46">
                  <c:v>17.065966880459293</c:v>
                </c:pt>
                <c:pt idx="47">
                  <c:v>17.065966880459293</c:v>
                </c:pt>
                <c:pt idx="48">
                  <c:v>17.065966880459293</c:v>
                </c:pt>
                <c:pt idx="49">
                  <c:v>17.065966880459293</c:v>
                </c:pt>
                <c:pt idx="50">
                  <c:v>17.065966880459293</c:v>
                </c:pt>
                <c:pt idx="51">
                  <c:v>17.065966880459293</c:v>
                </c:pt>
                <c:pt idx="52">
                  <c:v>17.065966880459293</c:v>
                </c:pt>
                <c:pt idx="53">
                  <c:v>17.065966880459293</c:v>
                </c:pt>
                <c:pt idx="54">
                  <c:v>17.065966880459293</c:v>
                </c:pt>
                <c:pt idx="55">
                  <c:v>17.065966880459293</c:v>
                </c:pt>
                <c:pt idx="56">
                  <c:v>17.065966880459293</c:v>
                </c:pt>
                <c:pt idx="57">
                  <c:v>17.065966880459293</c:v>
                </c:pt>
                <c:pt idx="58">
                  <c:v>17.065966880459293</c:v>
                </c:pt>
                <c:pt idx="59">
                  <c:v>17.065966880459293</c:v>
                </c:pt>
                <c:pt idx="60">
                  <c:v>17.065966880459293</c:v>
                </c:pt>
                <c:pt idx="61">
                  <c:v>17.065966880459293</c:v>
                </c:pt>
                <c:pt idx="62">
                  <c:v>21.014323006984561</c:v>
                </c:pt>
                <c:pt idx="63">
                  <c:v>21.014323006984561</c:v>
                </c:pt>
                <c:pt idx="64">
                  <c:v>21.014323006984561</c:v>
                </c:pt>
                <c:pt idx="65">
                  <c:v>21.014323006984561</c:v>
                </c:pt>
                <c:pt idx="66">
                  <c:v>21.014323006984561</c:v>
                </c:pt>
                <c:pt idx="67">
                  <c:v>21.014323006984561</c:v>
                </c:pt>
                <c:pt idx="68">
                  <c:v>21.014323006984561</c:v>
                </c:pt>
                <c:pt idx="69">
                  <c:v>21.014323006984561</c:v>
                </c:pt>
                <c:pt idx="70">
                  <c:v>21.014323006984561</c:v>
                </c:pt>
                <c:pt idx="71">
                  <c:v>21.014323006984561</c:v>
                </c:pt>
                <c:pt idx="72">
                  <c:v>21.014323006984561</c:v>
                </c:pt>
                <c:pt idx="73">
                  <c:v>21.014323006984561</c:v>
                </c:pt>
                <c:pt idx="74">
                  <c:v>21.014323006984561</c:v>
                </c:pt>
                <c:pt idx="75">
                  <c:v>21.014323006984561</c:v>
                </c:pt>
                <c:pt idx="76">
                  <c:v>21.014323006984561</c:v>
                </c:pt>
                <c:pt idx="77">
                  <c:v>21.014323006984561</c:v>
                </c:pt>
                <c:pt idx="78">
                  <c:v>21.014323006984561</c:v>
                </c:pt>
                <c:pt idx="79">
                  <c:v>21.014323006984561</c:v>
                </c:pt>
                <c:pt idx="80">
                  <c:v>21.014323006984561</c:v>
                </c:pt>
                <c:pt idx="81">
                  <c:v>21.014323006984561</c:v>
                </c:pt>
                <c:pt idx="82">
                  <c:v>21.014323006984561</c:v>
                </c:pt>
                <c:pt idx="83">
                  <c:v>21.014323006984561</c:v>
                </c:pt>
                <c:pt idx="84">
                  <c:v>21.014323006984561</c:v>
                </c:pt>
                <c:pt idx="85">
                  <c:v>21.014323006984561</c:v>
                </c:pt>
                <c:pt idx="86">
                  <c:v>21.014323006984561</c:v>
                </c:pt>
                <c:pt idx="87">
                  <c:v>21.014323006984561</c:v>
                </c:pt>
                <c:pt idx="88">
                  <c:v>21.014323006984561</c:v>
                </c:pt>
                <c:pt idx="89">
                  <c:v>21.014323006984561</c:v>
                </c:pt>
                <c:pt idx="90">
                  <c:v>21.014323006984561</c:v>
                </c:pt>
                <c:pt idx="91">
                  <c:v>21.014323006984561</c:v>
                </c:pt>
                <c:pt idx="92">
                  <c:v>42.895784539321873</c:v>
                </c:pt>
                <c:pt idx="93">
                  <c:v>42.895784539321873</c:v>
                </c:pt>
                <c:pt idx="94">
                  <c:v>42.895784539321873</c:v>
                </c:pt>
                <c:pt idx="95">
                  <c:v>42.895784539321873</c:v>
                </c:pt>
                <c:pt idx="96">
                  <c:v>42.895784539321873</c:v>
                </c:pt>
                <c:pt idx="97">
                  <c:v>42.895784539321873</c:v>
                </c:pt>
                <c:pt idx="98">
                  <c:v>42.895784539321873</c:v>
                </c:pt>
                <c:pt idx="99">
                  <c:v>42.895784539321873</c:v>
                </c:pt>
                <c:pt idx="100">
                  <c:v>42.895784539321873</c:v>
                </c:pt>
                <c:pt idx="101">
                  <c:v>42.895784539321873</c:v>
                </c:pt>
                <c:pt idx="102">
                  <c:v>42.895784539321873</c:v>
                </c:pt>
                <c:pt idx="103">
                  <c:v>42.895784539321873</c:v>
                </c:pt>
                <c:pt idx="104">
                  <c:v>42.895784539321873</c:v>
                </c:pt>
                <c:pt idx="105">
                  <c:v>42.895784539321873</c:v>
                </c:pt>
                <c:pt idx="106">
                  <c:v>42.895784539321873</c:v>
                </c:pt>
                <c:pt idx="107">
                  <c:v>42.895784539321873</c:v>
                </c:pt>
                <c:pt idx="108">
                  <c:v>42.895784539321873</c:v>
                </c:pt>
                <c:pt idx="109">
                  <c:v>42.895784539321873</c:v>
                </c:pt>
                <c:pt idx="110">
                  <c:v>42.895784539321873</c:v>
                </c:pt>
                <c:pt idx="111">
                  <c:v>42.895784539321873</c:v>
                </c:pt>
                <c:pt idx="112">
                  <c:v>42.895784539321873</c:v>
                </c:pt>
                <c:pt idx="113">
                  <c:v>42.895784539321873</c:v>
                </c:pt>
                <c:pt idx="114">
                  <c:v>42.895784539321873</c:v>
                </c:pt>
                <c:pt idx="115">
                  <c:v>42.895784539321873</c:v>
                </c:pt>
                <c:pt idx="116">
                  <c:v>42.895784539321873</c:v>
                </c:pt>
                <c:pt idx="117">
                  <c:v>42.895784539321873</c:v>
                </c:pt>
                <c:pt idx="118">
                  <c:v>42.895784539321873</c:v>
                </c:pt>
                <c:pt idx="119">
                  <c:v>42.895784539321873</c:v>
                </c:pt>
                <c:pt idx="120">
                  <c:v>42.895784539321873</c:v>
                </c:pt>
                <c:pt idx="121">
                  <c:v>42.895784539321873</c:v>
                </c:pt>
                <c:pt idx="122">
                  <c:v>42.895784539321873</c:v>
                </c:pt>
                <c:pt idx="123">
                  <c:v>83.114057360768328</c:v>
                </c:pt>
                <c:pt idx="124">
                  <c:v>83.114057360768328</c:v>
                </c:pt>
                <c:pt idx="125">
                  <c:v>83.114057360768328</c:v>
                </c:pt>
                <c:pt idx="126">
                  <c:v>83.114057360768328</c:v>
                </c:pt>
                <c:pt idx="127">
                  <c:v>83.114057360768328</c:v>
                </c:pt>
                <c:pt idx="128">
                  <c:v>83.114057360768328</c:v>
                </c:pt>
                <c:pt idx="129">
                  <c:v>83.114057360768328</c:v>
                </c:pt>
                <c:pt idx="130">
                  <c:v>83.114057360768328</c:v>
                </c:pt>
                <c:pt idx="131">
                  <c:v>83.114057360768328</c:v>
                </c:pt>
                <c:pt idx="132">
                  <c:v>83.114057360768328</c:v>
                </c:pt>
                <c:pt idx="133">
                  <c:v>83.114057360768328</c:v>
                </c:pt>
                <c:pt idx="134">
                  <c:v>83.114057360768328</c:v>
                </c:pt>
                <c:pt idx="135">
                  <c:v>83.114057360768328</c:v>
                </c:pt>
                <c:pt idx="136">
                  <c:v>83.114057360768328</c:v>
                </c:pt>
                <c:pt idx="137">
                  <c:v>83.114057360768328</c:v>
                </c:pt>
                <c:pt idx="138">
                  <c:v>83.114057360768328</c:v>
                </c:pt>
                <c:pt idx="139">
                  <c:v>83.114057360768328</c:v>
                </c:pt>
                <c:pt idx="140">
                  <c:v>83.114057360768328</c:v>
                </c:pt>
                <c:pt idx="141">
                  <c:v>83.114057360768328</c:v>
                </c:pt>
                <c:pt idx="142">
                  <c:v>83.114057360768328</c:v>
                </c:pt>
                <c:pt idx="143">
                  <c:v>83.114057360768328</c:v>
                </c:pt>
                <c:pt idx="144">
                  <c:v>83.114057360768328</c:v>
                </c:pt>
                <c:pt idx="145">
                  <c:v>83.114057360768328</c:v>
                </c:pt>
                <c:pt idx="146">
                  <c:v>83.114057360768328</c:v>
                </c:pt>
                <c:pt idx="147">
                  <c:v>83.114057360768328</c:v>
                </c:pt>
                <c:pt idx="148">
                  <c:v>83.114057360768328</c:v>
                </c:pt>
                <c:pt idx="149">
                  <c:v>83.114057360768328</c:v>
                </c:pt>
                <c:pt idx="150">
                  <c:v>83.114057360768328</c:v>
                </c:pt>
                <c:pt idx="151">
                  <c:v>83.114057360768328</c:v>
                </c:pt>
                <c:pt idx="152">
                  <c:v>83.114057360768328</c:v>
                </c:pt>
                <c:pt idx="153">
                  <c:v>104.11073943778104</c:v>
                </c:pt>
                <c:pt idx="154">
                  <c:v>104.11073943778104</c:v>
                </c:pt>
                <c:pt idx="155">
                  <c:v>104.11073943778104</c:v>
                </c:pt>
                <c:pt idx="156">
                  <c:v>104.11073943778104</c:v>
                </c:pt>
                <c:pt idx="157">
                  <c:v>104.11073943778104</c:v>
                </c:pt>
                <c:pt idx="158">
                  <c:v>104.11073943778104</c:v>
                </c:pt>
                <c:pt idx="159">
                  <c:v>104.11073943778104</c:v>
                </c:pt>
                <c:pt idx="160">
                  <c:v>104.11073943778104</c:v>
                </c:pt>
                <c:pt idx="161">
                  <c:v>104.11073943778104</c:v>
                </c:pt>
                <c:pt idx="162">
                  <c:v>104.11073943778104</c:v>
                </c:pt>
                <c:pt idx="163">
                  <c:v>104.11073943778104</c:v>
                </c:pt>
                <c:pt idx="164">
                  <c:v>104.11073943778104</c:v>
                </c:pt>
                <c:pt idx="165">
                  <c:v>104.11073943778104</c:v>
                </c:pt>
                <c:pt idx="166">
                  <c:v>104.11073943778104</c:v>
                </c:pt>
                <c:pt idx="167">
                  <c:v>104.11073943778104</c:v>
                </c:pt>
                <c:pt idx="168">
                  <c:v>104.11073943778104</c:v>
                </c:pt>
                <c:pt idx="169">
                  <c:v>104.11073943778104</c:v>
                </c:pt>
                <c:pt idx="170">
                  <c:v>104.11073943778104</c:v>
                </c:pt>
                <c:pt idx="171">
                  <c:v>104.11073943778104</c:v>
                </c:pt>
                <c:pt idx="172">
                  <c:v>104.11073943778104</c:v>
                </c:pt>
                <c:pt idx="173">
                  <c:v>104.11073943778104</c:v>
                </c:pt>
                <c:pt idx="174">
                  <c:v>104.11073943778104</c:v>
                </c:pt>
                <c:pt idx="175">
                  <c:v>104.11073943778104</c:v>
                </c:pt>
                <c:pt idx="176">
                  <c:v>104.11073943778104</c:v>
                </c:pt>
                <c:pt idx="177">
                  <c:v>104.11073943778104</c:v>
                </c:pt>
                <c:pt idx="178">
                  <c:v>104.11073943778104</c:v>
                </c:pt>
                <c:pt idx="179">
                  <c:v>104.11073943778104</c:v>
                </c:pt>
                <c:pt idx="180">
                  <c:v>104.11073943778104</c:v>
                </c:pt>
                <c:pt idx="181">
                  <c:v>104.11073943778104</c:v>
                </c:pt>
                <c:pt idx="182">
                  <c:v>104.11073943778104</c:v>
                </c:pt>
                <c:pt idx="183">
                  <c:v>104.11073943778104</c:v>
                </c:pt>
                <c:pt idx="184">
                  <c:v>117.91214619510544</c:v>
                </c:pt>
                <c:pt idx="185">
                  <c:v>117.91214619510544</c:v>
                </c:pt>
                <c:pt idx="186">
                  <c:v>117.91214619510544</c:v>
                </c:pt>
                <c:pt idx="187">
                  <c:v>117.91214619510544</c:v>
                </c:pt>
                <c:pt idx="188">
                  <c:v>117.91214619510544</c:v>
                </c:pt>
                <c:pt idx="189">
                  <c:v>117.91214619510544</c:v>
                </c:pt>
                <c:pt idx="190">
                  <c:v>117.91214619510544</c:v>
                </c:pt>
                <c:pt idx="191">
                  <c:v>117.91214619510544</c:v>
                </c:pt>
                <c:pt idx="192">
                  <c:v>117.91214619510544</c:v>
                </c:pt>
                <c:pt idx="193">
                  <c:v>117.91214619510544</c:v>
                </c:pt>
                <c:pt idx="194">
                  <c:v>117.91214619510544</c:v>
                </c:pt>
                <c:pt idx="195">
                  <c:v>117.91214619510544</c:v>
                </c:pt>
                <c:pt idx="196">
                  <c:v>117.91214619510544</c:v>
                </c:pt>
                <c:pt idx="197">
                  <c:v>117.91214619510544</c:v>
                </c:pt>
                <c:pt idx="198">
                  <c:v>117.91214619510544</c:v>
                </c:pt>
                <c:pt idx="199">
                  <c:v>117.91214619510544</c:v>
                </c:pt>
                <c:pt idx="200">
                  <c:v>117.91214619510544</c:v>
                </c:pt>
                <c:pt idx="201">
                  <c:v>117.91214619510544</c:v>
                </c:pt>
                <c:pt idx="202">
                  <c:v>117.91214619510544</c:v>
                </c:pt>
                <c:pt idx="203">
                  <c:v>117.91214619510544</c:v>
                </c:pt>
                <c:pt idx="204">
                  <c:v>117.91214619510544</c:v>
                </c:pt>
                <c:pt idx="205">
                  <c:v>117.91214619510544</c:v>
                </c:pt>
                <c:pt idx="206">
                  <c:v>117.91214619510544</c:v>
                </c:pt>
                <c:pt idx="207">
                  <c:v>117.91214619510544</c:v>
                </c:pt>
                <c:pt idx="208">
                  <c:v>117.91214619510544</c:v>
                </c:pt>
                <c:pt idx="209">
                  <c:v>117.91214619510544</c:v>
                </c:pt>
                <c:pt idx="210">
                  <c:v>117.91214619510544</c:v>
                </c:pt>
                <c:pt idx="211">
                  <c:v>117.91214619510544</c:v>
                </c:pt>
                <c:pt idx="212">
                  <c:v>117.91214619510544</c:v>
                </c:pt>
                <c:pt idx="213">
                  <c:v>117.91214619510544</c:v>
                </c:pt>
                <c:pt idx="214">
                  <c:v>117.91214619510544</c:v>
                </c:pt>
                <c:pt idx="215">
                  <c:v>129.94088839596503</c:v>
                </c:pt>
                <c:pt idx="216">
                  <c:v>129.94088839596503</c:v>
                </c:pt>
                <c:pt idx="217">
                  <c:v>129.94088839596503</c:v>
                </c:pt>
                <c:pt idx="218">
                  <c:v>129.94088839596503</c:v>
                </c:pt>
                <c:pt idx="219">
                  <c:v>129.94088839596503</c:v>
                </c:pt>
                <c:pt idx="220">
                  <c:v>129.94088839596503</c:v>
                </c:pt>
                <c:pt idx="221">
                  <c:v>129.94088839596503</c:v>
                </c:pt>
                <c:pt idx="222">
                  <c:v>129.94088839596503</c:v>
                </c:pt>
                <c:pt idx="223">
                  <c:v>129.94088839596503</c:v>
                </c:pt>
                <c:pt idx="224">
                  <c:v>129.94088839596503</c:v>
                </c:pt>
                <c:pt idx="225">
                  <c:v>129.94088839596503</c:v>
                </c:pt>
                <c:pt idx="226">
                  <c:v>129.94088839596503</c:v>
                </c:pt>
                <c:pt idx="227">
                  <c:v>129.94088839596503</c:v>
                </c:pt>
                <c:pt idx="228">
                  <c:v>129.94088839596503</c:v>
                </c:pt>
                <c:pt idx="229">
                  <c:v>129.94088839596503</c:v>
                </c:pt>
                <c:pt idx="230">
                  <c:v>129.94088839596503</c:v>
                </c:pt>
                <c:pt idx="231">
                  <c:v>129.94088839596503</c:v>
                </c:pt>
                <c:pt idx="232">
                  <c:v>129.94088839596503</c:v>
                </c:pt>
                <c:pt idx="233">
                  <c:v>129.94088839596503</c:v>
                </c:pt>
                <c:pt idx="234">
                  <c:v>129.94088839596503</c:v>
                </c:pt>
                <c:pt idx="235">
                  <c:v>129.94088839596503</c:v>
                </c:pt>
                <c:pt idx="236">
                  <c:v>129.94088839596503</c:v>
                </c:pt>
                <c:pt idx="237">
                  <c:v>129.94088839596503</c:v>
                </c:pt>
                <c:pt idx="238">
                  <c:v>129.94088839596503</c:v>
                </c:pt>
                <c:pt idx="239">
                  <c:v>129.94088839596503</c:v>
                </c:pt>
                <c:pt idx="240">
                  <c:v>129.94088839596503</c:v>
                </c:pt>
                <c:pt idx="241">
                  <c:v>129.94088839596503</c:v>
                </c:pt>
                <c:pt idx="242">
                  <c:v>129.94088839596503</c:v>
                </c:pt>
                <c:pt idx="243">
                  <c:v>128.70213492494773</c:v>
                </c:pt>
                <c:pt idx="244">
                  <c:v>128.70213492494773</c:v>
                </c:pt>
                <c:pt idx="245">
                  <c:v>128.70213492494773</c:v>
                </c:pt>
                <c:pt idx="246">
                  <c:v>128.70213492494773</c:v>
                </c:pt>
                <c:pt idx="247">
                  <c:v>128.70213492494773</c:v>
                </c:pt>
                <c:pt idx="248">
                  <c:v>128.70213492494773</c:v>
                </c:pt>
                <c:pt idx="249">
                  <c:v>128.70213492494773</c:v>
                </c:pt>
                <c:pt idx="250">
                  <c:v>128.70213492494773</c:v>
                </c:pt>
                <c:pt idx="251">
                  <c:v>128.70213492494773</c:v>
                </c:pt>
                <c:pt idx="252">
                  <c:v>128.70213492494773</c:v>
                </c:pt>
                <c:pt idx="253">
                  <c:v>128.70213492494773</c:v>
                </c:pt>
                <c:pt idx="254">
                  <c:v>128.70213492494773</c:v>
                </c:pt>
                <c:pt idx="255">
                  <c:v>128.70213492494773</c:v>
                </c:pt>
                <c:pt idx="256">
                  <c:v>128.70213492494773</c:v>
                </c:pt>
                <c:pt idx="257">
                  <c:v>128.70213492494773</c:v>
                </c:pt>
                <c:pt idx="258">
                  <c:v>128.70213492494773</c:v>
                </c:pt>
                <c:pt idx="259">
                  <c:v>128.70213492494773</c:v>
                </c:pt>
                <c:pt idx="260">
                  <c:v>128.70213492494773</c:v>
                </c:pt>
                <c:pt idx="261">
                  <c:v>128.70213492494773</c:v>
                </c:pt>
                <c:pt idx="262">
                  <c:v>128.70213492494773</c:v>
                </c:pt>
                <c:pt idx="263">
                  <c:v>128.70213492494773</c:v>
                </c:pt>
                <c:pt idx="264">
                  <c:v>128.70213492494773</c:v>
                </c:pt>
                <c:pt idx="265">
                  <c:v>128.70213492494773</c:v>
                </c:pt>
                <c:pt idx="266">
                  <c:v>128.70213492494773</c:v>
                </c:pt>
                <c:pt idx="267">
                  <c:v>128.70213492494773</c:v>
                </c:pt>
                <c:pt idx="268">
                  <c:v>128.70213492494773</c:v>
                </c:pt>
                <c:pt idx="269">
                  <c:v>128.70213492494773</c:v>
                </c:pt>
                <c:pt idx="270">
                  <c:v>128.70213492494773</c:v>
                </c:pt>
                <c:pt idx="271">
                  <c:v>128.70213492494773</c:v>
                </c:pt>
                <c:pt idx="272">
                  <c:v>128.70213492494773</c:v>
                </c:pt>
                <c:pt idx="273">
                  <c:v>128.70213492494773</c:v>
                </c:pt>
                <c:pt idx="274">
                  <c:v>125.24455872987446</c:v>
                </c:pt>
                <c:pt idx="275">
                  <c:v>125.24455872987446</c:v>
                </c:pt>
                <c:pt idx="276">
                  <c:v>125.24455872987446</c:v>
                </c:pt>
                <c:pt idx="277">
                  <c:v>125.24455872987446</c:v>
                </c:pt>
                <c:pt idx="278">
                  <c:v>125.24455872987446</c:v>
                </c:pt>
                <c:pt idx="279">
                  <c:v>125.24455872987446</c:v>
                </c:pt>
                <c:pt idx="280">
                  <c:v>125.24455872987446</c:v>
                </c:pt>
                <c:pt idx="281">
                  <c:v>125.24455872987446</c:v>
                </c:pt>
                <c:pt idx="282">
                  <c:v>125.24455872987446</c:v>
                </c:pt>
                <c:pt idx="283">
                  <c:v>125.24455872987446</c:v>
                </c:pt>
                <c:pt idx="284">
                  <c:v>125.24455872987446</c:v>
                </c:pt>
                <c:pt idx="285">
                  <c:v>125.24455872987446</c:v>
                </c:pt>
                <c:pt idx="286">
                  <c:v>125.24455872987446</c:v>
                </c:pt>
                <c:pt idx="287">
                  <c:v>125.24455872987446</c:v>
                </c:pt>
                <c:pt idx="288">
                  <c:v>125.24455872987446</c:v>
                </c:pt>
                <c:pt idx="289">
                  <c:v>125.24455872987446</c:v>
                </c:pt>
                <c:pt idx="290">
                  <c:v>125.24455872987446</c:v>
                </c:pt>
                <c:pt idx="291">
                  <c:v>125.24455872987446</c:v>
                </c:pt>
                <c:pt idx="292">
                  <c:v>125.24455872987446</c:v>
                </c:pt>
                <c:pt idx="293">
                  <c:v>125.24455872987446</c:v>
                </c:pt>
                <c:pt idx="294">
                  <c:v>125.24455872987446</c:v>
                </c:pt>
                <c:pt idx="295">
                  <c:v>125.24455872987446</c:v>
                </c:pt>
                <c:pt idx="296">
                  <c:v>125.24455872987446</c:v>
                </c:pt>
                <c:pt idx="297">
                  <c:v>125.24455872987446</c:v>
                </c:pt>
                <c:pt idx="298">
                  <c:v>125.24455872987446</c:v>
                </c:pt>
                <c:pt idx="299">
                  <c:v>125.24455872987446</c:v>
                </c:pt>
                <c:pt idx="300">
                  <c:v>125.24455872987446</c:v>
                </c:pt>
                <c:pt idx="301">
                  <c:v>125.24455872987446</c:v>
                </c:pt>
                <c:pt idx="302">
                  <c:v>125.24455872987446</c:v>
                </c:pt>
                <c:pt idx="303">
                  <c:v>125.24455872987446</c:v>
                </c:pt>
                <c:pt idx="304">
                  <c:v>99.174715760964361</c:v>
                </c:pt>
                <c:pt idx="305">
                  <c:v>99.174715760964361</c:v>
                </c:pt>
                <c:pt idx="306">
                  <c:v>99.174715760964361</c:v>
                </c:pt>
                <c:pt idx="307">
                  <c:v>99.174715760964361</c:v>
                </c:pt>
                <c:pt idx="308">
                  <c:v>99.174715760964361</c:v>
                </c:pt>
                <c:pt idx="309">
                  <c:v>99.174715760964361</c:v>
                </c:pt>
                <c:pt idx="310">
                  <c:v>99.174715760964361</c:v>
                </c:pt>
                <c:pt idx="311">
                  <c:v>99.174715760964361</c:v>
                </c:pt>
                <c:pt idx="312">
                  <c:v>99.174715760964361</c:v>
                </c:pt>
                <c:pt idx="313">
                  <c:v>99.174715760964361</c:v>
                </c:pt>
                <c:pt idx="314">
                  <c:v>99.174715760964361</c:v>
                </c:pt>
                <c:pt idx="315">
                  <c:v>99.174715760964361</c:v>
                </c:pt>
                <c:pt idx="316">
                  <c:v>99.174715760964361</c:v>
                </c:pt>
                <c:pt idx="317">
                  <c:v>99.174715760964361</c:v>
                </c:pt>
                <c:pt idx="318">
                  <c:v>99.174715760964361</c:v>
                </c:pt>
                <c:pt idx="319">
                  <c:v>99.174715760964361</c:v>
                </c:pt>
                <c:pt idx="320">
                  <c:v>99.174715760964361</c:v>
                </c:pt>
                <c:pt idx="321">
                  <c:v>99.174715760964361</c:v>
                </c:pt>
                <c:pt idx="322">
                  <c:v>99.174715760964361</c:v>
                </c:pt>
                <c:pt idx="323">
                  <c:v>99.174715760964361</c:v>
                </c:pt>
                <c:pt idx="324">
                  <c:v>99.174715760964361</c:v>
                </c:pt>
                <c:pt idx="325">
                  <c:v>99.174715760964361</c:v>
                </c:pt>
                <c:pt idx="326">
                  <c:v>99.174715760964361</c:v>
                </c:pt>
                <c:pt idx="327">
                  <c:v>99.174715760964361</c:v>
                </c:pt>
                <c:pt idx="328">
                  <c:v>99.174715760964361</c:v>
                </c:pt>
                <c:pt idx="329">
                  <c:v>99.174715760964361</c:v>
                </c:pt>
                <c:pt idx="330">
                  <c:v>99.174715760964361</c:v>
                </c:pt>
                <c:pt idx="331">
                  <c:v>99.174715760964361</c:v>
                </c:pt>
                <c:pt idx="332">
                  <c:v>99.174715760964361</c:v>
                </c:pt>
                <c:pt idx="333">
                  <c:v>99.174715760964361</c:v>
                </c:pt>
                <c:pt idx="334">
                  <c:v>99.174715760964361</c:v>
                </c:pt>
                <c:pt idx="335">
                  <c:v>63.620103867145374</c:v>
                </c:pt>
                <c:pt idx="336">
                  <c:v>63.620103867145374</c:v>
                </c:pt>
                <c:pt idx="337">
                  <c:v>63.620103867145374</c:v>
                </c:pt>
                <c:pt idx="338">
                  <c:v>63.620103867145374</c:v>
                </c:pt>
                <c:pt idx="339">
                  <c:v>63.620103867145374</c:v>
                </c:pt>
                <c:pt idx="340">
                  <c:v>63.620103867145374</c:v>
                </c:pt>
                <c:pt idx="341">
                  <c:v>63.620103867145374</c:v>
                </c:pt>
                <c:pt idx="342">
                  <c:v>63.620103867145374</c:v>
                </c:pt>
                <c:pt idx="343">
                  <c:v>63.620103867145374</c:v>
                </c:pt>
                <c:pt idx="344">
                  <c:v>63.620103867145374</c:v>
                </c:pt>
                <c:pt idx="345">
                  <c:v>63.620103867145374</c:v>
                </c:pt>
                <c:pt idx="346">
                  <c:v>63.620103867145374</c:v>
                </c:pt>
                <c:pt idx="347">
                  <c:v>63.620103867145374</c:v>
                </c:pt>
                <c:pt idx="348">
                  <c:v>63.620103867145374</c:v>
                </c:pt>
                <c:pt idx="349">
                  <c:v>63.620103867145374</c:v>
                </c:pt>
                <c:pt idx="350">
                  <c:v>63.620103867145374</c:v>
                </c:pt>
                <c:pt idx="351">
                  <c:v>63.620103867145374</c:v>
                </c:pt>
                <c:pt idx="352">
                  <c:v>63.620103867145374</c:v>
                </c:pt>
                <c:pt idx="353">
                  <c:v>63.620103867145374</c:v>
                </c:pt>
                <c:pt idx="354">
                  <c:v>63.620103867145374</c:v>
                </c:pt>
                <c:pt idx="355">
                  <c:v>63.620103867145374</c:v>
                </c:pt>
                <c:pt idx="356">
                  <c:v>63.620103867145374</c:v>
                </c:pt>
                <c:pt idx="357">
                  <c:v>63.620103867145374</c:v>
                </c:pt>
                <c:pt idx="358">
                  <c:v>63.620103867145374</c:v>
                </c:pt>
                <c:pt idx="359">
                  <c:v>63.620103867145374</c:v>
                </c:pt>
                <c:pt idx="360">
                  <c:v>63.620103867145374</c:v>
                </c:pt>
                <c:pt idx="361">
                  <c:v>63.620103867145374</c:v>
                </c:pt>
                <c:pt idx="362">
                  <c:v>63.620103867145374</c:v>
                </c:pt>
                <c:pt idx="363">
                  <c:v>63.620103867145374</c:v>
                </c:pt>
                <c:pt idx="364">
                  <c:v>63.620103867145374</c:v>
                </c:pt>
                <c:pt idx="365">
                  <c:v>27.438293490002458</c:v>
                </c:pt>
                <c:pt idx="366">
                  <c:v>27.438293490002458</c:v>
                </c:pt>
                <c:pt idx="367">
                  <c:v>27.438293490002458</c:v>
                </c:pt>
                <c:pt idx="368">
                  <c:v>27.438293490002458</c:v>
                </c:pt>
                <c:pt idx="369">
                  <c:v>27.438293490002458</c:v>
                </c:pt>
                <c:pt idx="370">
                  <c:v>27.438293490002458</c:v>
                </c:pt>
                <c:pt idx="371">
                  <c:v>27.438293490002458</c:v>
                </c:pt>
                <c:pt idx="372">
                  <c:v>27.438293490002458</c:v>
                </c:pt>
                <c:pt idx="373">
                  <c:v>27.438293490002458</c:v>
                </c:pt>
                <c:pt idx="374">
                  <c:v>27.438293490002458</c:v>
                </c:pt>
                <c:pt idx="375">
                  <c:v>27.438293490002458</c:v>
                </c:pt>
                <c:pt idx="376">
                  <c:v>27.438293490002458</c:v>
                </c:pt>
                <c:pt idx="377">
                  <c:v>27.438293490002458</c:v>
                </c:pt>
                <c:pt idx="378">
                  <c:v>27.438293490002458</c:v>
                </c:pt>
                <c:pt idx="379">
                  <c:v>27.438293490002458</c:v>
                </c:pt>
                <c:pt idx="380">
                  <c:v>27.438293490002458</c:v>
                </c:pt>
                <c:pt idx="381">
                  <c:v>27.438293490002458</c:v>
                </c:pt>
                <c:pt idx="382">
                  <c:v>27.438293490002458</c:v>
                </c:pt>
                <c:pt idx="383">
                  <c:v>27.438293490002458</c:v>
                </c:pt>
                <c:pt idx="384">
                  <c:v>27.438293490002458</c:v>
                </c:pt>
                <c:pt idx="385">
                  <c:v>27.438293490002458</c:v>
                </c:pt>
                <c:pt idx="386">
                  <c:v>27.438293490002458</c:v>
                </c:pt>
                <c:pt idx="387">
                  <c:v>27.438293490002458</c:v>
                </c:pt>
                <c:pt idx="388">
                  <c:v>27.438293490002458</c:v>
                </c:pt>
                <c:pt idx="389">
                  <c:v>27.438293490002458</c:v>
                </c:pt>
                <c:pt idx="390">
                  <c:v>27.438293490002458</c:v>
                </c:pt>
                <c:pt idx="391">
                  <c:v>27.438293490002458</c:v>
                </c:pt>
                <c:pt idx="392">
                  <c:v>27.438293490002458</c:v>
                </c:pt>
                <c:pt idx="393">
                  <c:v>27.438293490002458</c:v>
                </c:pt>
                <c:pt idx="394">
                  <c:v>27.438293490002458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J</c:v>
                </c:pt>
                <c:pt idx="45">
                  <c:v>A</c:v>
                </c:pt>
                <c:pt idx="76">
                  <c:v>S</c:v>
                </c:pt>
                <c:pt idx="106">
                  <c:v>O</c:v>
                </c:pt>
                <c:pt idx="137">
                  <c:v>N</c:v>
                </c:pt>
                <c:pt idx="167">
                  <c:v>D</c:v>
                </c:pt>
                <c:pt idx="198">
                  <c:v>E</c:v>
                </c:pt>
                <c:pt idx="229">
                  <c:v>F</c:v>
                </c:pt>
                <c:pt idx="257">
                  <c:v>M</c:v>
                </c:pt>
                <c:pt idx="288">
                  <c:v>A</c:v>
                </c:pt>
                <c:pt idx="318">
                  <c:v>M</c:v>
                </c:pt>
                <c:pt idx="349">
                  <c:v>J</c:v>
                </c:pt>
                <c:pt idx="379">
                  <c:v>J</c:v>
                </c:pt>
              </c:strCache>
            </c:strRef>
          </c:cat>
          <c:val>
            <c:numRef>
              <c:f>Dat_02!$E$3:$E$397</c:f>
              <c:numCache>
                <c:formatCode>#,##0.0</c:formatCode>
                <c:ptCount val="395"/>
                <c:pt idx="0">
                  <c:v>28.26541708637771</c:v>
                </c:pt>
                <c:pt idx="1">
                  <c:v>28.26541708637771</c:v>
                </c:pt>
                <c:pt idx="2">
                  <c:v>28.26541708637771</c:v>
                </c:pt>
                <c:pt idx="3">
                  <c:v>4.5934732943023917</c:v>
                </c:pt>
                <c:pt idx="4">
                  <c:v>28.26541708637771</c:v>
                </c:pt>
                <c:pt idx="5">
                  <c:v>28.26541708637771</c:v>
                </c:pt>
                <c:pt idx="6">
                  <c:v>28.26541708637771</c:v>
                </c:pt>
                <c:pt idx="7">
                  <c:v>25.250259888306942</c:v>
                </c:pt>
                <c:pt idx="8">
                  <c:v>24.846315244305078</c:v>
                </c:pt>
                <c:pt idx="9">
                  <c:v>24.875425528305072</c:v>
                </c:pt>
                <c:pt idx="10">
                  <c:v>24.555974760305077</c:v>
                </c:pt>
                <c:pt idx="11">
                  <c:v>14.567424316305084</c:v>
                </c:pt>
                <c:pt idx="12">
                  <c:v>17.458720352305086</c:v>
                </c:pt>
                <c:pt idx="13">
                  <c:v>3.2801613586414167</c:v>
                </c:pt>
                <c:pt idx="14">
                  <c:v>3.7021285986414152</c:v>
                </c:pt>
                <c:pt idx="15">
                  <c:v>3.4328874426414258</c:v>
                </c:pt>
                <c:pt idx="16">
                  <c:v>6.1905694026414126</c:v>
                </c:pt>
                <c:pt idx="17">
                  <c:v>2.9161338986432819</c:v>
                </c:pt>
                <c:pt idx="18">
                  <c:v>3.8112047226414143</c:v>
                </c:pt>
                <c:pt idx="19">
                  <c:v>0.74533419064328332</c:v>
                </c:pt>
                <c:pt idx="20">
                  <c:v>19.407550297499554</c:v>
                </c:pt>
                <c:pt idx="21">
                  <c:v>16.555754301501416</c:v>
                </c:pt>
                <c:pt idx="22">
                  <c:v>13.259645153499557</c:v>
                </c:pt>
                <c:pt idx="23">
                  <c:v>11.605605877501418</c:v>
                </c:pt>
                <c:pt idx="24">
                  <c:v>7.0987854214995529</c:v>
                </c:pt>
                <c:pt idx="25">
                  <c:v>10.141006933501419</c:v>
                </c:pt>
                <c:pt idx="26">
                  <c:v>9.3542710974995575</c:v>
                </c:pt>
                <c:pt idx="27">
                  <c:v>6.3809409010995806</c:v>
                </c:pt>
                <c:pt idx="28">
                  <c:v>18.61382452909772</c:v>
                </c:pt>
                <c:pt idx="29">
                  <c:v>20.12006257709772</c:v>
                </c:pt>
                <c:pt idx="30">
                  <c:v>1.8893583750977123</c:v>
                </c:pt>
                <c:pt idx="31">
                  <c:v>4.5655955870995752</c:v>
                </c:pt>
                <c:pt idx="32">
                  <c:v>17.065966880459293</c:v>
                </c:pt>
                <c:pt idx="33">
                  <c:v>17.065966880459293</c:v>
                </c:pt>
                <c:pt idx="34">
                  <c:v>17.065966880459293</c:v>
                </c:pt>
                <c:pt idx="35">
                  <c:v>17.065966880459293</c:v>
                </c:pt>
                <c:pt idx="36">
                  <c:v>8.4270759103407684</c:v>
                </c:pt>
                <c:pt idx="37">
                  <c:v>3.1181593463426327</c:v>
                </c:pt>
                <c:pt idx="38">
                  <c:v>0.97960024234076992</c:v>
                </c:pt>
                <c:pt idx="39">
                  <c:v>14.443968728340769</c:v>
                </c:pt>
                <c:pt idx="40">
                  <c:v>12.368461616340777</c:v>
                </c:pt>
                <c:pt idx="41">
                  <c:v>12.890011353729017</c:v>
                </c:pt>
                <c:pt idx="42">
                  <c:v>11.795801197727153</c:v>
                </c:pt>
                <c:pt idx="43">
                  <c:v>10.709613341727149</c:v>
                </c:pt>
                <c:pt idx="44">
                  <c:v>8.390193413727145</c:v>
                </c:pt>
                <c:pt idx="45">
                  <c:v>3.8323451297280844</c:v>
                </c:pt>
                <c:pt idx="46">
                  <c:v>1.5208754617262239</c:v>
                </c:pt>
                <c:pt idx="47">
                  <c:v>1.6454641217280805</c:v>
                </c:pt>
                <c:pt idx="48">
                  <c:v>1.1239345109318819</c:v>
                </c:pt>
                <c:pt idx="49">
                  <c:v>12.31830282093188</c:v>
                </c:pt>
                <c:pt idx="50">
                  <c:v>10.13184883293188</c:v>
                </c:pt>
                <c:pt idx="51">
                  <c:v>3.855074796932815</c:v>
                </c:pt>
                <c:pt idx="52">
                  <c:v>0.51473324493095429</c:v>
                </c:pt>
                <c:pt idx="53">
                  <c:v>1.0608810569318812</c:v>
                </c:pt>
                <c:pt idx="54">
                  <c:v>0.95651898293281556</c:v>
                </c:pt>
                <c:pt idx="55">
                  <c:v>7.1533921176681394</c:v>
                </c:pt>
                <c:pt idx="56">
                  <c:v>9.1958073616690665</c:v>
                </c:pt>
                <c:pt idx="57">
                  <c:v>4.1350082336709315</c:v>
                </c:pt>
                <c:pt idx="58">
                  <c:v>0.77185449366814285</c:v>
                </c:pt>
                <c:pt idx="59">
                  <c:v>1.0640044536700006</c:v>
                </c:pt>
                <c:pt idx="60">
                  <c:v>10.140573249667206</c:v>
                </c:pt>
                <c:pt idx="61">
                  <c:v>13.94423220567093</c:v>
                </c:pt>
                <c:pt idx="62">
                  <c:v>21.014323006984561</c:v>
                </c:pt>
                <c:pt idx="63">
                  <c:v>21.014323006984561</c:v>
                </c:pt>
                <c:pt idx="64">
                  <c:v>21.014323006984561</c:v>
                </c:pt>
                <c:pt idx="65">
                  <c:v>16.785473316926858</c:v>
                </c:pt>
                <c:pt idx="66">
                  <c:v>10.244637292924068</c:v>
                </c:pt>
                <c:pt idx="67">
                  <c:v>15.825120408925926</c:v>
                </c:pt>
                <c:pt idx="68">
                  <c:v>6.2947448249249938</c:v>
                </c:pt>
                <c:pt idx="69">
                  <c:v>20.115420491951163</c:v>
                </c:pt>
                <c:pt idx="70">
                  <c:v>20.943244847952091</c:v>
                </c:pt>
                <c:pt idx="71">
                  <c:v>20.22736524795209</c:v>
                </c:pt>
                <c:pt idx="72">
                  <c:v>15.135667991953021</c:v>
                </c:pt>
                <c:pt idx="73">
                  <c:v>20.061154527952095</c:v>
                </c:pt>
                <c:pt idx="74">
                  <c:v>12.823799795953025</c:v>
                </c:pt>
                <c:pt idx="75">
                  <c:v>21.014323006984561</c:v>
                </c:pt>
                <c:pt idx="76">
                  <c:v>21.014323006984561</c:v>
                </c:pt>
                <c:pt idx="77">
                  <c:v>21.014323006984561</c:v>
                </c:pt>
                <c:pt idx="78">
                  <c:v>16.394569441872203</c:v>
                </c:pt>
                <c:pt idx="79">
                  <c:v>11.821708425872202</c:v>
                </c:pt>
                <c:pt idx="80">
                  <c:v>11.033212529874065</c:v>
                </c:pt>
                <c:pt idx="81">
                  <c:v>12.408188627872201</c:v>
                </c:pt>
                <c:pt idx="82">
                  <c:v>11.887315421872204</c:v>
                </c:pt>
                <c:pt idx="83">
                  <c:v>21.014323006984561</c:v>
                </c:pt>
                <c:pt idx="84">
                  <c:v>18.78037494927991</c:v>
                </c:pt>
                <c:pt idx="85">
                  <c:v>21.014323006984561</c:v>
                </c:pt>
                <c:pt idx="86">
                  <c:v>21.014323006984561</c:v>
                </c:pt>
                <c:pt idx="87">
                  <c:v>15.501655585280846</c:v>
                </c:pt>
                <c:pt idx="88">
                  <c:v>21.014323006984561</c:v>
                </c:pt>
                <c:pt idx="89">
                  <c:v>21.014323006984561</c:v>
                </c:pt>
                <c:pt idx="90">
                  <c:v>21.014323006984561</c:v>
                </c:pt>
                <c:pt idx="91">
                  <c:v>20.742861095840059</c:v>
                </c:pt>
                <c:pt idx="92">
                  <c:v>26.522195107839128</c:v>
                </c:pt>
                <c:pt idx="93">
                  <c:v>11.450506385840995</c:v>
                </c:pt>
                <c:pt idx="94">
                  <c:v>7.0336940938400625</c:v>
                </c:pt>
                <c:pt idx="95">
                  <c:v>20.078182471840059</c:v>
                </c:pt>
                <c:pt idx="96">
                  <c:v>20.407965117839129</c:v>
                </c:pt>
                <c:pt idx="97">
                  <c:v>34.537367477795087</c:v>
                </c:pt>
                <c:pt idx="98">
                  <c:v>32.421314555796023</c:v>
                </c:pt>
                <c:pt idx="99">
                  <c:v>28.830218095796024</c:v>
                </c:pt>
                <c:pt idx="100">
                  <c:v>26.074201315795086</c:v>
                </c:pt>
                <c:pt idx="101">
                  <c:v>14.97372190579509</c:v>
                </c:pt>
                <c:pt idx="102">
                  <c:v>18.989537715795091</c:v>
                </c:pt>
                <c:pt idx="103">
                  <c:v>16.810403215795091</c:v>
                </c:pt>
                <c:pt idx="104">
                  <c:v>9.6915650946646714</c:v>
                </c:pt>
                <c:pt idx="105">
                  <c:v>21.102004324664666</c:v>
                </c:pt>
                <c:pt idx="106">
                  <c:v>22.793578934664669</c:v>
                </c:pt>
                <c:pt idx="107">
                  <c:v>22.891749824663741</c:v>
                </c:pt>
                <c:pt idx="108">
                  <c:v>20.531404104664666</c:v>
                </c:pt>
                <c:pt idx="109">
                  <c:v>20.055615194663741</c:v>
                </c:pt>
                <c:pt idx="110">
                  <c:v>13.659925614663738</c:v>
                </c:pt>
                <c:pt idx="111">
                  <c:v>15.363624254522176</c:v>
                </c:pt>
                <c:pt idx="112">
                  <c:v>22.04892331452125</c:v>
                </c:pt>
                <c:pt idx="113">
                  <c:v>15.953329024523107</c:v>
                </c:pt>
                <c:pt idx="114">
                  <c:v>16.079614874521244</c:v>
                </c:pt>
                <c:pt idx="115">
                  <c:v>16.836174644522178</c:v>
                </c:pt>
                <c:pt idx="116">
                  <c:v>28.025825204521244</c:v>
                </c:pt>
                <c:pt idx="117">
                  <c:v>20.552402704523111</c:v>
                </c:pt>
                <c:pt idx="118">
                  <c:v>38.627298912769433</c:v>
                </c:pt>
                <c:pt idx="119">
                  <c:v>29.895004102771292</c:v>
                </c:pt>
                <c:pt idx="120">
                  <c:v>25.749818082769426</c:v>
                </c:pt>
                <c:pt idx="121">
                  <c:v>27.030004642770361</c:v>
                </c:pt>
                <c:pt idx="122">
                  <c:v>14.640549322768496</c:v>
                </c:pt>
                <c:pt idx="123">
                  <c:v>22.313917842770358</c:v>
                </c:pt>
                <c:pt idx="124">
                  <c:v>28.912959306771292</c:v>
                </c:pt>
                <c:pt idx="125">
                  <c:v>55.970923198660778</c:v>
                </c:pt>
                <c:pt idx="126">
                  <c:v>53.446203498659841</c:v>
                </c:pt>
                <c:pt idx="127">
                  <c:v>54.771741696662637</c:v>
                </c:pt>
                <c:pt idx="128">
                  <c:v>51.570235068661717</c:v>
                </c:pt>
                <c:pt idx="129">
                  <c:v>44.703382378660784</c:v>
                </c:pt>
                <c:pt idx="130">
                  <c:v>58.176928336660779</c:v>
                </c:pt>
                <c:pt idx="131">
                  <c:v>60.36964599866171</c:v>
                </c:pt>
                <c:pt idx="132">
                  <c:v>40.97435282420534</c:v>
                </c:pt>
                <c:pt idx="133">
                  <c:v>42.417581774205345</c:v>
                </c:pt>
                <c:pt idx="134">
                  <c:v>41.176484884206282</c:v>
                </c:pt>
                <c:pt idx="135">
                  <c:v>23.390989284206277</c:v>
                </c:pt>
                <c:pt idx="136">
                  <c:v>24.434203184204414</c:v>
                </c:pt>
                <c:pt idx="137">
                  <c:v>34.052250696206279</c:v>
                </c:pt>
                <c:pt idx="138">
                  <c:v>28.129850584206277</c:v>
                </c:pt>
                <c:pt idx="139">
                  <c:v>16.031524459577522</c:v>
                </c:pt>
                <c:pt idx="140">
                  <c:v>19.834301079575656</c:v>
                </c:pt>
                <c:pt idx="141">
                  <c:v>29.031869949575658</c:v>
                </c:pt>
                <c:pt idx="142">
                  <c:v>25.204199631577517</c:v>
                </c:pt>
                <c:pt idx="143">
                  <c:v>27.474410815575656</c:v>
                </c:pt>
                <c:pt idx="144">
                  <c:v>27.98157283157752</c:v>
                </c:pt>
                <c:pt idx="145">
                  <c:v>26.741202983576585</c:v>
                </c:pt>
                <c:pt idx="146">
                  <c:v>45.54969271737734</c:v>
                </c:pt>
                <c:pt idx="147">
                  <c:v>47.647484435378267</c:v>
                </c:pt>
                <c:pt idx="148">
                  <c:v>47.625536095378266</c:v>
                </c:pt>
                <c:pt idx="149">
                  <c:v>51.534761423378264</c:v>
                </c:pt>
                <c:pt idx="150">
                  <c:v>44.432550211378263</c:v>
                </c:pt>
                <c:pt idx="151">
                  <c:v>53.96349179537733</c:v>
                </c:pt>
                <c:pt idx="152">
                  <c:v>68.858192995378261</c:v>
                </c:pt>
                <c:pt idx="153">
                  <c:v>67.914082788547205</c:v>
                </c:pt>
                <c:pt idx="154">
                  <c:v>67.634317772550943</c:v>
                </c:pt>
                <c:pt idx="155">
                  <c:v>79.771890052547207</c:v>
                </c:pt>
                <c:pt idx="156">
                  <c:v>73.835649612549076</c:v>
                </c:pt>
                <c:pt idx="157">
                  <c:v>67.854101322548146</c:v>
                </c:pt>
                <c:pt idx="158">
                  <c:v>75.36825752454908</c:v>
                </c:pt>
                <c:pt idx="159">
                  <c:v>75.19998157054907</c:v>
                </c:pt>
                <c:pt idx="160">
                  <c:v>104.11073943778104</c:v>
                </c:pt>
                <c:pt idx="161">
                  <c:v>104.11073943778104</c:v>
                </c:pt>
                <c:pt idx="162">
                  <c:v>104.11073943778104</c:v>
                </c:pt>
                <c:pt idx="163">
                  <c:v>104.11073943778104</c:v>
                </c:pt>
                <c:pt idx="164">
                  <c:v>104.11073943778104</c:v>
                </c:pt>
                <c:pt idx="165">
                  <c:v>104.11073943778104</c:v>
                </c:pt>
                <c:pt idx="166">
                  <c:v>104.11073943778104</c:v>
                </c:pt>
                <c:pt idx="167">
                  <c:v>99.20214076305858</c:v>
                </c:pt>
                <c:pt idx="168">
                  <c:v>94.316234811056717</c:v>
                </c:pt>
                <c:pt idx="169">
                  <c:v>100.71085091105765</c:v>
                </c:pt>
                <c:pt idx="170">
                  <c:v>104.11073943778104</c:v>
                </c:pt>
                <c:pt idx="171">
                  <c:v>94.236187843058573</c:v>
                </c:pt>
                <c:pt idx="172">
                  <c:v>104.11073943778104</c:v>
                </c:pt>
                <c:pt idx="173">
                  <c:v>104.11073943778104</c:v>
                </c:pt>
                <c:pt idx="174">
                  <c:v>104.11073943778104</c:v>
                </c:pt>
                <c:pt idx="175">
                  <c:v>100.54819594570883</c:v>
                </c:pt>
                <c:pt idx="176">
                  <c:v>73.15339101971162</c:v>
                </c:pt>
                <c:pt idx="177">
                  <c:v>62.947384397708817</c:v>
                </c:pt>
                <c:pt idx="178">
                  <c:v>66.909976297710685</c:v>
                </c:pt>
                <c:pt idx="179">
                  <c:v>70.186913739709752</c:v>
                </c:pt>
                <c:pt idx="180">
                  <c:v>74.018275097710671</c:v>
                </c:pt>
                <c:pt idx="181">
                  <c:v>104.11073943778104</c:v>
                </c:pt>
                <c:pt idx="182">
                  <c:v>104.11073943778104</c:v>
                </c:pt>
                <c:pt idx="183">
                  <c:v>104.11073943778104</c:v>
                </c:pt>
                <c:pt idx="184">
                  <c:v>102.17540151940534</c:v>
                </c:pt>
                <c:pt idx="185">
                  <c:v>104.62349681740534</c:v>
                </c:pt>
                <c:pt idx="186">
                  <c:v>105.21932554740441</c:v>
                </c:pt>
                <c:pt idx="187">
                  <c:v>103.55801551140441</c:v>
                </c:pt>
                <c:pt idx="188">
                  <c:v>91.987723495153446</c:v>
                </c:pt>
                <c:pt idx="189">
                  <c:v>95.198739353151581</c:v>
                </c:pt>
                <c:pt idx="190">
                  <c:v>95.836925759152507</c:v>
                </c:pt>
                <c:pt idx="191">
                  <c:v>90.269487789151583</c:v>
                </c:pt>
                <c:pt idx="192">
                  <c:v>82.673086073152518</c:v>
                </c:pt>
                <c:pt idx="193">
                  <c:v>105.36310315515158</c:v>
                </c:pt>
                <c:pt idx="194">
                  <c:v>106.01807528715251</c:v>
                </c:pt>
                <c:pt idx="195">
                  <c:v>80.883930473632347</c:v>
                </c:pt>
                <c:pt idx="196">
                  <c:v>108.53032502363422</c:v>
                </c:pt>
                <c:pt idx="197">
                  <c:v>109.9746273136342</c:v>
                </c:pt>
                <c:pt idx="198">
                  <c:v>107.25943700363328</c:v>
                </c:pt>
                <c:pt idx="199">
                  <c:v>93.148619171634209</c:v>
                </c:pt>
                <c:pt idx="200">
                  <c:v>101.72879704363422</c:v>
                </c:pt>
                <c:pt idx="201">
                  <c:v>103.87119560363328</c:v>
                </c:pt>
                <c:pt idx="202">
                  <c:v>67.409800574516936</c:v>
                </c:pt>
                <c:pt idx="203">
                  <c:v>56.526716274517867</c:v>
                </c:pt>
                <c:pt idx="204">
                  <c:v>43.579174246515997</c:v>
                </c:pt>
                <c:pt idx="205">
                  <c:v>41.629165836516933</c:v>
                </c:pt>
                <c:pt idx="206">
                  <c:v>53.975750974516927</c:v>
                </c:pt>
                <c:pt idx="207">
                  <c:v>79.832427634515071</c:v>
                </c:pt>
                <c:pt idx="208">
                  <c:v>60.620104462519727</c:v>
                </c:pt>
                <c:pt idx="209">
                  <c:v>57.039959710062163</c:v>
                </c:pt>
                <c:pt idx="210">
                  <c:v>40.904587002061234</c:v>
                </c:pt>
                <c:pt idx="211">
                  <c:v>30.755261530062167</c:v>
                </c:pt>
                <c:pt idx="212">
                  <c:v>30.089815514064963</c:v>
                </c:pt>
                <c:pt idx="213">
                  <c:v>28.242457818062167</c:v>
                </c:pt>
                <c:pt idx="214">
                  <c:v>26.349692656061233</c:v>
                </c:pt>
                <c:pt idx="215">
                  <c:v>21.487646220064963</c:v>
                </c:pt>
                <c:pt idx="216">
                  <c:v>41.651559683846571</c:v>
                </c:pt>
                <c:pt idx="217">
                  <c:v>40.250095097848437</c:v>
                </c:pt>
                <c:pt idx="218">
                  <c:v>39.671995491848435</c:v>
                </c:pt>
                <c:pt idx="219">
                  <c:v>23.922625091847504</c:v>
                </c:pt>
                <c:pt idx="220">
                  <c:v>28.187521431847504</c:v>
                </c:pt>
                <c:pt idx="221">
                  <c:v>29.725018323848438</c:v>
                </c:pt>
                <c:pt idx="222">
                  <c:v>30.513595177848437</c:v>
                </c:pt>
                <c:pt idx="223">
                  <c:v>35.111333372648339</c:v>
                </c:pt>
                <c:pt idx="224">
                  <c:v>42.777986102650196</c:v>
                </c:pt>
                <c:pt idx="225">
                  <c:v>47.478293512649266</c:v>
                </c:pt>
                <c:pt idx="226">
                  <c:v>37.158866846651129</c:v>
                </c:pt>
                <c:pt idx="227">
                  <c:v>19.881522136649266</c:v>
                </c:pt>
                <c:pt idx="228">
                  <c:v>27.611176538649271</c:v>
                </c:pt>
                <c:pt idx="229">
                  <c:v>34.258890400651133</c:v>
                </c:pt>
                <c:pt idx="230">
                  <c:v>28.749563519336924</c:v>
                </c:pt>
                <c:pt idx="231">
                  <c:v>43.197240531335062</c:v>
                </c:pt>
                <c:pt idx="232">
                  <c:v>47.718475881335998</c:v>
                </c:pt>
                <c:pt idx="233">
                  <c:v>33.988274225336923</c:v>
                </c:pt>
                <c:pt idx="234">
                  <c:v>39.823815895335997</c:v>
                </c:pt>
                <c:pt idx="235">
                  <c:v>41.68908106933786</c:v>
                </c:pt>
                <c:pt idx="236">
                  <c:v>42.155632395335061</c:v>
                </c:pt>
                <c:pt idx="237">
                  <c:v>31.339652456992443</c:v>
                </c:pt>
                <c:pt idx="238">
                  <c:v>36.859241576992439</c:v>
                </c:pt>
                <c:pt idx="239">
                  <c:v>31.293420378992444</c:v>
                </c:pt>
                <c:pt idx="240">
                  <c:v>32.225518250991513</c:v>
                </c:pt>
                <c:pt idx="241">
                  <c:v>31.636667194992441</c:v>
                </c:pt>
                <c:pt idx="242">
                  <c:v>24.663975052992441</c:v>
                </c:pt>
                <c:pt idx="243">
                  <c:v>31.211716412993372</c:v>
                </c:pt>
                <c:pt idx="244">
                  <c:v>40.57303017967331</c:v>
                </c:pt>
                <c:pt idx="245">
                  <c:v>49.097572419673313</c:v>
                </c:pt>
                <c:pt idx="246">
                  <c:v>39.132082935674248</c:v>
                </c:pt>
                <c:pt idx="247">
                  <c:v>48.696892543674245</c:v>
                </c:pt>
                <c:pt idx="248">
                  <c:v>45.562907035673312</c:v>
                </c:pt>
                <c:pt idx="249">
                  <c:v>60.436224323673322</c:v>
                </c:pt>
                <c:pt idx="250">
                  <c:v>36.773538775673316</c:v>
                </c:pt>
                <c:pt idx="251">
                  <c:v>62.022237105205562</c:v>
                </c:pt>
                <c:pt idx="252">
                  <c:v>54.58580692720556</c:v>
                </c:pt>
                <c:pt idx="253">
                  <c:v>60.39870195520556</c:v>
                </c:pt>
                <c:pt idx="254">
                  <c:v>58.957142285206494</c:v>
                </c:pt>
                <c:pt idx="255">
                  <c:v>60.333727731206494</c:v>
                </c:pt>
                <c:pt idx="256">
                  <c:v>63.452272503205563</c:v>
                </c:pt>
                <c:pt idx="257">
                  <c:v>88.496498825206487</c:v>
                </c:pt>
                <c:pt idx="258">
                  <c:v>105.71589378317859</c:v>
                </c:pt>
                <c:pt idx="259">
                  <c:v>76.264557677176725</c:v>
                </c:pt>
                <c:pt idx="260">
                  <c:v>83.562964599177647</c:v>
                </c:pt>
                <c:pt idx="261">
                  <c:v>72.890805351177647</c:v>
                </c:pt>
                <c:pt idx="262">
                  <c:v>63.217655083177654</c:v>
                </c:pt>
                <c:pt idx="263">
                  <c:v>64.287039147177651</c:v>
                </c:pt>
                <c:pt idx="264">
                  <c:v>71.233800761177662</c:v>
                </c:pt>
                <c:pt idx="265">
                  <c:v>96.300871922288962</c:v>
                </c:pt>
                <c:pt idx="266">
                  <c:v>108.53630518828989</c:v>
                </c:pt>
                <c:pt idx="267">
                  <c:v>101.10625637829081</c:v>
                </c:pt>
                <c:pt idx="268">
                  <c:v>96.942868272288962</c:v>
                </c:pt>
                <c:pt idx="269">
                  <c:v>76.312869546289875</c:v>
                </c:pt>
                <c:pt idx="270">
                  <c:v>87.289832582288952</c:v>
                </c:pt>
                <c:pt idx="271">
                  <c:v>99.370696372289885</c:v>
                </c:pt>
                <c:pt idx="272">
                  <c:v>76.106027651458618</c:v>
                </c:pt>
                <c:pt idx="273">
                  <c:v>77.720048207456756</c:v>
                </c:pt>
                <c:pt idx="274">
                  <c:v>78.839873601457683</c:v>
                </c:pt>
                <c:pt idx="275">
                  <c:v>63.046450265456755</c:v>
                </c:pt>
                <c:pt idx="276">
                  <c:v>52.072992857457685</c:v>
                </c:pt>
                <c:pt idx="277">
                  <c:v>70.839746007457691</c:v>
                </c:pt>
                <c:pt idx="278">
                  <c:v>95.355469031456749</c:v>
                </c:pt>
                <c:pt idx="279">
                  <c:v>75.585592753457234</c:v>
                </c:pt>
                <c:pt idx="280">
                  <c:v>55.244623899457231</c:v>
                </c:pt>
                <c:pt idx="281">
                  <c:v>51.797464833460026</c:v>
                </c:pt>
                <c:pt idx="282">
                  <c:v>69.802486067457238</c:v>
                </c:pt>
                <c:pt idx="283">
                  <c:v>39.923223189456301</c:v>
                </c:pt>
                <c:pt idx="284">
                  <c:v>45.800387089458162</c:v>
                </c:pt>
                <c:pt idx="285">
                  <c:v>72.032842325457224</c:v>
                </c:pt>
                <c:pt idx="286">
                  <c:v>95.962773481449176</c:v>
                </c:pt>
                <c:pt idx="287">
                  <c:v>80.326796453449177</c:v>
                </c:pt>
                <c:pt idx="288">
                  <c:v>73.794778233448241</c:v>
                </c:pt>
                <c:pt idx="289">
                  <c:v>64.55082363744917</c:v>
                </c:pt>
                <c:pt idx="290">
                  <c:v>71.875160119449163</c:v>
                </c:pt>
                <c:pt idx="291">
                  <c:v>78.589104269448228</c:v>
                </c:pt>
                <c:pt idx="292">
                  <c:v>82.199800059450112</c:v>
                </c:pt>
                <c:pt idx="293">
                  <c:v>90.743445421669946</c:v>
                </c:pt>
                <c:pt idx="294">
                  <c:v>106.76173008966995</c:v>
                </c:pt>
                <c:pt idx="295">
                  <c:v>109.09790919367089</c:v>
                </c:pt>
                <c:pt idx="296">
                  <c:v>78.608218011670886</c:v>
                </c:pt>
                <c:pt idx="297">
                  <c:v>90.865217781669955</c:v>
                </c:pt>
                <c:pt idx="298">
                  <c:v>100.78672183766902</c:v>
                </c:pt>
                <c:pt idx="299">
                  <c:v>103.82701329367089</c:v>
                </c:pt>
                <c:pt idx="300">
                  <c:v>98.870202420552701</c:v>
                </c:pt>
                <c:pt idx="301">
                  <c:v>113.83576418455084</c:v>
                </c:pt>
                <c:pt idx="302">
                  <c:v>117.61099088055269</c:v>
                </c:pt>
                <c:pt idx="303">
                  <c:v>104.52050493055363</c:v>
                </c:pt>
                <c:pt idx="304">
                  <c:v>82.959294126549906</c:v>
                </c:pt>
                <c:pt idx="305">
                  <c:v>91.021933052553635</c:v>
                </c:pt>
                <c:pt idx="306">
                  <c:v>99.174715760964361</c:v>
                </c:pt>
                <c:pt idx="307">
                  <c:v>99.174715760964361</c:v>
                </c:pt>
                <c:pt idx="308">
                  <c:v>86.649732152306498</c:v>
                </c:pt>
                <c:pt idx="309">
                  <c:v>68.948401436307435</c:v>
                </c:pt>
                <c:pt idx="310">
                  <c:v>72.468294806305579</c:v>
                </c:pt>
                <c:pt idx="311">
                  <c:v>64.690423066308369</c:v>
                </c:pt>
                <c:pt idx="312">
                  <c:v>79.107121340306506</c:v>
                </c:pt>
                <c:pt idx="313">
                  <c:v>83.215861604307449</c:v>
                </c:pt>
                <c:pt idx="314">
                  <c:v>64.301127028005027</c:v>
                </c:pt>
                <c:pt idx="315">
                  <c:v>54.710969084005946</c:v>
                </c:pt>
                <c:pt idx="316">
                  <c:v>61.459500572005027</c:v>
                </c:pt>
                <c:pt idx="317">
                  <c:v>39.984898944004087</c:v>
                </c:pt>
                <c:pt idx="318">
                  <c:v>39.059384080005948</c:v>
                </c:pt>
                <c:pt idx="319">
                  <c:v>49.069294322006876</c:v>
                </c:pt>
                <c:pt idx="320">
                  <c:v>51.632073812005018</c:v>
                </c:pt>
                <c:pt idx="321">
                  <c:v>61.044502312259816</c:v>
                </c:pt>
                <c:pt idx="322">
                  <c:v>65.046981836259818</c:v>
                </c:pt>
                <c:pt idx="323">
                  <c:v>61.973451656260742</c:v>
                </c:pt>
                <c:pt idx="324">
                  <c:v>57.66031306425981</c:v>
                </c:pt>
                <c:pt idx="325">
                  <c:v>52.574491350260743</c:v>
                </c:pt>
                <c:pt idx="326">
                  <c:v>62.651791904259817</c:v>
                </c:pt>
                <c:pt idx="327">
                  <c:v>55.702016632261682</c:v>
                </c:pt>
                <c:pt idx="328">
                  <c:v>37.10577716888654</c:v>
                </c:pt>
                <c:pt idx="329">
                  <c:v>32.7984575448884</c:v>
                </c:pt>
                <c:pt idx="330">
                  <c:v>34.793228270888399</c:v>
                </c:pt>
                <c:pt idx="331">
                  <c:v>41.2591363828884</c:v>
                </c:pt>
                <c:pt idx="332">
                  <c:v>28.227946492888396</c:v>
                </c:pt>
                <c:pt idx="333">
                  <c:v>38.312418940888399</c:v>
                </c:pt>
                <c:pt idx="334">
                  <c:v>48.322491006887468</c:v>
                </c:pt>
                <c:pt idx="335">
                  <c:v>41.123223929528258</c:v>
                </c:pt>
                <c:pt idx="336">
                  <c:v>52.456698009527322</c:v>
                </c:pt>
                <c:pt idx="337">
                  <c:v>46.022433545527328</c:v>
                </c:pt>
                <c:pt idx="338">
                  <c:v>32.122847235526393</c:v>
                </c:pt>
                <c:pt idx="339">
                  <c:v>24.04601276152826</c:v>
                </c:pt>
                <c:pt idx="340">
                  <c:v>30.42039194552919</c:v>
                </c:pt>
                <c:pt idx="341">
                  <c:v>29.281747123526394</c:v>
                </c:pt>
                <c:pt idx="342">
                  <c:v>22.808710077752295</c:v>
                </c:pt>
                <c:pt idx="343">
                  <c:v>25.381636507752294</c:v>
                </c:pt>
                <c:pt idx="344">
                  <c:v>30.097485453753222</c:v>
                </c:pt>
                <c:pt idx="345">
                  <c:v>26.399948901751362</c:v>
                </c:pt>
                <c:pt idx="346">
                  <c:v>19.313892079751355</c:v>
                </c:pt>
                <c:pt idx="347">
                  <c:v>46.131497131753228</c:v>
                </c:pt>
                <c:pt idx="348">
                  <c:v>42.376979761752295</c:v>
                </c:pt>
                <c:pt idx="349">
                  <c:v>29.866455020219043</c:v>
                </c:pt>
                <c:pt idx="350">
                  <c:v>3.6858126262199731</c:v>
                </c:pt>
                <c:pt idx="351">
                  <c:v>4.2177814382199683</c:v>
                </c:pt>
                <c:pt idx="352">
                  <c:v>5.5702210842199715</c:v>
                </c:pt>
                <c:pt idx="353">
                  <c:v>5.4717802962209028</c:v>
                </c:pt>
                <c:pt idx="354">
                  <c:v>4.6292638182190418</c:v>
                </c:pt>
                <c:pt idx="355">
                  <c:v>7.8382079562199722</c:v>
                </c:pt>
                <c:pt idx="356">
                  <c:v>19.542001010242529</c:v>
                </c:pt>
                <c:pt idx="357">
                  <c:v>11.83257413824346</c:v>
                </c:pt>
                <c:pt idx="358">
                  <c:v>13.604441506245326</c:v>
                </c:pt>
                <c:pt idx="359">
                  <c:v>14.067334344244395</c:v>
                </c:pt>
                <c:pt idx="360">
                  <c:v>14.775482156243463</c:v>
                </c:pt>
                <c:pt idx="361">
                  <c:v>16.261251046242531</c:v>
                </c:pt>
                <c:pt idx="362">
                  <c:v>21.935580164243461</c:v>
                </c:pt>
                <c:pt idx="363">
                  <c:v>9.1596987699111931</c:v>
                </c:pt>
                <c:pt idx="364">
                  <c:v>13.891888505911192</c:v>
                </c:pt>
                <c:pt idx="365">
                  <c:v>18.251279493911191</c:v>
                </c:pt>
                <c:pt idx="366">
                  <c:v>13.30726302791026</c:v>
                </c:pt>
                <c:pt idx="367">
                  <c:v>10.85917095791026</c:v>
                </c:pt>
                <c:pt idx="368">
                  <c:v>12.598542783910263</c:v>
                </c:pt>
                <c:pt idx="369">
                  <c:v>9.8952008619102596</c:v>
                </c:pt>
                <c:pt idx="370">
                  <c:v>11.241820423679</c:v>
                </c:pt>
                <c:pt idx="371">
                  <c:v>8.9794350036817967</c:v>
                </c:pt>
                <c:pt idx="372">
                  <c:v>9.724760133679931</c:v>
                </c:pt>
                <c:pt idx="373">
                  <c:v>10.570958937678999</c:v>
                </c:pt>
                <c:pt idx="374">
                  <c:v>6.7936013716790002</c:v>
                </c:pt>
                <c:pt idx="375">
                  <c:v>6.1090904676808639</c:v>
                </c:pt>
                <c:pt idx="376">
                  <c:v>11.517142063679</c:v>
                </c:pt>
                <c:pt idx="377">
                  <c:v>4.7365951573210552</c:v>
                </c:pt>
                <c:pt idx="378">
                  <c:v>4.4466675373191977</c:v>
                </c:pt>
                <c:pt idx="379">
                  <c:v>3.4484459653201265</c:v>
                </c:pt>
                <c:pt idx="380">
                  <c:v>2.2119180733191932</c:v>
                </c:pt>
                <c:pt idx="381">
                  <c:v>4.3806667053201274</c:v>
                </c:pt>
                <c:pt idx="382">
                  <c:v>2.7063242153210596</c:v>
                </c:pt>
                <c:pt idx="383">
                  <c:v>8.1026848313191948</c:v>
                </c:pt>
                <c:pt idx="384">
                  <c:v>7.0364355158213581</c:v>
                </c:pt>
                <c:pt idx="385">
                  <c:v>2.2514252478222878</c:v>
                </c:pt>
                <c:pt idx="386">
                  <c:v>9.5429019778213551</c:v>
                </c:pt>
                <c:pt idx="387">
                  <c:v>1.8340053678213553</c:v>
                </c:pt>
                <c:pt idx="388">
                  <c:v>6.3163635378232215</c:v>
                </c:pt>
                <c:pt idx="389">
                  <c:v>2.608429777821355</c:v>
                </c:pt>
                <c:pt idx="390">
                  <c:v>2.9616896878222905</c:v>
                </c:pt>
                <c:pt idx="391">
                  <c:v>1.8403673500869917</c:v>
                </c:pt>
                <c:pt idx="392">
                  <c:v>3.9601499940860667</c:v>
                </c:pt>
                <c:pt idx="393">
                  <c:v>4.9799810000860667</c:v>
                </c:pt>
                <c:pt idx="394">
                  <c:v>3.3192366360860652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dLbl>
              <c:idx val="14"/>
              <c:layout>
                <c:manualLayout>
                  <c:x val="2.2229582224881153E-3"/>
                  <c:y val="-4.7981895963791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00-4EBE-8E7C-911494DEC250}"/>
                </c:ext>
              </c:extLst>
            </c:dLbl>
            <c:dLbl>
              <c:idx val="42"/>
              <c:layout>
                <c:manualLayout>
                  <c:x val="0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C0-46EF-9B1B-459C2A16BB2A}"/>
                </c:ext>
              </c:extLst>
            </c:dLbl>
            <c:dLbl>
              <c:idx val="44"/>
              <c:layout>
                <c:manualLayout>
                  <c:x val="-1.8091361374943465E-3"/>
                  <c:y val="-8.3989501312335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54-40F8-8094-8BBB96175E04}"/>
                </c:ext>
              </c:extLst>
            </c:dLbl>
            <c:dLbl>
              <c:idx val="45"/>
              <c:layout>
                <c:manualLayout>
                  <c:x val="-3.6182722749886929E-3"/>
                  <c:y val="-4.7244094488189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31-445D-966A-E62ED2FF8B5B}"/>
                </c:ext>
              </c:extLst>
            </c:dLbl>
            <c:dLbl>
              <c:idx val="73"/>
              <c:layout>
                <c:manualLayout>
                  <c:x val="0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1F-4F51-B390-EBF8494B3D7D}"/>
                </c:ext>
              </c:extLst>
            </c:dLbl>
            <c:dLbl>
              <c:idx val="75"/>
              <c:layout>
                <c:manualLayout>
                  <c:x val="7.2365445499773858E-3"/>
                  <c:y val="-5.2493438320209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AF-4F77-9D66-2E3AE3778034}"/>
                </c:ext>
              </c:extLst>
            </c:dLbl>
            <c:dLbl>
              <c:idx val="76"/>
              <c:layout>
                <c:manualLayout>
                  <c:x val="-5.4274084124830389E-3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44-4930-AF88-4415119B9331}"/>
                </c:ext>
              </c:extLst>
            </c:dLbl>
            <c:dLbl>
              <c:idx val="103"/>
              <c:layout>
                <c:manualLayout>
                  <c:x val="-3.316711270474679E-17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0-46EF-9B1B-459C2A16BB2A}"/>
                </c:ext>
              </c:extLst>
            </c:dLbl>
            <c:dLbl>
              <c:idx val="104"/>
              <c:layout>
                <c:manualLayout>
                  <c:x val="-1.7263703064307294E-3"/>
                  <c:y val="-0.1070950468540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C1-40B5-940B-57AC62E60D24}"/>
                </c:ext>
              </c:extLst>
            </c:dLbl>
            <c:dLbl>
              <c:idx val="105"/>
              <c:layout>
                <c:manualLayout>
                  <c:x val="7.236544549977319E-3"/>
                  <c:y val="-5.77427821522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AF-4F77-9D66-2E3AE3778034}"/>
                </c:ext>
              </c:extLst>
            </c:dLbl>
            <c:dLbl>
              <c:idx val="106"/>
              <c:layout>
                <c:manualLayout>
                  <c:x val="-6.633422540949358E-17"/>
                  <c:y val="-4.7244094488189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31-445D-966A-E62ED2FF8B5B}"/>
                </c:ext>
              </c:extLst>
            </c:dLbl>
            <c:dLbl>
              <c:idx val="134"/>
              <c:layout>
                <c:manualLayout>
                  <c:x val="-6.633422540949358E-17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4E-4B4C-ADE6-8C48B57A01A8}"/>
                </c:ext>
              </c:extLst>
            </c:dLbl>
            <c:dLbl>
              <c:idx val="136"/>
              <c:layout>
                <c:manualLayout>
                  <c:x val="5.4274084124830389E-3"/>
                  <c:y val="-5.77427821522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67-4DF3-A9DB-FA5385821A8D}"/>
                </c:ext>
              </c:extLst>
            </c:dLbl>
            <c:dLbl>
              <c:idx val="137"/>
              <c:layout>
                <c:manualLayout>
                  <c:x val="0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D6-458F-9A9A-3CD2BCB8891C}"/>
                </c:ext>
              </c:extLst>
            </c:dLbl>
            <c:dLbl>
              <c:idx val="164"/>
              <c:layout>
                <c:manualLayout>
                  <c:x val="0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0-46EF-9B1B-459C2A16BB2A}"/>
                </c:ext>
              </c:extLst>
            </c:dLbl>
            <c:dLbl>
              <c:idx val="165"/>
              <c:layout>
                <c:manualLayout>
                  <c:x val="1.8091361374943465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9A-401D-845E-C0B390E2F351}"/>
                </c:ext>
              </c:extLst>
            </c:dLbl>
            <c:dLbl>
              <c:idx val="167"/>
              <c:layout>
                <c:manualLayout>
                  <c:x val="-1.8091361374944128E-3"/>
                  <c:y val="-0.19422572178477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AF-4F77-9D66-2E3AE3778034}"/>
                </c:ext>
              </c:extLst>
            </c:dLbl>
            <c:dLbl>
              <c:idx val="195"/>
              <c:layout>
                <c:manualLayout>
                  <c:x val="5.510111840249513E-3"/>
                  <c:y val="-6.729279322012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54-40F8-8094-8BBB96175E04}"/>
                </c:ext>
              </c:extLst>
            </c:dLbl>
            <c:dLbl>
              <c:idx val="197"/>
              <c:layout>
                <c:manualLayout>
                  <c:x val="-6.633422540949358E-17"/>
                  <c:y val="-5.249343832021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EC-4C97-A214-B78FCD8C0874}"/>
                </c:ext>
              </c:extLst>
            </c:dLbl>
            <c:dLbl>
              <c:idx val="198"/>
              <c:layout>
                <c:manualLayout>
                  <c:x val="-6.633422540949358E-17"/>
                  <c:y val="-8.9238845144356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31-445D-966A-E62ED2FF8B5B}"/>
                </c:ext>
              </c:extLst>
            </c:dLbl>
            <c:dLbl>
              <c:idx val="226"/>
              <c:layout>
                <c:manualLayout>
                  <c:x val="5.3446793471057814E-3"/>
                  <c:y val="-5.15447617240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F7-454C-80DD-2E53E93A464E}"/>
                </c:ext>
              </c:extLst>
            </c:dLbl>
            <c:dLbl>
              <c:idx val="228"/>
              <c:layout>
                <c:manualLayout>
                  <c:x val="1.8091361374944128E-3"/>
                  <c:y val="-8.9238845144356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31-445D-966A-E62ED2FF8B5B}"/>
                </c:ext>
              </c:extLst>
            </c:dLbl>
            <c:dLbl>
              <c:idx val="229"/>
              <c:layout>
                <c:manualLayout>
                  <c:x val="-1.8091361374944128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44-4930-AF88-4415119B9331}"/>
                </c:ext>
              </c:extLst>
            </c:dLbl>
            <c:dLbl>
              <c:idx val="256"/>
              <c:layout>
                <c:manualLayout>
                  <c:x val="1.8091361374942137E-3"/>
                  <c:y val="-0.11548556430446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0-46EF-9B1B-459C2A16BB2A}"/>
                </c:ext>
              </c:extLst>
            </c:dLbl>
            <c:dLbl>
              <c:idx val="257"/>
              <c:layout>
                <c:manualLayout>
                  <c:x val="0"/>
                  <c:y val="-0.10079153491640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C1-40B5-940B-57AC62E60D24}"/>
                </c:ext>
              </c:extLst>
            </c:dLbl>
            <c:dLbl>
              <c:idx val="259"/>
              <c:layout>
                <c:manualLayout>
                  <c:x val="0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31-445D-966A-E62ED2FF8B5B}"/>
                </c:ext>
              </c:extLst>
            </c:dLbl>
            <c:dLbl>
              <c:idx val="287"/>
              <c:layout>
                <c:manualLayout>
                  <c:x val="1.8091361374942137E-3"/>
                  <c:y val="-9.9737532808399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F7-4152-9D24-00490E000A9C}"/>
                </c:ext>
              </c:extLst>
            </c:dLbl>
            <c:dLbl>
              <c:idx val="289"/>
              <c:layout>
                <c:manualLayout>
                  <c:x val="0"/>
                  <c:y val="-0.10498687664042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EC-4C97-A214-B78FCD8C0874}"/>
                </c:ext>
              </c:extLst>
            </c:dLbl>
            <c:dLbl>
              <c:idx val="290"/>
              <c:layout>
                <c:manualLayout>
                  <c:x val="0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D6-458F-9A9A-3CD2BCB8891C}"/>
                </c:ext>
              </c:extLst>
            </c:dLbl>
            <c:dLbl>
              <c:idx val="317"/>
              <c:layout>
                <c:manualLayout>
                  <c:x val="9.0456806874717327E-3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67-4DF3-A9DB-FA5385821A8D}"/>
                </c:ext>
              </c:extLst>
            </c:dLbl>
            <c:dLbl>
              <c:idx val="318"/>
              <c:layout>
                <c:manualLayout>
                  <c:x val="0"/>
                  <c:y val="-0.100475334284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9A-401D-845E-C0B390E2F351}"/>
                </c:ext>
              </c:extLst>
            </c:dLbl>
            <c:dLbl>
              <c:idx val="319"/>
              <c:layout>
                <c:manualLayout>
                  <c:x val="1.8091361374943465E-3"/>
                  <c:y val="-7.3490813648293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26-4E7F-836E-087F4C74187B}"/>
                </c:ext>
              </c:extLst>
            </c:dLbl>
            <c:dLbl>
              <c:idx val="320"/>
              <c:layout>
                <c:manualLayout>
                  <c:x val="0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31-445D-966A-E62ED2FF8B5B}"/>
                </c:ext>
              </c:extLst>
            </c:dLbl>
            <c:dLbl>
              <c:idx val="348"/>
              <c:layout>
                <c:manualLayout>
                  <c:x val="3.6182722749886929E-3"/>
                  <c:y val="-0.11685576704486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AF-4F77-9D66-2E3AE3778034}"/>
                </c:ext>
              </c:extLst>
            </c:dLbl>
            <c:dLbl>
              <c:idx val="349"/>
              <c:layout>
                <c:manualLayout>
                  <c:x val="0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D6-458F-9A9A-3CD2BCB8891C}"/>
                </c:ext>
              </c:extLst>
            </c:dLbl>
            <c:dLbl>
              <c:idx val="351"/>
              <c:layout>
                <c:manualLayout>
                  <c:x val="0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31-445D-966A-E62ED2FF8B5B}"/>
                </c:ext>
              </c:extLst>
            </c:dLbl>
            <c:dLbl>
              <c:idx val="379"/>
              <c:layout>
                <c:manualLayout>
                  <c:x val="1.8091361374943465E-3"/>
                  <c:y val="-5.3125839585012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F7-4152-9D24-00490E000A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Dat_02!$F$3:$F$397</c:f>
              <c:strCache>
                <c:ptCount val="380"/>
                <c:pt idx="14">
                  <c:v>J</c:v>
                </c:pt>
                <c:pt idx="45">
                  <c:v>A</c:v>
                </c:pt>
                <c:pt idx="76">
                  <c:v>S</c:v>
                </c:pt>
                <c:pt idx="106">
                  <c:v>O</c:v>
                </c:pt>
                <c:pt idx="137">
                  <c:v>N</c:v>
                </c:pt>
                <c:pt idx="167">
                  <c:v>D</c:v>
                </c:pt>
                <c:pt idx="198">
                  <c:v>E</c:v>
                </c:pt>
                <c:pt idx="229">
                  <c:v>F</c:v>
                </c:pt>
                <c:pt idx="257">
                  <c:v>M</c:v>
                </c:pt>
                <c:pt idx="288">
                  <c:v>A</c:v>
                </c:pt>
                <c:pt idx="318">
                  <c:v>M</c:v>
                </c:pt>
                <c:pt idx="349">
                  <c:v>J</c:v>
                </c:pt>
                <c:pt idx="379">
                  <c:v>J</c:v>
                </c:pt>
              </c:strCache>
            </c:strRef>
          </c:cat>
          <c:val>
            <c:numRef>
              <c:f>Dat_02!$G$3:$G$397</c:f>
              <c:numCache>
                <c:formatCode>0</c:formatCode>
                <c:ptCount val="395"/>
                <c:pt idx="14">
                  <c:v>28.26541708637771</c:v>
                </c:pt>
                <c:pt idx="45">
                  <c:v>17.065966880459293</c:v>
                </c:pt>
                <c:pt idx="76">
                  <c:v>21.014323006984561</c:v>
                </c:pt>
                <c:pt idx="106">
                  <c:v>42.895784539321873</c:v>
                </c:pt>
                <c:pt idx="137">
                  <c:v>83.114057360768328</c:v>
                </c:pt>
                <c:pt idx="167">
                  <c:v>104.11073943778104</c:v>
                </c:pt>
                <c:pt idx="198">
                  <c:v>117.91214619510544</c:v>
                </c:pt>
                <c:pt idx="229">
                  <c:v>129.94088839596503</c:v>
                </c:pt>
                <c:pt idx="257">
                  <c:v>128.70213492494773</c:v>
                </c:pt>
                <c:pt idx="288">
                  <c:v>125.24455872987446</c:v>
                </c:pt>
                <c:pt idx="318">
                  <c:v>99.174715760964361</c:v>
                </c:pt>
                <c:pt idx="349">
                  <c:v>63.620103867145374</c:v>
                </c:pt>
                <c:pt idx="379">
                  <c:v>27.438293490002458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3'!$F$47:$F$59</c:f>
              <c:numCache>
                <c:formatCode>#,##0\ _)</c:formatCode>
                <c:ptCount val="13"/>
                <c:pt idx="0">
                  <c:v>12411.383130949995</c:v>
                </c:pt>
                <c:pt idx="1">
                  <c:v>11082.055950350004</c:v>
                </c:pt>
                <c:pt idx="2">
                  <c:v>10288.729394799997</c:v>
                </c:pt>
                <c:pt idx="3">
                  <c:v>9948.8780525499988</c:v>
                </c:pt>
                <c:pt idx="4">
                  <c:v>11222.871138699997</c:v>
                </c:pt>
                <c:pt idx="5">
                  <c:v>13273.133537799993</c:v>
                </c:pt>
                <c:pt idx="6">
                  <c:v>13035.252519200001</c:v>
                </c:pt>
                <c:pt idx="7">
                  <c:v>13419.170344149999</c:v>
                </c:pt>
                <c:pt idx="8">
                  <c:v>13898.837668799999</c:v>
                </c:pt>
                <c:pt idx="9">
                  <c:v>13999.32071715</c:v>
                </c:pt>
                <c:pt idx="10">
                  <c:v>14194.180336200001</c:v>
                </c:pt>
                <c:pt idx="11">
                  <c:v>13918.899108600002</c:v>
                </c:pt>
                <c:pt idx="12">
                  <c:v>12486.880997399992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3'!$G$47:$G$59</c:f>
              <c:numCache>
                <c:formatCode>#,##0\ _)</c:formatCode>
                <c:ptCount val="13"/>
                <c:pt idx="0">
                  <c:v>5800.1947457021333</c:v>
                </c:pt>
                <c:pt idx="1">
                  <c:v>5069.3133357481856</c:v>
                </c:pt>
                <c:pt idx="2">
                  <c:v>4739.6054379773832</c:v>
                </c:pt>
                <c:pt idx="3">
                  <c:v>4467.0470089624023</c:v>
                </c:pt>
                <c:pt idx="4">
                  <c:v>4812.1705738000001</c:v>
                </c:pt>
                <c:pt idx="5">
                  <c:v>5316.2767810999994</c:v>
                </c:pt>
                <c:pt idx="6">
                  <c:v>5477.0266986999977</c:v>
                </c:pt>
                <c:pt idx="7">
                  <c:v>5596.8493599999993</c:v>
                </c:pt>
                <c:pt idx="8">
                  <c:v>5950.5832111499976</c:v>
                </c:pt>
                <c:pt idx="9">
                  <c:v>7213.8650399999988</c:v>
                </c:pt>
                <c:pt idx="10">
                  <c:v>7275.1757219999972</c:v>
                </c:pt>
                <c:pt idx="11">
                  <c:v>6720.2938423489422</c:v>
                </c:pt>
                <c:pt idx="12">
                  <c:v>5861.5753199858218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3'!$H$47:$H$59</c:f>
              <c:numCache>
                <c:formatCode>#,##0\ _)</c:formatCode>
                <c:ptCount val="13"/>
                <c:pt idx="0">
                  <c:v>9824.1360547772583</c:v>
                </c:pt>
                <c:pt idx="1">
                  <c:v>8745.5835792961407</c:v>
                </c:pt>
                <c:pt idx="2">
                  <c:v>7973.9046291740378</c:v>
                </c:pt>
                <c:pt idx="3">
                  <c:v>7820.7365874517254</c:v>
                </c:pt>
                <c:pt idx="4">
                  <c:v>8187.5351249509931</c:v>
                </c:pt>
                <c:pt idx="5">
                  <c:v>8633.7092310648623</c:v>
                </c:pt>
                <c:pt idx="6">
                  <c:v>9325.0652119229526</c:v>
                </c:pt>
                <c:pt idx="7">
                  <c:v>10034.297981343811</c:v>
                </c:pt>
                <c:pt idx="8">
                  <c:v>10651.382707382183</c:v>
                </c:pt>
                <c:pt idx="9">
                  <c:v>11224.845272938524</c:v>
                </c:pt>
                <c:pt idx="10">
                  <c:v>11376.573024106245</c:v>
                </c:pt>
                <c:pt idx="11">
                  <c:v>10871.053378959414</c:v>
                </c:pt>
                <c:pt idx="12">
                  <c:v>9714.3243532549059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3'!$E$47:$E$59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3'!$D$47:$D$59</c:f>
              <c:numCache>
                <c:formatCode>#,##0</c:formatCode>
                <c:ptCount val="13"/>
                <c:pt idx="0">
                  <c:v>8744.6750995529528</c:v>
                </c:pt>
                <c:pt idx="1">
                  <c:v>7124.7383119369397</c:v>
                </c:pt>
                <c:pt idx="2">
                  <c:v>6314.3165171768396</c:v>
                </c:pt>
                <c:pt idx="3">
                  <c:v>5952.5394311548098</c:v>
                </c:pt>
                <c:pt idx="4">
                  <c:v>5955.5060306251098</c:v>
                </c:pt>
                <c:pt idx="5">
                  <c:v>6678.5636735501203</c:v>
                </c:pt>
                <c:pt idx="6">
                  <c:v>7030.3147235812303</c:v>
                </c:pt>
                <c:pt idx="7">
                  <c:v>6849.7365063100897</c:v>
                </c:pt>
                <c:pt idx="8">
                  <c:v>7242.5224796164302</c:v>
                </c:pt>
                <c:pt idx="9">
                  <c:v>7896.3920571419603</c:v>
                </c:pt>
                <c:pt idx="10">
                  <c:v>7862.6649207238397</c:v>
                </c:pt>
                <c:pt idx="11">
                  <c:v>7336.6756913938698</c:v>
                </c:pt>
                <c:pt idx="12">
                  <c:v>6503.7333101836002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400049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341819A-FE5F-441D-9930-1AF26689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7A8FE2-2184-469B-84CF-30903322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1504949</xdr:colOff>
      <xdr:row>10</xdr:row>
      <xdr:rowOff>114300</xdr:rowOff>
    </xdr:from>
    <xdr:to>
      <xdr:col>4</xdr:col>
      <xdr:colOff>2590798</xdr:colOff>
      <xdr:row>16</xdr:row>
      <xdr:rowOff>114300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BB7DF97-B6E1-4E6D-ADB6-412A8984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114300</xdr:rowOff>
    </xdr:from>
    <xdr:to>
      <xdr:col>4</xdr:col>
      <xdr:colOff>123824</xdr:colOff>
      <xdr:row>2</xdr:row>
      <xdr:rowOff>65399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F04D42E-3CFB-4E86-ADC0-DF80F253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E5847-91F4-42F9-A84F-8E804523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F589756-E196-46A6-9B94-616DD6D0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4E5667C-B280-4B69-AEE7-447371D0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71D35D-C21D-456B-880F-494E3B2D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04EFCC-B70C-465F-8D7D-A447B99E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E560F7-6D45-41E0-A088-574BB46E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A4B4072-FA3B-442A-A178-E5F7E4B2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0.49008</cdr:x>
      <cdr:y>0.06633</cdr:y>
    </cdr:from>
    <cdr:to>
      <cdr:x>0.49221</cdr:x>
      <cdr:y>0.81108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00267" y="241345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4</xdr:col>
      <xdr:colOff>4785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123825</xdr:rowOff>
    </xdr:from>
    <xdr:to>
      <xdr:col>3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E1D183-AD0B-474A-A5CC-DDEF0F63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142875</xdr:rowOff>
    </xdr:from>
    <xdr:to>
      <xdr:col>3</xdr:col>
      <xdr:colOff>123824</xdr:colOff>
      <xdr:row>2</xdr:row>
      <xdr:rowOff>36824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1D911BA-0EE7-4A6A-986F-E43AF4AE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0.47859</cdr:x>
      <cdr:y>0.09228</cdr:y>
    </cdr:from>
    <cdr:to>
      <cdr:x>0.47867</cdr:x>
      <cdr:y>0.75492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50528" y="286836"/>
          <a:ext cx="560" cy="20597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0.78276</cdr:x>
      <cdr:y>0.58938</cdr:y>
    </cdr:from>
    <cdr:to>
      <cdr:x>0.91338</cdr:x>
      <cdr:y>0.68414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79999" y="1807666"/>
          <a:ext cx="914454" cy="29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0.77687</cdr:x>
      <cdr:y>0.21554</cdr:y>
    </cdr:from>
    <cdr:to>
      <cdr:x>0.91546</cdr:x>
      <cdr:y>0.2891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8798" y="661078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8</xdr:row>
      <xdr:rowOff>152400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06930" y="1533525"/>
          <a:ext cx="236220" cy="22552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47,2%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9</xdr:row>
      <xdr:rowOff>104775</xdr:rowOff>
    </xdr:from>
    <xdr:to>
      <xdr:col>4</xdr:col>
      <xdr:colOff>828675</xdr:colOff>
      <xdr:row>10</xdr:row>
      <xdr:rowOff>35925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30780" y="1647825"/>
          <a:ext cx="255270" cy="9307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12,7%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38100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48280" y="1581150"/>
          <a:ext cx="261620" cy="161926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38,1%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1.202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115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1.318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1487805</xdr:colOff>
      <xdr:row>7</xdr:row>
      <xdr:rowOff>114300</xdr:rowOff>
    </xdr:from>
    <xdr:to>
      <xdr:col>4</xdr:col>
      <xdr:colOff>1811655</xdr:colOff>
      <xdr:row>8</xdr:row>
      <xdr:rowOff>152400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5180" y="13335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5.250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1714500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571875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142875</xdr:rowOff>
    </xdr:from>
    <xdr:to>
      <xdr:col>4</xdr:col>
      <xdr:colOff>1166400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71775" y="2171700"/>
          <a:ext cx="252000" cy="13184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42,6%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66676</xdr:rowOff>
    </xdr:from>
    <xdr:to>
      <xdr:col>4</xdr:col>
      <xdr:colOff>1466850</xdr:colOff>
      <xdr:row>13</xdr:row>
      <xdr:rowOff>115913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86100" y="2095501"/>
          <a:ext cx="238125" cy="21116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32,6%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104775</xdr:rowOff>
    </xdr:from>
    <xdr:to>
      <xdr:col>4</xdr:col>
      <xdr:colOff>1795050</xdr:colOff>
      <xdr:row>13</xdr:row>
      <xdr:rowOff>102374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133600"/>
          <a:ext cx="252000" cy="15952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36,1%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4.078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866775</xdr:colOff>
      <xdr:row>11</xdr:row>
      <xdr:rowOff>28575</xdr:rowOff>
    </xdr:from>
    <xdr:to>
      <xdr:col>4</xdr:col>
      <xdr:colOff>1190625</xdr:colOff>
      <xdr:row>11</xdr:row>
      <xdr:rowOff>152400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24150" y="1895475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716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1209675</xdr:colOff>
      <xdr:row>11</xdr:row>
      <xdr:rowOff>28575</xdr:rowOff>
    </xdr:from>
    <xdr:to>
      <xdr:col>4</xdr:col>
      <xdr:colOff>1533525</xdr:colOff>
      <xdr:row>12</xdr:row>
      <xdr:rowOff>68580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67050" y="189547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1.018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1533525</xdr:colOff>
      <xdr:row>11</xdr:row>
      <xdr:rowOff>38100</xdr:rowOff>
    </xdr:from>
    <xdr:to>
      <xdr:col>4</xdr:col>
      <xdr:colOff>1857375</xdr:colOff>
      <xdr:row>12</xdr:row>
      <xdr:rowOff>9525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1905000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1.735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1.065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49,9%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137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76199</xdr:rowOff>
    </xdr:from>
    <xdr:to>
      <xdr:col>4</xdr:col>
      <xdr:colOff>2854230</xdr:colOff>
      <xdr:row>12</xdr:row>
      <xdr:rowOff>99529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59605" y="1943099"/>
          <a:ext cx="252000" cy="18525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56,0%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66675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33575"/>
          <a:ext cx="252000" cy="1897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50,6%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1.203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3.402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853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76200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87800" y="2752725"/>
          <a:ext cx="260350" cy="140206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35,2%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1.214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32,0%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95250</xdr:rowOff>
    </xdr:from>
    <xdr:to>
      <xdr:col>4</xdr:col>
      <xdr:colOff>2933700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91051" y="2771775"/>
          <a:ext cx="200024" cy="12495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33,2%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2.067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3.558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196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100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114299</xdr:rowOff>
    </xdr:from>
    <xdr:to>
      <xdr:col>4</xdr:col>
      <xdr:colOff>1771650</xdr:colOff>
      <xdr:row>20</xdr:row>
      <xdr:rowOff>152293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81375" y="3276599"/>
          <a:ext cx="247650" cy="199919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55,4%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38099</xdr:rowOff>
    </xdr:from>
    <xdr:to>
      <xdr:col>4</xdr:col>
      <xdr:colOff>2085974</xdr:colOff>
      <xdr:row>20</xdr:row>
      <xdr:rowOff>148042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62324"/>
          <a:ext cx="257175" cy="10994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10,8%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2133599</xdr:colOff>
      <xdr:row>20</xdr:row>
      <xdr:rowOff>9525</xdr:rowOff>
    </xdr:from>
    <xdr:to>
      <xdr:col>4</xdr:col>
      <xdr:colOff>2352674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4" y="3333750"/>
          <a:ext cx="219075" cy="14254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20,3%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172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610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2074544</xdr:colOff>
      <xdr:row>20</xdr:row>
      <xdr:rowOff>131445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3931919" y="345567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2.568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57151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191001"/>
          <a:ext cx="320675" cy="16465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26,8%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3.936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47625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86275" y="4181475"/>
          <a:ext cx="304800" cy="174312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43,9%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6.504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47625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51476" y="4181475"/>
          <a:ext cx="292100" cy="169357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35,1%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114300</xdr:rowOff>
    </xdr:from>
    <xdr:to>
      <xdr:col>4</xdr:col>
      <xdr:colOff>133349</xdr:colOff>
      <xdr:row>2</xdr:row>
      <xdr:rowOff>65399</xdr:rowOff>
    </xdr:to>
    <xdr:pic>
      <xdr:nvPicPr>
        <xdr:cNvPr id="90" name="Imagen 89">
          <a:extLst>
            <a:ext uri="{FF2B5EF4-FFF2-40B4-BE49-F238E27FC236}">
              <a16:creationId xmlns:a16="http://schemas.microsoft.com/office/drawing/2014/main" id="{BB2EB66F-23DB-4AA1-8343-97272D53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COMUN\OBJETIVO%20NUEVO%20BOLETIN%20ELECTRONICO\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/Gesti&#243;n%20de%20la%20Informaci&#243;n/Publicaciones%20e%20Informes/Mensual/Bolet&#237;n&amp;Consejo/BOLETIN%20ELECTRONICO/2020/ENE/INF_ELABORADA/02%20Produccion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ozart Reports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Data 1"/>
      <sheetName val="Dat_01"/>
      <sheetName val="Dat_02"/>
      <sheetName val="Data 2"/>
      <sheetName val="Data 3"/>
      <sheetName val="Data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80">
          <cell r="A180">
            <v>1</v>
          </cell>
          <cell r="V180">
            <v>4.0364073278138024</v>
          </cell>
          <cell r="W180">
            <v>22.729690999999999</v>
          </cell>
        </row>
        <row r="181">
          <cell r="A181">
            <v>2</v>
          </cell>
          <cell r="V181">
            <v>11.367006583420485</v>
          </cell>
          <cell r="W181">
            <v>76.358892999999995</v>
          </cell>
        </row>
        <row r="182">
          <cell r="A182">
            <v>3</v>
          </cell>
          <cell r="V182">
            <v>12.661335249995359</v>
          </cell>
          <cell r="W182">
            <v>82.251890000000003</v>
          </cell>
        </row>
        <row r="183">
          <cell r="A183">
            <v>4</v>
          </cell>
          <cell r="V183">
            <v>19.275916283364502</v>
          </cell>
          <cell r="W183">
            <v>122.922623</v>
          </cell>
        </row>
        <row r="184">
          <cell r="A184">
            <v>5</v>
          </cell>
          <cell r="V184">
            <v>10.20169722030159</v>
          </cell>
          <cell r="W184">
            <v>58.951445</v>
          </cell>
        </row>
        <row r="185">
          <cell r="A185">
            <v>6</v>
          </cell>
          <cell r="V185">
            <v>8.0595157587241619</v>
          </cell>
          <cell r="W185">
            <v>46.902985999999999</v>
          </cell>
        </row>
        <row r="186">
          <cell r="A186">
            <v>7</v>
          </cell>
          <cell r="V186">
            <v>7.3971226652320965</v>
          </cell>
          <cell r="W186">
            <v>51.834186000000003</v>
          </cell>
        </row>
        <row r="187">
          <cell r="A187">
            <v>8</v>
          </cell>
          <cell r="V187">
            <v>7.9829617554458689</v>
          </cell>
          <cell r="W187">
            <v>55.617998</v>
          </cell>
        </row>
        <row r="188">
          <cell r="A188">
            <v>9</v>
          </cell>
          <cell r="V188">
            <v>18.297985335774907</v>
          </cell>
          <cell r="W188">
            <v>129.95806899999999</v>
          </cell>
        </row>
        <row r="189">
          <cell r="A189">
            <v>10</v>
          </cell>
          <cell r="V189">
            <v>22.792488394649816</v>
          </cell>
          <cell r="W189">
            <v>167.65102100000001</v>
          </cell>
        </row>
        <row r="190">
          <cell r="A190">
            <v>11</v>
          </cell>
          <cell r="V190">
            <v>11.914015854995363</v>
          </cell>
          <cell r="W190">
            <v>74.797828999999993</v>
          </cell>
        </row>
        <row r="191">
          <cell r="A191">
            <v>12</v>
          </cell>
          <cell r="V191">
            <v>8.9548561031081366</v>
          </cell>
          <cell r="W191">
            <v>55.127344000000001</v>
          </cell>
        </row>
        <row r="192">
          <cell r="A192">
            <v>13</v>
          </cell>
          <cell r="V192">
            <v>17.096471348594466</v>
          </cell>
          <cell r="W192">
            <v>124.725183</v>
          </cell>
        </row>
        <row r="193">
          <cell r="A193">
            <v>14</v>
          </cell>
          <cell r="V193">
            <v>26.542921587405395</v>
          </cell>
          <cell r="W193">
            <v>189.66226800000001</v>
          </cell>
        </row>
        <row r="194">
          <cell r="A194">
            <v>15</v>
          </cell>
          <cell r="V194">
            <v>26.441294412667027</v>
          </cell>
          <cell r="W194">
            <v>191.20311999999998</v>
          </cell>
        </row>
        <row r="195">
          <cell r="A195">
            <v>16</v>
          </cell>
          <cell r="V195">
            <v>27.934967276143819</v>
          </cell>
          <cell r="W195">
            <v>208.30400399999999</v>
          </cell>
        </row>
        <row r="196">
          <cell r="A196">
            <v>17</v>
          </cell>
          <cell r="V196">
            <v>27.729434355055886</v>
          </cell>
          <cell r="W196">
            <v>204.448643</v>
          </cell>
        </row>
        <row r="197">
          <cell r="A197">
            <v>18</v>
          </cell>
          <cell r="V197">
            <v>29.76712196346493</v>
          </cell>
          <cell r="W197">
            <v>192.56064499999999</v>
          </cell>
        </row>
        <row r="198">
          <cell r="A198">
            <v>19</v>
          </cell>
          <cell r="V198">
            <v>43.162956101798592</v>
          </cell>
          <cell r="W198">
            <v>325.277627</v>
          </cell>
        </row>
        <row r="199">
          <cell r="A199">
            <v>20</v>
          </cell>
          <cell r="V199">
            <v>40.666814133586897</v>
          </cell>
          <cell r="W199">
            <v>342.42979700000001</v>
          </cell>
        </row>
        <row r="200">
          <cell r="A200">
            <v>21</v>
          </cell>
          <cell r="V200">
            <v>33.639012794693606</v>
          </cell>
          <cell r="W200">
            <v>274.82623700000005</v>
          </cell>
        </row>
        <row r="201">
          <cell r="A201">
            <v>22</v>
          </cell>
          <cell r="V201">
            <v>20.158042255408024</v>
          </cell>
          <cell r="W201">
            <v>155.211343</v>
          </cell>
        </row>
        <row r="202">
          <cell r="A202">
            <v>23</v>
          </cell>
          <cell r="V202">
            <v>10.621001482580782</v>
          </cell>
          <cell r="W202">
            <v>78.188232999999997</v>
          </cell>
        </row>
        <row r="203">
          <cell r="A203">
            <v>24</v>
          </cell>
          <cell r="V203">
            <v>8.1830167835742653</v>
          </cell>
          <cell r="W203">
            <v>59.561421000000003</v>
          </cell>
        </row>
        <row r="204">
          <cell r="A204">
            <v>25</v>
          </cell>
          <cell r="V204">
            <v>7.2468348434943684</v>
          </cell>
          <cell r="W204">
            <v>45.082391000000001</v>
          </cell>
        </row>
        <row r="205">
          <cell r="A205">
            <v>26</v>
          </cell>
          <cell r="V205">
            <v>20.601827791093498</v>
          </cell>
          <cell r="W205">
            <v>127.780219</v>
          </cell>
        </row>
        <row r="206">
          <cell r="A206">
            <v>27</v>
          </cell>
          <cell r="V206">
            <v>33.790735735251275</v>
          </cell>
          <cell r="W206">
            <v>258.72138799999999</v>
          </cell>
        </row>
        <row r="207">
          <cell r="A207">
            <v>28</v>
          </cell>
          <cell r="V207">
            <v>29.637984162561143</v>
          </cell>
          <cell r="W207">
            <v>219.008285</v>
          </cell>
        </row>
        <row r="208">
          <cell r="A208">
            <v>29</v>
          </cell>
          <cell r="V208">
            <v>27.697307594894795</v>
          </cell>
          <cell r="W208">
            <v>204.47540100000001</v>
          </cell>
        </row>
        <row r="209">
          <cell r="A209">
            <v>30</v>
          </cell>
          <cell r="V209">
            <v>31.145342218145295</v>
          </cell>
          <cell r="W209">
            <v>225.380064</v>
          </cell>
        </row>
        <row r="210">
          <cell r="A210">
            <v>31</v>
          </cell>
          <cell r="V210">
            <v>27.469874443223024</v>
          </cell>
          <cell r="W210">
            <v>190.724231</v>
          </cell>
        </row>
        <row r="220">
          <cell r="I220">
            <v>4.1E-5</v>
          </cell>
          <cell r="J220">
            <v>0</v>
          </cell>
          <cell r="P220">
            <v>-1.098482</v>
          </cell>
          <cell r="Q220">
            <v>-0.10553800000000001</v>
          </cell>
          <cell r="V220">
            <v>47.629278781455625</v>
          </cell>
        </row>
        <row r="221">
          <cell r="I221">
            <v>9.2E-5</v>
          </cell>
          <cell r="P221">
            <v>-2.1077149999999998</v>
          </cell>
          <cell r="V221">
            <v>48.967919430888543</v>
          </cell>
        </row>
        <row r="222">
          <cell r="I222">
            <v>9.8999999999999994E-5</v>
          </cell>
          <cell r="P222">
            <v>-2.7690290000000002</v>
          </cell>
          <cell r="V222">
            <v>49.555245094624631</v>
          </cell>
        </row>
        <row r="223">
          <cell r="I223">
            <v>1.05E-4</v>
          </cell>
          <cell r="P223">
            <v>-2.8212969999999999</v>
          </cell>
          <cell r="V223">
            <v>49.061364528953341</v>
          </cell>
        </row>
        <row r="224">
          <cell r="I224">
            <v>1.75E-4</v>
          </cell>
          <cell r="P224">
            <v>-2.8154530000000002</v>
          </cell>
          <cell r="V224">
            <v>49.840748443146474</v>
          </cell>
        </row>
        <row r="225">
          <cell r="I225">
            <v>1.85E-4</v>
          </cell>
          <cell r="P225">
            <v>-2.6310750000000001</v>
          </cell>
          <cell r="V225">
            <v>48.751729797838422</v>
          </cell>
        </row>
        <row r="226">
          <cell r="I226">
            <v>2.9300000000000002E-4</v>
          </cell>
          <cell r="P226">
            <v>-1.619848</v>
          </cell>
          <cell r="V226">
            <v>47.669768918362522</v>
          </cell>
        </row>
        <row r="227">
          <cell r="I227">
            <v>6.6100000000000002E-4</v>
          </cell>
          <cell r="P227">
            <v>-3.1413000000000003E-2</v>
          </cell>
          <cell r="V227">
            <v>43.265307569550288</v>
          </cell>
        </row>
        <row r="228">
          <cell r="I228">
            <v>1.5271E-2</v>
          </cell>
          <cell r="P228">
            <v>-2.2179999999999999E-3</v>
          </cell>
          <cell r="V228">
            <v>40.165657970142234</v>
          </cell>
        </row>
        <row r="229">
          <cell r="I229">
            <v>0.41887200000000002</v>
          </cell>
          <cell r="P229">
            <v>-2.2729999999999998E-3</v>
          </cell>
          <cell r="V229">
            <v>38.2594319158137</v>
          </cell>
        </row>
        <row r="230">
          <cell r="I230">
            <v>1.1088530000000001</v>
          </cell>
          <cell r="P230">
            <v>-2.3040000000000001E-3</v>
          </cell>
          <cell r="V230">
            <v>36.655059450195793</v>
          </cell>
        </row>
        <row r="231">
          <cell r="I231">
            <v>1.4735100000000001</v>
          </cell>
          <cell r="P231">
            <v>-2.251E-3</v>
          </cell>
          <cell r="V231">
            <v>36.392358481314794</v>
          </cell>
        </row>
        <row r="232">
          <cell r="I232">
            <v>1.7085809999999999</v>
          </cell>
          <cell r="P232">
            <v>-2.2850000000000001E-3</v>
          </cell>
          <cell r="V232">
            <v>35.99718609761721</v>
          </cell>
        </row>
        <row r="233">
          <cell r="I233">
            <v>1.7267129999999999</v>
          </cell>
          <cell r="P233">
            <v>-2.2859999999999998E-3</v>
          </cell>
          <cell r="V233">
            <v>36.568539681548458</v>
          </cell>
        </row>
        <row r="234">
          <cell r="I234">
            <v>1.640255</v>
          </cell>
          <cell r="P234">
            <v>-2.3019999999999998E-3</v>
          </cell>
          <cell r="V234">
            <v>36.695408655246709</v>
          </cell>
        </row>
        <row r="235">
          <cell r="I235">
            <v>1.391437</v>
          </cell>
          <cell r="P235">
            <v>-2.2910000000000001E-3</v>
          </cell>
          <cell r="V235">
            <v>37.239443666557534</v>
          </cell>
        </row>
        <row r="236">
          <cell r="I236">
            <v>0.945855</v>
          </cell>
          <cell r="P236">
            <v>-2.2230000000000001E-3</v>
          </cell>
          <cell r="V236">
            <v>38.112727159642965</v>
          </cell>
        </row>
        <row r="237">
          <cell r="I237">
            <v>0.30777100000000002</v>
          </cell>
          <cell r="P237">
            <v>-2.1649999999999998E-3</v>
          </cell>
          <cell r="V237">
            <v>38.800286453647615</v>
          </cell>
        </row>
        <row r="238">
          <cell r="I238">
            <v>1.2997999999999999E-2</v>
          </cell>
          <cell r="P238">
            <v>-2.199E-3</v>
          </cell>
          <cell r="V238">
            <v>37.373681074748994</v>
          </cell>
        </row>
        <row r="239">
          <cell r="I239">
            <v>1.3899999999999999E-4</v>
          </cell>
          <cell r="P239">
            <v>-1.7753000000000001E-2</v>
          </cell>
          <cell r="V239">
            <v>36.211176461624532</v>
          </cell>
        </row>
        <row r="240">
          <cell r="I240">
            <v>1.2899999999999999E-4</v>
          </cell>
          <cell r="P240">
            <v>-2.1691999999999999E-2</v>
          </cell>
          <cell r="V240">
            <v>35.821736936678974</v>
          </cell>
        </row>
        <row r="241">
          <cell r="I241">
            <v>5.0000000000000002E-5</v>
          </cell>
          <cell r="P241">
            <v>-1.9859999999999999E-3</v>
          </cell>
          <cell r="V241">
            <v>38.149103012032207</v>
          </cell>
        </row>
        <row r="242">
          <cell r="I242">
            <v>4.1999999999999998E-5</v>
          </cell>
          <cell r="P242">
            <v>-1.918E-3</v>
          </cell>
          <cell r="V242">
            <v>39.110670449060194</v>
          </cell>
        </row>
        <row r="243">
          <cell r="I243">
            <v>5.3999999999999998E-5</v>
          </cell>
          <cell r="P243">
            <v>-4.8613000000000003E-2</v>
          </cell>
          <cell r="V243">
            <v>41.247013615611529</v>
          </cell>
        </row>
        <row r="244">
          <cell r="V244" t="str">
            <v/>
          </cell>
        </row>
        <row r="245">
          <cell r="V245" t="str">
            <v/>
          </cell>
        </row>
      </sheetData>
      <sheetData sheetId="17">
        <row r="3">
          <cell r="C3">
            <v>48.123127146517682</v>
          </cell>
          <cell r="D3">
            <v>120.59631724353227</v>
          </cell>
          <cell r="E3">
            <v>48.123127146517682</v>
          </cell>
        </row>
        <row r="4">
          <cell r="C4">
            <v>42.636473521669153</v>
          </cell>
          <cell r="D4">
            <v>120.59631724353227</v>
          </cell>
          <cell r="E4">
            <v>42.636473521669153</v>
          </cell>
        </row>
        <row r="5">
          <cell r="C5">
            <v>64.323681971667284</v>
          </cell>
          <cell r="D5">
            <v>120.59631724353227</v>
          </cell>
          <cell r="E5">
            <v>64.323681971667284</v>
          </cell>
        </row>
        <row r="6">
          <cell r="C6">
            <v>75.643640243669154</v>
          </cell>
          <cell r="D6">
            <v>120.59631724353227</v>
          </cell>
          <cell r="E6">
            <v>75.643640243669154</v>
          </cell>
        </row>
        <row r="7">
          <cell r="C7">
            <v>40.164393683671022</v>
          </cell>
          <cell r="D7">
            <v>120.59631724353227</v>
          </cell>
          <cell r="E7">
            <v>40.164393683671022</v>
          </cell>
        </row>
        <row r="8">
          <cell r="C8">
            <v>23.406447041667292</v>
          </cell>
          <cell r="D8">
            <v>120.59631724353227</v>
          </cell>
          <cell r="E8">
            <v>23.406447041667292</v>
          </cell>
        </row>
        <row r="9">
          <cell r="C9">
            <v>48.050071631669155</v>
          </cell>
          <cell r="D9">
            <v>120.59631724353227</v>
          </cell>
          <cell r="E9">
            <v>48.050071631669155</v>
          </cell>
        </row>
        <row r="10">
          <cell r="C10">
            <v>49.386536037670083</v>
          </cell>
          <cell r="D10">
            <v>120.59631724353227</v>
          </cell>
          <cell r="E10">
            <v>49.386536037670083</v>
          </cell>
        </row>
        <row r="11">
          <cell r="C11">
            <v>33.719116509774096</v>
          </cell>
          <cell r="D11">
            <v>120.59631724353227</v>
          </cell>
          <cell r="E11">
            <v>33.719116509774096</v>
          </cell>
        </row>
        <row r="12">
          <cell r="C12">
            <v>47.290569803776897</v>
          </cell>
          <cell r="D12">
            <v>120.59631724353227</v>
          </cell>
          <cell r="E12">
            <v>47.290569803776897</v>
          </cell>
        </row>
        <row r="13">
          <cell r="C13">
            <v>49.306202171775034</v>
          </cell>
          <cell r="D13">
            <v>120.59631724353227</v>
          </cell>
          <cell r="E13">
            <v>49.306202171775034</v>
          </cell>
        </row>
        <row r="14">
          <cell r="C14">
            <v>21.417700821775025</v>
          </cell>
          <cell r="D14">
            <v>120.59631724353227</v>
          </cell>
          <cell r="E14">
            <v>21.417700821775025</v>
          </cell>
        </row>
        <row r="15">
          <cell r="C15">
            <v>27.372357911775957</v>
          </cell>
          <cell r="D15">
            <v>120.59631724353227</v>
          </cell>
          <cell r="E15">
            <v>27.372357911775957</v>
          </cell>
        </row>
        <row r="16">
          <cell r="C16">
            <v>38.601003241775963</v>
          </cell>
          <cell r="D16">
            <v>120.59631724353227</v>
          </cell>
          <cell r="E16">
            <v>38.601003241775963</v>
          </cell>
        </row>
        <row r="17">
          <cell r="C17">
            <v>66.269905331775973</v>
          </cell>
          <cell r="D17">
            <v>120.59631724353227</v>
          </cell>
          <cell r="E17">
            <v>66.269905331775973</v>
          </cell>
        </row>
        <row r="18">
          <cell r="C18">
            <v>57.049382584859849</v>
          </cell>
          <cell r="D18">
            <v>120.59631724353227</v>
          </cell>
          <cell r="E18">
            <v>57.049382584859849</v>
          </cell>
        </row>
        <row r="19">
          <cell r="C19">
            <v>47.086793530857058</v>
          </cell>
          <cell r="D19">
            <v>120.59631724353227</v>
          </cell>
          <cell r="E19">
            <v>47.086793530857058</v>
          </cell>
        </row>
        <row r="20">
          <cell r="C20">
            <v>75.72736085885893</v>
          </cell>
          <cell r="D20">
            <v>120.59631724353227</v>
          </cell>
          <cell r="E20">
            <v>75.72736085885893</v>
          </cell>
        </row>
        <row r="21">
          <cell r="C21">
            <v>43.378133048858913</v>
          </cell>
          <cell r="D21">
            <v>120.59631724353227</v>
          </cell>
          <cell r="E21">
            <v>43.378133048858913</v>
          </cell>
        </row>
        <row r="22">
          <cell r="C22">
            <v>21.839733468858917</v>
          </cell>
          <cell r="D22">
            <v>120.59631724353227</v>
          </cell>
          <cell r="E22">
            <v>21.839733468858917</v>
          </cell>
        </row>
        <row r="23">
          <cell r="C23">
            <v>65.404301698859854</v>
          </cell>
          <cell r="D23">
            <v>120.59631724353227</v>
          </cell>
          <cell r="E23">
            <v>65.404301698859854</v>
          </cell>
        </row>
        <row r="24">
          <cell r="C24">
            <v>50.40606404885893</v>
          </cell>
          <cell r="D24">
            <v>120.59631724353227</v>
          </cell>
          <cell r="E24">
            <v>50.40606404885893</v>
          </cell>
        </row>
        <row r="25">
          <cell r="C25">
            <v>86.933992344619128</v>
          </cell>
          <cell r="D25">
            <v>120.59631724353227</v>
          </cell>
          <cell r="E25">
            <v>86.933992344619128</v>
          </cell>
        </row>
        <row r="26">
          <cell r="C26">
            <v>93.897589926620057</v>
          </cell>
          <cell r="D26">
            <v>120.59631724353227</v>
          </cell>
          <cell r="E26">
            <v>93.897589926620057</v>
          </cell>
        </row>
        <row r="27">
          <cell r="C27">
            <v>99.325622760620988</v>
          </cell>
          <cell r="D27">
            <v>120.59631724353227</v>
          </cell>
          <cell r="E27">
            <v>99.325622760620988</v>
          </cell>
        </row>
        <row r="28">
          <cell r="C28">
            <v>91.521473510619117</v>
          </cell>
          <cell r="D28">
            <v>120.59631724353227</v>
          </cell>
          <cell r="E28">
            <v>91.521473510619117</v>
          </cell>
        </row>
        <row r="29">
          <cell r="C29">
            <v>77.209113650621902</v>
          </cell>
          <cell r="D29">
            <v>120.59631724353227</v>
          </cell>
          <cell r="E29">
            <v>77.209113650621902</v>
          </cell>
        </row>
        <row r="30">
          <cell r="C30">
            <v>99.019040460619109</v>
          </cell>
          <cell r="D30">
            <v>120.59631724353227</v>
          </cell>
          <cell r="E30">
            <v>99.019040460619109</v>
          </cell>
        </row>
        <row r="31">
          <cell r="C31">
            <v>101.45238873061912</v>
          </cell>
          <cell r="D31">
            <v>120.59631724353227</v>
          </cell>
          <cell r="E31">
            <v>101.45238873061912</v>
          </cell>
        </row>
        <row r="32">
          <cell r="C32">
            <v>167.32990158214932</v>
          </cell>
          <cell r="D32">
            <v>120.59631724353227</v>
          </cell>
          <cell r="E32">
            <v>120.59631724353227</v>
          </cell>
        </row>
        <row r="33">
          <cell r="C33">
            <v>172.57129317015026</v>
          </cell>
          <cell r="D33">
            <v>120.59631724353227</v>
          </cell>
          <cell r="E33">
            <v>120.59631724353227</v>
          </cell>
        </row>
        <row r="34">
          <cell r="C34">
            <v>185.58193324014655</v>
          </cell>
          <cell r="D34">
            <v>120.04142913099631</v>
          </cell>
          <cell r="E34">
            <v>120.04142913099631</v>
          </cell>
        </row>
        <row r="35">
          <cell r="C35">
            <v>185.57443929814841</v>
          </cell>
          <cell r="D35">
            <v>120.04142913099631</v>
          </cell>
          <cell r="E35">
            <v>120.04142913099631</v>
          </cell>
        </row>
        <row r="36">
          <cell r="C36">
            <v>184.96758135014844</v>
          </cell>
          <cell r="D36">
            <v>120.04142913099631</v>
          </cell>
          <cell r="E36">
            <v>120.04142913099631</v>
          </cell>
        </row>
        <row r="37">
          <cell r="C37">
            <v>193.9985455941484</v>
          </cell>
          <cell r="D37">
            <v>120.04142913099631</v>
          </cell>
          <cell r="E37">
            <v>120.04142913099631</v>
          </cell>
        </row>
        <row r="38">
          <cell r="C38">
            <v>194.73273308214843</v>
          </cell>
          <cell r="D38">
            <v>120.04142913099631</v>
          </cell>
          <cell r="E38">
            <v>120.04142913099631</v>
          </cell>
        </row>
        <row r="39">
          <cell r="C39">
            <v>141.24960643784806</v>
          </cell>
          <cell r="D39">
            <v>120.04142913099631</v>
          </cell>
          <cell r="E39">
            <v>120.04142913099631</v>
          </cell>
        </row>
        <row r="40">
          <cell r="C40">
            <v>141.99456505784809</v>
          </cell>
          <cell r="D40">
            <v>120.04142913099631</v>
          </cell>
          <cell r="E40">
            <v>120.04142913099631</v>
          </cell>
        </row>
        <row r="41">
          <cell r="C41">
            <v>133.18816221984807</v>
          </cell>
          <cell r="D41">
            <v>120.04142913099631</v>
          </cell>
          <cell r="E41">
            <v>120.04142913099631</v>
          </cell>
        </row>
        <row r="42">
          <cell r="C42">
            <v>126.08179446984809</v>
          </cell>
          <cell r="D42">
            <v>120.04142913099631</v>
          </cell>
          <cell r="E42">
            <v>120.04142913099631</v>
          </cell>
        </row>
        <row r="43">
          <cell r="C43">
            <v>114.24660454384994</v>
          </cell>
          <cell r="D43">
            <v>120.04142913099631</v>
          </cell>
          <cell r="E43">
            <v>114.24660454384994</v>
          </cell>
        </row>
        <row r="44">
          <cell r="C44">
            <v>123.23982218384808</v>
          </cell>
          <cell r="D44">
            <v>120.04142913099631</v>
          </cell>
          <cell r="E44">
            <v>120.04142913099631</v>
          </cell>
        </row>
        <row r="45">
          <cell r="C45">
            <v>139.96621025384809</v>
          </cell>
          <cell r="D45">
            <v>120.04142913099631</v>
          </cell>
          <cell r="E45">
            <v>120.04142913099631</v>
          </cell>
        </row>
        <row r="46">
          <cell r="C46">
            <v>120.51201069644542</v>
          </cell>
          <cell r="D46">
            <v>120.04142913099631</v>
          </cell>
          <cell r="E46">
            <v>120.04142913099631</v>
          </cell>
        </row>
        <row r="47">
          <cell r="C47">
            <v>103.62366132644726</v>
          </cell>
          <cell r="D47">
            <v>120.04142913099631</v>
          </cell>
          <cell r="E47">
            <v>103.62366132644726</v>
          </cell>
        </row>
        <row r="48">
          <cell r="C48">
            <v>107.92361247844542</v>
          </cell>
          <cell r="D48">
            <v>120.04142913099631</v>
          </cell>
          <cell r="E48">
            <v>107.92361247844542</v>
          </cell>
        </row>
        <row r="49">
          <cell r="C49">
            <v>94.661395232447276</v>
          </cell>
          <cell r="D49">
            <v>120.04142913099631</v>
          </cell>
          <cell r="E49">
            <v>94.661395232447276</v>
          </cell>
        </row>
        <row r="50">
          <cell r="C50">
            <v>84.417533128447275</v>
          </cell>
          <cell r="D50">
            <v>120.04142913099631</v>
          </cell>
          <cell r="E50">
            <v>84.417533128447275</v>
          </cell>
        </row>
        <row r="51">
          <cell r="C51">
            <v>109.91697916244728</v>
          </cell>
          <cell r="D51">
            <v>120.04142913099631</v>
          </cell>
          <cell r="E51">
            <v>109.91697916244728</v>
          </cell>
        </row>
        <row r="52">
          <cell r="C52">
            <v>119.44313481844542</v>
          </cell>
          <cell r="D52">
            <v>120.04142913099631</v>
          </cell>
          <cell r="E52">
            <v>119.44313481844542</v>
          </cell>
        </row>
        <row r="53">
          <cell r="C53">
            <v>87.669133587945765</v>
          </cell>
          <cell r="D53">
            <v>120.04142913099631</v>
          </cell>
          <cell r="E53">
            <v>87.669133587945765</v>
          </cell>
        </row>
        <row r="54">
          <cell r="C54">
            <v>79.117863777947633</v>
          </cell>
          <cell r="D54">
            <v>120.04142913099631</v>
          </cell>
          <cell r="E54">
            <v>79.117863777947633</v>
          </cell>
        </row>
        <row r="55">
          <cell r="C55">
            <v>75.298925477949496</v>
          </cell>
          <cell r="D55">
            <v>120.04142913099631</v>
          </cell>
          <cell r="E55">
            <v>75.298925477949496</v>
          </cell>
        </row>
        <row r="56">
          <cell r="C56">
            <v>64.675635013947627</v>
          </cell>
          <cell r="D56">
            <v>120.04142913099631</v>
          </cell>
          <cell r="E56">
            <v>64.675635013947627</v>
          </cell>
        </row>
        <row r="57">
          <cell r="C57">
            <v>66.564979371945768</v>
          </cell>
          <cell r="D57">
            <v>120.04142913099631</v>
          </cell>
          <cell r="E57">
            <v>66.564979371945768</v>
          </cell>
        </row>
        <row r="58">
          <cell r="C58">
            <v>91.917289957949492</v>
          </cell>
          <cell r="D58">
            <v>120.04142913099631</v>
          </cell>
          <cell r="E58">
            <v>91.917289957949492</v>
          </cell>
        </row>
        <row r="59">
          <cell r="C59">
            <v>75.530994327947624</v>
          </cell>
          <cell r="D59">
            <v>120.04142913099631</v>
          </cell>
          <cell r="E59">
            <v>75.530994327947624</v>
          </cell>
        </row>
        <row r="60">
          <cell r="C60">
            <v>69.289270910230613</v>
          </cell>
          <cell r="D60">
            <v>120.04142913099631</v>
          </cell>
          <cell r="E60">
            <v>69.289270910230613</v>
          </cell>
        </row>
        <row r="61">
          <cell r="C61">
            <v>63.050235326230613</v>
          </cell>
          <cell r="D61">
            <v>120.04142913099631</v>
          </cell>
          <cell r="E61">
            <v>63.050235326230613</v>
          </cell>
        </row>
        <row r="62">
          <cell r="C62">
            <v>70.279727594230607</v>
          </cell>
          <cell r="D62">
            <v>132.90693384979679</v>
          </cell>
          <cell r="E62">
            <v>70.279727594230607</v>
          </cell>
        </row>
        <row r="63">
          <cell r="C63">
            <v>55.067245526230607</v>
          </cell>
          <cell r="D63">
            <v>132.90693384979679</v>
          </cell>
          <cell r="E63">
            <v>55.067245526230607</v>
          </cell>
        </row>
        <row r="64">
          <cell r="C64">
            <v>40.961962326230605</v>
          </cell>
          <cell r="D64">
            <v>132.90693384979679</v>
          </cell>
          <cell r="E64">
            <v>40.961962326230605</v>
          </cell>
        </row>
        <row r="65">
          <cell r="C65">
            <v>48.808900076230607</v>
          </cell>
          <cell r="D65">
            <v>132.90693384979679</v>
          </cell>
          <cell r="E65">
            <v>48.808900076230607</v>
          </cell>
        </row>
        <row r="66">
          <cell r="C66">
            <v>50.550977536232473</v>
          </cell>
          <cell r="D66">
            <v>132.90693384979679</v>
          </cell>
          <cell r="E66">
            <v>50.550977536232473</v>
          </cell>
        </row>
        <row r="67">
          <cell r="C67">
            <v>97.01795352355073</v>
          </cell>
          <cell r="D67">
            <v>132.90693384979679</v>
          </cell>
          <cell r="E67">
            <v>97.01795352355073</v>
          </cell>
        </row>
        <row r="68">
          <cell r="C68">
            <v>113.77763996755631</v>
          </cell>
          <cell r="D68">
            <v>132.90693384979679</v>
          </cell>
          <cell r="E68">
            <v>113.77763996755631</v>
          </cell>
        </row>
        <row r="69">
          <cell r="C69">
            <v>134.52090230355446</v>
          </cell>
          <cell r="D69">
            <v>132.90693384979679</v>
          </cell>
          <cell r="E69">
            <v>132.90693384979679</v>
          </cell>
        </row>
        <row r="70">
          <cell r="C70">
            <v>133.51544254355261</v>
          </cell>
          <cell r="D70">
            <v>132.90693384979679</v>
          </cell>
          <cell r="E70">
            <v>132.90693384979679</v>
          </cell>
        </row>
        <row r="71">
          <cell r="C71">
            <v>106.08530919355445</v>
          </cell>
          <cell r="D71">
            <v>132.90693384979679</v>
          </cell>
          <cell r="E71">
            <v>106.08530919355445</v>
          </cell>
        </row>
        <row r="72">
          <cell r="C72">
            <v>131.25554703755444</v>
          </cell>
          <cell r="D72">
            <v>132.90693384979679</v>
          </cell>
          <cell r="E72">
            <v>131.25554703755444</v>
          </cell>
        </row>
        <row r="73">
          <cell r="C73">
            <v>122.2313333735526</v>
          </cell>
          <cell r="D73">
            <v>132.90693384979679</v>
          </cell>
          <cell r="E73">
            <v>122.2313333735526</v>
          </cell>
        </row>
        <row r="74">
          <cell r="C74">
            <v>66.422230921277958</v>
          </cell>
          <cell r="D74">
            <v>132.90693384979679</v>
          </cell>
          <cell r="E74">
            <v>66.422230921277958</v>
          </cell>
        </row>
        <row r="75">
          <cell r="C75">
            <v>83.603457791279808</v>
          </cell>
          <cell r="D75">
            <v>132.90693384979679</v>
          </cell>
          <cell r="E75">
            <v>83.603457791279808</v>
          </cell>
        </row>
        <row r="76">
          <cell r="C76">
            <v>97.312987301277957</v>
          </cell>
          <cell r="D76">
            <v>132.90693384979679</v>
          </cell>
          <cell r="E76">
            <v>97.312987301277957</v>
          </cell>
        </row>
        <row r="77">
          <cell r="C77">
            <v>74.714766641279809</v>
          </cell>
          <cell r="D77">
            <v>132.90693384979679</v>
          </cell>
          <cell r="E77">
            <v>74.714766641279809</v>
          </cell>
        </row>
        <row r="78">
          <cell r="C78">
            <v>41.087115621277952</v>
          </cell>
          <cell r="D78">
            <v>132.90693384979679</v>
          </cell>
          <cell r="E78">
            <v>41.087115621277952</v>
          </cell>
        </row>
        <row r="79">
          <cell r="C79">
            <v>61.18239848127795</v>
          </cell>
          <cell r="D79">
            <v>132.90693384979679</v>
          </cell>
          <cell r="E79">
            <v>61.18239848127795</v>
          </cell>
        </row>
        <row r="80">
          <cell r="C80">
            <v>62.000907013279814</v>
          </cell>
          <cell r="D80">
            <v>132.90693384979679</v>
          </cell>
          <cell r="E80">
            <v>62.000907013279814</v>
          </cell>
        </row>
        <row r="81">
          <cell r="C81">
            <v>59.069677764690461</v>
          </cell>
          <cell r="D81">
            <v>132.90693384979679</v>
          </cell>
          <cell r="E81">
            <v>59.069677764690461</v>
          </cell>
        </row>
        <row r="82">
          <cell r="C82">
            <v>74.912399428690463</v>
          </cell>
          <cell r="D82">
            <v>132.90693384979679</v>
          </cell>
          <cell r="E82">
            <v>74.912399428690463</v>
          </cell>
        </row>
        <row r="83">
          <cell r="C83">
            <v>98.957296132692321</v>
          </cell>
          <cell r="D83">
            <v>132.90693384979679</v>
          </cell>
          <cell r="E83">
            <v>98.957296132692321</v>
          </cell>
        </row>
        <row r="84">
          <cell r="C84">
            <v>68.347545472690456</v>
          </cell>
          <cell r="D84">
            <v>132.90693384979679</v>
          </cell>
          <cell r="E84">
            <v>68.347545472690456</v>
          </cell>
        </row>
        <row r="85">
          <cell r="C85">
            <v>41.337805642692324</v>
          </cell>
          <cell r="D85">
            <v>132.90693384979679</v>
          </cell>
          <cell r="E85">
            <v>41.337805642692324</v>
          </cell>
        </row>
        <row r="86">
          <cell r="C86">
            <v>42.095181022690454</v>
          </cell>
          <cell r="D86">
            <v>132.90693384979679</v>
          </cell>
          <cell r="E86">
            <v>42.095181022690454</v>
          </cell>
        </row>
        <row r="87">
          <cell r="C87">
            <v>37.959048062692325</v>
          </cell>
          <cell r="D87">
            <v>132.90693384979679</v>
          </cell>
          <cell r="E87">
            <v>37.959048062692325</v>
          </cell>
        </row>
        <row r="88">
          <cell r="C88">
            <v>39.210651627381345</v>
          </cell>
          <cell r="D88">
            <v>132.90693384979679</v>
          </cell>
          <cell r="E88">
            <v>39.210651627381345</v>
          </cell>
        </row>
        <row r="89">
          <cell r="C89">
            <v>50.566903553377628</v>
          </cell>
          <cell r="D89">
            <v>132.90693384979679</v>
          </cell>
          <cell r="E89">
            <v>50.566903553377628</v>
          </cell>
        </row>
        <row r="90">
          <cell r="C90">
            <v>62.55005746738135</v>
          </cell>
          <cell r="D90">
            <v>132.90693384979679</v>
          </cell>
          <cell r="E90">
            <v>62.55005746738135</v>
          </cell>
        </row>
        <row r="91">
          <cell r="C91">
            <v>40.608588867379488</v>
          </cell>
          <cell r="D91">
            <v>132.90693384979679</v>
          </cell>
          <cell r="E91">
            <v>40.608588867379488</v>
          </cell>
        </row>
        <row r="92">
          <cell r="C92">
            <v>51.831602707379488</v>
          </cell>
          <cell r="D92">
            <v>132.90693384979679</v>
          </cell>
          <cell r="E92">
            <v>51.831602707379488</v>
          </cell>
        </row>
        <row r="93">
          <cell r="C93">
            <v>76.662643839381346</v>
          </cell>
          <cell r="D93">
            <v>128.77123560535</v>
          </cell>
          <cell r="E93">
            <v>76.662643839381346</v>
          </cell>
        </row>
        <row r="94">
          <cell r="C94">
            <v>73.117034955377619</v>
          </cell>
          <cell r="D94">
            <v>128.77123560535</v>
          </cell>
          <cell r="E94">
            <v>73.117034955377619</v>
          </cell>
        </row>
        <row r="95">
          <cell r="C95">
            <v>45.024506179779593</v>
          </cell>
          <cell r="D95">
            <v>128.77123560535</v>
          </cell>
          <cell r="E95">
            <v>45.024506179779593</v>
          </cell>
        </row>
        <row r="96">
          <cell r="C96">
            <v>42.33311552377959</v>
          </cell>
          <cell r="D96">
            <v>128.77123560535</v>
          </cell>
          <cell r="E96">
            <v>42.33311552377959</v>
          </cell>
        </row>
        <row r="97">
          <cell r="C97">
            <v>53.148606071777728</v>
          </cell>
          <cell r="D97">
            <v>128.77123560535</v>
          </cell>
          <cell r="E97">
            <v>53.148606071777728</v>
          </cell>
        </row>
        <row r="98">
          <cell r="C98">
            <v>35.40131546777959</v>
          </cell>
          <cell r="D98">
            <v>128.77123560535</v>
          </cell>
          <cell r="E98">
            <v>35.40131546777959</v>
          </cell>
        </row>
        <row r="99">
          <cell r="C99">
            <v>30.369701119777734</v>
          </cell>
          <cell r="D99">
            <v>128.77123560535</v>
          </cell>
          <cell r="E99">
            <v>30.369701119777734</v>
          </cell>
        </row>
        <row r="100">
          <cell r="C100">
            <v>38.897896747777729</v>
          </cell>
          <cell r="D100">
            <v>128.77123560535</v>
          </cell>
          <cell r="E100">
            <v>38.897896747777729</v>
          </cell>
        </row>
        <row r="101">
          <cell r="C101">
            <v>35.460223803779591</v>
          </cell>
          <cell r="D101">
            <v>128.77123560535</v>
          </cell>
          <cell r="E101">
            <v>35.460223803779591</v>
          </cell>
        </row>
        <row r="102">
          <cell r="C102">
            <v>73.590745241523095</v>
          </cell>
          <cell r="D102">
            <v>128.77123560535</v>
          </cell>
          <cell r="E102">
            <v>73.590745241523095</v>
          </cell>
        </row>
        <row r="103">
          <cell r="C103">
            <v>81.935471213523101</v>
          </cell>
          <cell r="D103">
            <v>128.77123560535</v>
          </cell>
          <cell r="E103">
            <v>81.935471213523101</v>
          </cell>
        </row>
        <row r="104">
          <cell r="C104">
            <v>81.298658489523092</v>
          </cell>
          <cell r="D104">
            <v>128.77123560535</v>
          </cell>
          <cell r="E104">
            <v>81.298658489523092</v>
          </cell>
        </row>
        <row r="105">
          <cell r="C105">
            <v>71.775422277523091</v>
          </cell>
          <cell r="D105">
            <v>128.77123560535</v>
          </cell>
          <cell r="E105">
            <v>71.775422277523091</v>
          </cell>
        </row>
        <row r="106">
          <cell r="C106">
            <v>65.230425237523093</v>
          </cell>
          <cell r="D106">
            <v>128.77123560535</v>
          </cell>
          <cell r="E106">
            <v>65.230425237523093</v>
          </cell>
        </row>
        <row r="107">
          <cell r="C107">
            <v>75.106005453521234</v>
          </cell>
          <cell r="D107">
            <v>128.77123560535</v>
          </cell>
          <cell r="E107">
            <v>75.106005453521234</v>
          </cell>
        </row>
        <row r="108">
          <cell r="C108">
            <v>82.865641981523098</v>
          </cell>
          <cell r="D108">
            <v>128.77123560535</v>
          </cell>
          <cell r="E108">
            <v>82.865641981523098</v>
          </cell>
        </row>
        <row r="109">
          <cell r="C109">
            <v>100.01872431620907</v>
          </cell>
          <cell r="D109">
            <v>128.77123560535</v>
          </cell>
          <cell r="E109">
            <v>100.01872431620907</v>
          </cell>
        </row>
        <row r="110">
          <cell r="C110">
            <v>97.640177000207203</v>
          </cell>
          <cell r="D110">
            <v>128.77123560535</v>
          </cell>
          <cell r="E110">
            <v>97.640177000207203</v>
          </cell>
        </row>
        <row r="111">
          <cell r="C111">
            <v>76.378072956209067</v>
          </cell>
          <cell r="D111">
            <v>128.77123560535</v>
          </cell>
          <cell r="E111">
            <v>76.378072956209067</v>
          </cell>
        </row>
        <row r="112">
          <cell r="C112">
            <v>73.470189276207208</v>
          </cell>
          <cell r="D112">
            <v>128.77123560535</v>
          </cell>
          <cell r="E112">
            <v>73.470189276207208</v>
          </cell>
        </row>
        <row r="113">
          <cell r="C113">
            <v>82.184180796209063</v>
          </cell>
          <cell r="D113">
            <v>128.77123560535</v>
          </cell>
          <cell r="E113">
            <v>82.184180796209063</v>
          </cell>
        </row>
        <row r="114">
          <cell r="C114">
            <v>83.15904527220907</v>
          </cell>
          <cell r="D114">
            <v>128.77123560535</v>
          </cell>
          <cell r="E114">
            <v>83.15904527220907</v>
          </cell>
        </row>
        <row r="115">
          <cell r="C115">
            <v>84.983474912207214</v>
          </cell>
          <cell r="D115">
            <v>128.77123560535</v>
          </cell>
          <cell r="E115">
            <v>84.983474912207214</v>
          </cell>
        </row>
        <row r="116">
          <cell r="C116">
            <v>120.16015579154841</v>
          </cell>
          <cell r="D116">
            <v>128.77123560535</v>
          </cell>
          <cell r="E116">
            <v>120.16015579154841</v>
          </cell>
        </row>
        <row r="117">
          <cell r="C117">
            <v>122.17053837154654</v>
          </cell>
          <cell r="D117">
            <v>128.77123560535</v>
          </cell>
          <cell r="E117">
            <v>122.17053837154654</v>
          </cell>
        </row>
        <row r="118">
          <cell r="C118">
            <v>133.72763285954653</v>
          </cell>
          <cell r="D118">
            <v>128.77123560535</v>
          </cell>
          <cell r="E118">
            <v>128.77123560535</v>
          </cell>
        </row>
        <row r="119">
          <cell r="C119">
            <v>132.62970923154842</v>
          </cell>
          <cell r="D119">
            <v>128.77123560535</v>
          </cell>
          <cell r="E119">
            <v>128.77123560535</v>
          </cell>
        </row>
        <row r="120">
          <cell r="C120">
            <v>124.85596989154841</v>
          </cell>
          <cell r="D120">
            <v>128.77123560535</v>
          </cell>
          <cell r="E120">
            <v>124.85596989154841</v>
          </cell>
        </row>
        <row r="121">
          <cell r="C121">
            <v>140.27391316354652</v>
          </cell>
          <cell r="D121">
            <v>128.77123560535</v>
          </cell>
          <cell r="E121">
            <v>128.77123560535</v>
          </cell>
        </row>
        <row r="122">
          <cell r="C122">
            <v>140.00868754754842</v>
          </cell>
          <cell r="D122">
            <v>128.77123560535</v>
          </cell>
          <cell r="E122">
            <v>128.77123560535</v>
          </cell>
        </row>
        <row r="123">
          <cell r="C123">
            <v>105.74095903098869</v>
          </cell>
          <cell r="D123">
            <v>105.65373260469035</v>
          </cell>
          <cell r="E123">
            <v>105.65373260469035</v>
          </cell>
        </row>
        <row r="124">
          <cell r="C124">
            <v>100.09574057899054</v>
          </cell>
          <cell r="D124">
            <v>105.65373260469035</v>
          </cell>
          <cell r="E124">
            <v>100.09574057899054</v>
          </cell>
        </row>
        <row r="125">
          <cell r="C125">
            <v>102.83984928298868</v>
          </cell>
          <cell r="D125">
            <v>105.65373260469035</v>
          </cell>
          <cell r="E125">
            <v>102.83984928298868</v>
          </cell>
        </row>
        <row r="126">
          <cell r="C126">
            <v>101.27127545099053</v>
          </cell>
          <cell r="D126">
            <v>105.65373260469035</v>
          </cell>
          <cell r="E126">
            <v>101.27127545099053</v>
          </cell>
        </row>
        <row r="127">
          <cell r="C127">
            <v>93.971423794990557</v>
          </cell>
          <cell r="D127">
            <v>105.65373260469035</v>
          </cell>
          <cell r="E127">
            <v>93.971423794990557</v>
          </cell>
        </row>
        <row r="128">
          <cell r="C128">
            <v>113.61467043498868</v>
          </cell>
          <cell r="D128">
            <v>105.65373260469035</v>
          </cell>
          <cell r="E128">
            <v>105.65373260469035</v>
          </cell>
        </row>
        <row r="129">
          <cell r="C129">
            <v>103.96177035099053</v>
          </cell>
          <cell r="D129">
            <v>105.65373260469035</v>
          </cell>
          <cell r="E129">
            <v>103.96177035099053</v>
          </cell>
        </row>
        <row r="130">
          <cell r="C130">
            <v>66.221452729308808</v>
          </cell>
          <cell r="D130">
            <v>105.65373260469035</v>
          </cell>
          <cell r="E130">
            <v>66.221452729308808</v>
          </cell>
        </row>
        <row r="131">
          <cell r="C131">
            <v>74.446018409306944</v>
          </cell>
          <cell r="D131">
            <v>105.65373260469035</v>
          </cell>
          <cell r="E131">
            <v>74.446018409306944</v>
          </cell>
        </row>
        <row r="132">
          <cell r="C132">
            <v>83.660476461306928</v>
          </cell>
          <cell r="D132">
            <v>105.65373260469035</v>
          </cell>
          <cell r="E132">
            <v>83.660476461306928</v>
          </cell>
        </row>
        <row r="133">
          <cell r="C133">
            <v>75.973093089306929</v>
          </cell>
          <cell r="D133">
            <v>105.65373260469035</v>
          </cell>
          <cell r="E133">
            <v>75.973093089306929</v>
          </cell>
        </row>
        <row r="134">
          <cell r="C134">
            <v>66.319120533306943</v>
          </cell>
          <cell r="D134">
            <v>105.65373260469035</v>
          </cell>
          <cell r="E134">
            <v>66.319120533306943</v>
          </cell>
        </row>
        <row r="135">
          <cell r="C135">
            <v>71.987889609306933</v>
          </cell>
          <cell r="D135">
            <v>105.65373260469035</v>
          </cell>
          <cell r="E135">
            <v>71.987889609306933</v>
          </cell>
        </row>
        <row r="136">
          <cell r="C136">
            <v>75.311342213308791</v>
          </cell>
          <cell r="D136">
            <v>105.65373260469035</v>
          </cell>
          <cell r="E136">
            <v>75.311342213308791</v>
          </cell>
        </row>
        <row r="137">
          <cell r="C137">
            <v>74.37980817415513</v>
          </cell>
          <cell r="D137">
            <v>105.65373260469035</v>
          </cell>
          <cell r="E137">
            <v>74.37980817415513</v>
          </cell>
        </row>
        <row r="138">
          <cell r="C138">
            <v>68.006816766156987</v>
          </cell>
          <cell r="D138">
            <v>105.65373260469035</v>
          </cell>
          <cell r="E138">
            <v>68.006816766156987</v>
          </cell>
        </row>
        <row r="139">
          <cell r="C139">
            <v>65.738982786156996</v>
          </cell>
          <cell r="D139">
            <v>105.65373260469035</v>
          </cell>
          <cell r="E139">
            <v>65.738982786156996</v>
          </cell>
        </row>
        <row r="140">
          <cell r="C140">
            <v>64.549248354155139</v>
          </cell>
          <cell r="D140">
            <v>105.65373260469035</v>
          </cell>
          <cell r="E140">
            <v>64.549248354155139</v>
          </cell>
        </row>
        <row r="141">
          <cell r="C141">
            <v>60.67698176215886</v>
          </cell>
          <cell r="D141">
            <v>105.65373260469035</v>
          </cell>
          <cell r="E141">
            <v>60.67698176215886</v>
          </cell>
        </row>
        <row r="142">
          <cell r="C142">
            <v>72.64989890615513</v>
          </cell>
          <cell r="D142">
            <v>105.65373260469035</v>
          </cell>
          <cell r="E142">
            <v>72.64989890615513</v>
          </cell>
        </row>
        <row r="143">
          <cell r="C143">
            <v>76.313361826155131</v>
          </cell>
          <cell r="D143">
            <v>105.65373260469035</v>
          </cell>
          <cell r="E143">
            <v>76.313361826155131</v>
          </cell>
        </row>
        <row r="144">
          <cell r="C144">
            <v>66.067444093736299</v>
          </cell>
          <cell r="D144">
            <v>105.65373260469035</v>
          </cell>
          <cell r="E144">
            <v>66.067444093736299</v>
          </cell>
        </row>
        <row r="145">
          <cell r="C145">
            <v>60.102267253734432</v>
          </cell>
          <cell r="D145">
            <v>105.65373260469035</v>
          </cell>
          <cell r="E145">
            <v>60.102267253734432</v>
          </cell>
        </row>
        <row r="146">
          <cell r="C146">
            <v>59.22299280573629</v>
          </cell>
          <cell r="D146">
            <v>105.65373260469035</v>
          </cell>
          <cell r="E146">
            <v>59.22299280573629</v>
          </cell>
        </row>
        <row r="147">
          <cell r="C147">
            <v>57.431285131732572</v>
          </cell>
          <cell r="D147">
            <v>105.65373260469035</v>
          </cell>
          <cell r="E147">
            <v>57.431285131732572</v>
          </cell>
        </row>
        <row r="148">
          <cell r="C148">
            <v>54.664174471738157</v>
          </cell>
          <cell r="D148">
            <v>105.65373260469035</v>
          </cell>
          <cell r="E148">
            <v>54.664174471738157</v>
          </cell>
        </row>
        <row r="149">
          <cell r="C149">
            <v>58.471831127732571</v>
          </cell>
          <cell r="D149">
            <v>105.65373260469035</v>
          </cell>
          <cell r="E149">
            <v>58.471831127732571</v>
          </cell>
        </row>
        <row r="150">
          <cell r="C150">
            <v>53.417569333734434</v>
          </cell>
          <cell r="D150">
            <v>105.65373260469035</v>
          </cell>
          <cell r="E150">
            <v>53.417569333734434</v>
          </cell>
        </row>
        <row r="151">
          <cell r="C151">
            <v>47.003361174643345</v>
          </cell>
          <cell r="D151">
            <v>105.65373260469035</v>
          </cell>
          <cell r="E151">
            <v>47.003361174643345</v>
          </cell>
        </row>
        <row r="152">
          <cell r="C152">
            <v>47.415259922641482</v>
          </cell>
          <cell r="D152">
            <v>105.65373260469035</v>
          </cell>
          <cell r="E152">
            <v>47.415259922641482</v>
          </cell>
        </row>
        <row r="153">
          <cell r="C153">
            <v>54.139165124643348</v>
          </cell>
          <cell r="D153">
            <v>105.65373260469035</v>
          </cell>
          <cell r="E153">
            <v>54.139165124643348</v>
          </cell>
        </row>
        <row r="154">
          <cell r="C154">
            <v>46.030866642641485</v>
          </cell>
          <cell r="D154">
            <v>65.277965296213353</v>
          </cell>
          <cell r="E154">
            <v>46.030866642641485</v>
          </cell>
        </row>
        <row r="155">
          <cell r="C155">
            <v>41.260838216643343</v>
          </cell>
          <cell r="D155">
            <v>65.277965296213353</v>
          </cell>
          <cell r="E155">
            <v>41.260838216643343</v>
          </cell>
        </row>
        <row r="156">
          <cell r="C156">
            <v>49.642918986643345</v>
          </cell>
          <cell r="D156">
            <v>65.277965296213353</v>
          </cell>
          <cell r="E156">
            <v>49.642918986643345</v>
          </cell>
        </row>
        <row r="157">
          <cell r="C157">
            <v>42.165727116641477</v>
          </cell>
          <cell r="D157">
            <v>65.277965296213353</v>
          </cell>
          <cell r="E157">
            <v>42.165727116641477</v>
          </cell>
        </row>
        <row r="158">
          <cell r="C158">
            <v>44.137358011716373</v>
          </cell>
          <cell r="D158">
            <v>65.277965296213353</v>
          </cell>
          <cell r="E158">
            <v>44.137358011716373</v>
          </cell>
        </row>
        <row r="159">
          <cell r="C159">
            <v>41.289462523716381</v>
          </cell>
          <cell r="D159">
            <v>65.277965296213353</v>
          </cell>
          <cell r="E159">
            <v>41.289462523716381</v>
          </cell>
        </row>
        <row r="160">
          <cell r="C160">
            <v>46.547876791718238</v>
          </cell>
          <cell r="D160">
            <v>65.277965296213353</v>
          </cell>
          <cell r="E160">
            <v>46.547876791718238</v>
          </cell>
        </row>
        <row r="161">
          <cell r="C161">
            <v>36.381198447716379</v>
          </cell>
          <cell r="D161">
            <v>65.277965296213353</v>
          </cell>
          <cell r="E161">
            <v>36.381198447716379</v>
          </cell>
        </row>
        <row r="162">
          <cell r="C162">
            <v>36.220912243718239</v>
          </cell>
          <cell r="D162">
            <v>65.277965296213353</v>
          </cell>
          <cell r="E162">
            <v>36.220912243718239</v>
          </cell>
        </row>
        <row r="163">
          <cell r="C163">
            <v>34.958879279718239</v>
          </cell>
          <cell r="D163">
            <v>65.277965296213353</v>
          </cell>
          <cell r="E163">
            <v>34.958879279718239</v>
          </cell>
        </row>
        <row r="164">
          <cell r="C164">
            <v>40.602532139716381</v>
          </cell>
          <cell r="D164">
            <v>65.277965296213353</v>
          </cell>
          <cell r="E164">
            <v>40.602532139716381</v>
          </cell>
        </row>
        <row r="165">
          <cell r="C165">
            <v>39.246824186815594</v>
          </cell>
          <cell r="D165">
            <v>65.277965296213353</v>
          </cell>
          <cell r="E165">
            <v>39.246824186815594</v>
          </cell>
        </row>
        <row r="166">
          <cell r="C166">
            <v>28.642151794815597</v>
          </cell>
          <cell r="D166">
            <v>65.277965296213353</v>
          </cell>
          <cell r="E166">
            <v>28.642151794815597</v>
          </cell>
        </row>
        <row r="167">
          <cell r="C167">
            <v>32.449437178815593</v>
          </cell>
          <cell r="D167">
            <v>65.277965296213353</v>
          </cell>
          <cell r="E167">
            <v>32.449437178815593</v>
          </cell>
        </row>
        <row r="168">
          <cell r="C168">
            <v>29.766949250813735</v>
          </cell>
          <cell r="D168">
            <v>65.277965296213353</v>
          </cell>
          <cell r="E168">
            <v>29.766949250813735</v>
          </cell>
        </row>
        <row r="169">
          <cell r="C169">
            <v>32.916627950815595</v>
          </cell>
          <cell r="D169">
            <v>65.277965296213353</v>
          </cell>
          <cell r="E169">
            <v>32.916627950815595</v>
          </cell>
        </row>
        <row r="170">
          <cell r="C170">
            <v>39.099709578817453</v>
          </cell>
          <cell r="D170">
            <v>65.277965296213353</v>
          </cell>
          <cell r="E170">
            <v>39.099709578817453</v>
          </cell>
        </row>
        <row r="171">
          <cell r="C171">
            <v>30.571841338813734</v>
          </cell>
          <cell r="D171">
            <v>65.277965296213353</v>
          </cell>
          <cell r="E171">
            <v>30.571841338813734</v>
          </cell>
        </row>
        <row r="172">
          <cell r="C172">
            <v>41.691236397653192</v>
          </cell>
          <cell r="D172">
            <v>65.277965296213353</v>
          </cell>
          <cell r="E172">
            <v>41.691236397653192</v>
          </cell>
        </row>
        <row r="173">
          <cell r="C173">
            <v>34.646901205653194</v>
          </cell>
          <cell r="D173">
            <v>65.277965296213353</v>
          </cell>
          <cell r="E173">
            <v>34.646901205653194</v>
          </cell>
        </row>
        <row r="174">
          <cell r="C174">
            <v>40.428434057653199</v>
          </cell>
          <cell r="D174">
            <v>65.277965296213353</v>
          </cell>
          <cell r="E174">
            <v>40.428434057653199</v>
          </cell>
        </row>
        <row r="175">
          <cell r="C175">
            <v>28.841690745655061</v>
          </cell>
          <cell r="D175">
            <v>65.277965296213353</v>
          </cell>
          <cell r="E175">
            <v>28.841690745655061</v>
          </cell>
        </row>
        <row r="176">
          <cell r="C176">
            <v>27.14175294765133</v>
          </cell>
          <cell r="D176">
            <v>65.277965296213353</v>
          </cell>
          <cell r="E176">
            <v>27.14175294765133</v>
          </cell>
        </row>
        <row r="177">
          <cell r="C177">
            <v>32.885672653653195</v>
          </cell>
          <cell r="D177">
            <v>65.277965296213353</v>
          </cell>
          <cell r="E177">
            <v>32.885672653653195</v>
          </cell>
        </row>
        <row r="178">
          <cell r="C178">
            <v>46.071194117655061</v>
          </cell>
          <cell r="D178">
            <v>65.277965296213353</v>
          </cell>
          <cell r="E178">
            <v>46.071194117655061</v>
          </cell>
        </row>
        <row r="179">
          <cell r="C179">
            <v>29.630021615292456</v>
          </cell>
          <cell r="D179">
            <v>65.277965296213353</v>
          </cell>
          <cell r="E179">
            <v>29.630021615292456</v>
          </cell>
        </row>
        <row r="180">
          <cell r="C180">
            <v>25.563808355296175</v>
          </cell>
          <cell r="D180">
            <v>65.277965296213353</v>
          </cell>
          <cell r="E180">
            <v>25.563808355296175</v>
          </cell>
        </row>
        <row r="181">
          <cell r="C181">
            <v>35.391128383292454</v>
          </cell>
          <cell r="D181">
            <v>65.277965296213353</v>
          </cell>
          <cell r="E181">
            <v>35.391128383292454</v>
          </cell>
        </row>
        <row r="182">
          <cell r="C182">
            <v>19.282172891294316</v>
          </cell>
          <cell r="D182">
            <v>65.277965296213353</v>
          </cell>
          <cell r="E182">
            <v>19.282172891294316</v>
          </cell>
        </row>
        <row r="183">
          <cell r="C183">
            <v>18.156129819294314</v>
          </cell>
          <cell r="D183">
            <v>65.277965296213353</v>
          </cell>
          <cell r="E183">
            <v>18.156129819294314</v>
          </cell>
        </row>
        <row r="184">
          <cell r="C184">
            <v>29.004554399294314</v>
          </cell>
          <cell r="D184">
            <v>28.803266986435492</v>
          </cell>
          <cell r="E184">
            <v>28.803266986435492</v>
          </cell>
        </row>
        <row r="185">
          <cell r="C185">
            <v>23.819633133292452</v>
          </cell>
          <cell r="D185">
            <v>28.803266986435492</v>
          </cell>
          <cell r="E185">
            <v>23.819633133292452</v>
          </cell>
        </row>
        <row r="186">
          <cell r="C186">
            <v>24.155151294324533</v>
          </cell>
          <cell r="D186">
            <v>28.803266986435492</v>
          </cell>
          <cell r="E186">
            <v>24.155151294324533</v>
          </cell>
        </row>
        <row r="187">
          <cell r="C187">
            <v>24.502741548322664</v>
          </cell>
          <cell r="D187">
            <v>28.803266986435492</v>
          </cell>
          <cell r="E187">
            <v>24.502741548322664</v>
          </cell>
        </row>
        <row r="188">
          <cell r="C188">
            <v>40.249711306324535</v>
          </cell>
          <cell r="D188">
            <v>28.803266986435492</v>
          </cell>
          <cell r="E188">
            <v>28.803266986435492</v>
          </cell>
        </row>
        <row r="189">
          <cell r="C189">
            <v>13.159823920322669</v>
          </cell>
          <cell r="D189">
            <v>28.803266986435492</v>
          </cell>
          <cell r="E189">
            <v>13.159823920322669</v>
          </cell>
        </row>
        <row r="190">
          <cell r="C190">
            <v>7.1812377363226698</v>
          </cell>
          <cell r="D190">
            <v>28.803266986435492</v>
          </cell>
          <cell r="E190">
            <v>7.1812377363226698</v>
          </cell>
        </row>
        <row r="191">
          <cell r="C191">
            <v>8.1185563823245328</v>
          </cell>
          <cell r="D191">
            <v>28.803266986435492</v>
          </cell>
          <cell r="E191">
            <v>8.1185563823245328</v>
          </cell>
        </row>
        <row r="192">
          <cell r="C192">
            <v>10.871763208322664</v>
          </cell>
          <cell r="D192">
            <v>28.803266986435492</v>
          </cell>
          <cell r="E192">
            <v>10.871763208322664</v>
          </cell>
        </row>
        <row r="193">
          <cell r="C193">
            <v>20.648786620394116</v>
          </cell>
          <cell r="D193">
            <v>28.803266986435492</v>
          </cell>
          <cell r="E193">
            <v>20.648786620394116</v>
          </cell>
        </row>
        <row r="194">
          <cell r="C194">
            <v>33.778294168395973</v>
          </cell>
          <cell r="D194">
            <v>28.803266986435492</v>
          </cell>
          <cell r="E194">
            <v>28.803266986435492</v>
          </cell>
        </row>
        <row r="195">
          <cell r="C195">
            <v>47.432186778394112</v>
          </cell>
          <cell r="D195">
            <v>28.803266986435492</v>
          </cell>
          <cell r="E195">
            <v>28.803266986435492</v>
          </cell>
        </row>
        <row r="196">
          <cell r="C196">
            <v>12.599754404394115</v>
          </cell>
          <cell r="D196">
            <v>28.803266986435492</v>
          </cell>
          <cell r="E196">
            <v>12.599754404394115</v>
          </cell>
        </row>
        <row r="197">
          <cell r="C197">
            <v>5.0360476023959784</v>
          </cell>
          <cell r="D197">
            <v>28.803266986435492</v>
          </cell>
          <cell r="E197">
            <v>5.0360476023959784</v>
          </cell>
        </row>
        <row r="198">
          <cell r="C198">
            <v>21.666046580394113</v>
          </cell>
          <cell r="D198">
            <v>28.803266986435492</v>
          </cell>
          <cell r="E198">
            <v>21.666046580394113</v>
          </cell>
        </row>
        <row r="199">
          <cell r="C199">
            <v>17.970372188394112</v>
          </cell>
          <cell r="D199">
            <v>28.803266986435492</v>
          </cell>
          <cell r="E199">
            <v>17.970372188394112</v>
          </cell>
        </row>
        <row r="200">
          <cell r="C200">
            <v>11.188179630132851</v>
          </cell>
          <cell r="D200">
            <v>28.803266986435492</v>
          </cell>
          <cell r="E200">
            <v>11.188179630132851</v>
          </cell>
        </row>
        <row r="201">
          <cell r="C201">
            <v>7.9384117181347102</v>
          </cell>
          <cell r="D201">
            <v>28.803266986435492</v>
          </cell>
          <cell r="E201">
            <v>7.9384117181347102</v>
          </cell>
        </row>
        <row r="202">
          <cell r="C202">
            <v>9.7740342381328524</v>
          </cell>
          <cell r="D202">
            <v>28.803266986435492</v>
          </cell>
          <cell r="E202">
            <v>9.7740342381328524</v>
          </cell>
        </row>
        <row r="203">
          <cell r="C203">
            <v>1.0667203581328504</v>
          </cell>
          <cell r="D203">
            <v>28.803266986435492</v>
          </cell>
          <cell r="E203">
            <v>1.0667203581328504</v>
          </cell>
        </row>
        <row r="204">
          <cell r="C204">
            <v>3.5535376941309877</v>
          </cell>
          <cell r="D204">
            <v>28.803266986435492</v>
          </cell>
          <cell r="E204">
            <v>3.5535376941309877</v>
          </cell>
        </row>
        <row r="205">
          <cell r="C205">
            <v>4.9813734981347153</v>
          </cell>
          <cell r="D205">
            <v>28.803266986435492</v>
          </cell>
          <cell r="E205">
            <v>4.9813734981347153</v>
          </cell>
        </row>
        <row r="206">
          <cell r="C206">
            <v>5.8243440341328458</v>
          </cell>
          <cell r="D206">
            <v>28.803266986435492</v>
          </cell>
          <cell r="E206">
            <v>5.8243440341328458</v>
          </cell>
        </row>
        <row r="207">
          <cell r="C207">
            <v>4.6091382504418874</v>
          </cell>
          <cell r="D207">
            <v>28.803266986435492</v>
          </cell>
          <cell r="E207">
            <v>4.6091382504418874</v>
          </cell>
        </row>
        <row r="208">
          <cell r="C208">
            <v>2.9597375264400254</v>
          </cell>
          <cell r="D208">
            <v>28.803266986435492</v>
          </cell>
          <cell r="E208">
            <v>2.9597375264400254</v>
          </cell>
        </row>
        <row r="209">
          <cell r="C209">
            <v>1.843541032440029</v>
          </cell>
          <cell r="D209">
            <v>28.803266986435492</v>
          </cell>
          <cell r="E209">
            <v>1.843541032440029</v>
          </cell>
        </row>
        <row r="210">
          <cell r="C210">
            <v>5.8267309124418896</v>
          </cell>
          <cell r="D210">
            <v>28.803266986435492</v>
          </cell>
          <cell r="E210">
            <v>5.8267309124418896</v>
          </cell>
        </row>
        <row r="211">
          <cell r="C211">
            <v>4.9173575944381662</v>
          </cell>
          <cell r="D211">
            <v>28.803266986435492</v>
          </cell>
          <cell r="E211">
            <v>4.9173575944381662</v>
          </cell>
        </row>
        <row r="212">
          <cell r="C212">
            <v>4.016378514441894</v>
          </cell>
          <cell r="D212">
            <v>28.803266986435492</v>
          </cell>
          <cell r="E212">
            <v>4.016378514441894</v>
          </cell>
        </row>
        <row r="213">
          <cell r="C213">
            <v>3.7028108184390947</v>
          </cell>
          <cell r="D213">
            <v>28.803266986435492</v>
          </cell>
          <cell r="E213">
            <v>3.7028108184390947</v>
          </cell>
        </row>
        <row r="214">
          <cell r="C214">
            <v>2.4336939225340322</v>
          </cell>
          <cell r="D214">
            <v>28.803266986435492</v>
          </cell>
          <cell r="E214">
            <v>2.4336939225340322</v>
          </cell>
        </row>
        <row r="215">
          <cell r="C215">
            <v>7.9214282285340305</v>
          </cell>
          <cell r="D215">
            <v>17.69576376333022</v>
          </cell>
          <cell r="E215">
            <v>7.9214282285340305</v>
          </cell>
        </row>
        <row r="216">
          <cell r="C216">
            <v>8.0697212285349664</v>
          </cell>
          <cell r="D216">
            <v>17.69576376333022</v>
          </cell>
          <cell r="E216">
            <v>8.0697212285349664</v>
          </cell>
        </row>
        <row r="217">
          <cell r="C217">
            <v>2.3037371005331004</v>
          </cell>
          <cell r="D217">
            <v>17.69576376333022</v>
          </cell>
          <cell r="E217">
            <v>2.3037371005331004</v>
          </cell>
        </row>
        <row r="218">
          <cell r="C218">
            <v>2.257930104535895</v>
          </cell>
          <cell r="D218">
            <v>17.69576376333022</v>
          </cell>
          <cell r="E218">
            <v>2.257930104535895</v>
          </cell>
        </row>
        <row r="219">
          <cell r="C219">
            <v>8.6116978425331041</v>
          </cell>
          <cell r="D219">
            <v>17.69576376333022</v>
          </cell>
          <cell r="E219">
            <v>8.6116978425331041</v>
          </cell>
        </row>
        <row r="220">
          <cell r="C220">
            <v>12.310531754534036</v>
          </cell>
          <cell r="D220">
            <v>17.69576376333022</v>
          </cell>
          <cell r="E220">
            <v>12.310531754534036</v>
          </cell>
        </row>
        <row r="221">
          <cell r="C221">
            <v>13.944449399182115</v>
          </cell>
          <cell r="D221">
            <v>17.69576376333022</v>
          </cell>
          <cell r="E221">
            <v>13.944449399182115</v>
          </cell>
        </row>
        <row r="222">
          <cell r="C222">
            <v>7.5493202591811857</v>
          </cell>
          <cell r="D222">
            <v>17.69576376333022</v>
          </cell>
          <cell r="E222">
            <v>7.5493202591811857</v>
          </cell>
        </row>
        <row r="223">
          <cell r="C223">
            <v>9.3960193591811834</v>
          </cell>
          <cell r="D223">
            <v>17.69576376333022</v>
          </cell>
          <cell r="E223">
            <v>9.3960193591811834</v>
          </cell>
        </row>
        <row r="224">
          <cell r="C224">
            <v>7.8897993671830484</v>
          </cell>
          <cell r="D224">
            <v>17.69576376333022</v>
          </cell>
          <cell r="E224">
            <v>7.8897993671830484</v>
          </cell>
        </row>
        <row r="225">
          <cell r="C225">
            <v>1.068560027180254</v>
          </cell>
          <cell r="D225">
            <v>17.69576376333022</v>
          </cell>
          <cell r="E225">
            <v>1.068560027180254</v>
          </cell>
        </row>
        <row r="226">
          <cell r="C226">
            <v>2.4958660811811861</v>
          </cell>
          <cell r="D226">
            <v>17.69576376333022</v>
          </cell>
          <cell r="E226">
            <v>2.4958660811811861</v>
          </cell>
        </row>
        <row r="227">
          <cell r="C227">
            <v>7.113692349181183</v>
          </cell>
          <cell r="D227">
            <v>17.69576376333022</v>
          </cell>
          <cell r="E227">
            <v>7.113692349181183</v>
          </cell>
        </row>
        <row r="228">
          <cell r="C228">
            <v>12.498108670538379</v>
          </cell>
          <cell r="D228">
            <v>17.69576376333022</v>
          </cell>
          <cell r="E228">
            <v>12.498108670538379</v>
          </cell>
        </row>
        <row r="229">
          <cell r="C229">
            <v>6.7645505145355855</v>
          </cell>
          <cell r="D229">
            <v>17.69576376333022</v>
          </cell>
          <cell r="E229">
            <v>6.7645505145355855</v>
          </cell>
        </row>
        <row r="230">
          <cell r="C230">
            <v>10.198750332538372</v>
          </cell>
          <cell r="D230">
            <v>17.69576376333022</v>
          </cell>
          <cell r="E230">
            <v>10.198750332538372</v>
          </cell>
        </row>
        <row r="231">
          <cell r="C231">
            <v>6.5070074045346482</v>
          </cell>
          <cell r="D231">
            <v>17.69576376333022</v>
          </cell>
          <cell r="E231">
            <v>6.5070074045346482</v>
          </cell>
        </row>
        <row r="232">
          <cell r="C232">
            <v>5.2324443865365176</v>
          </cell>
          <cell r="D232">
            <v>17.69576376333022</v>
          </cell>
          <cell r="E232">
            <v>5.2324443865365176</v>
          </cell>
        </row>
        <row r="233">
          <cell r="C233">
            <v>10.958338302537442</v>
          </cell>
          <cell r="D233">
            <v>17.69576376333022</v>
          </cell>
          <cell r="E233">
            <v>10.958338302537442</v>
          </cell>
        </row>
        <row r="234">
          <cell r="C234">
            <v>9.7324790045374474</v>
          </cell>
          <cell r="D234">
            <v>17.69576376333022</v>
          </cell>
          <cell r="E234">
            <v>9.7324790045374474</v>
          </cell>
        </row>
        <row r="235">
          <cell r="C235">
            <v>13.338055306264454</v>
          </cell>
          <cell r="D235">
            <v>17.69576376333022</v>
          </cell>
          <cell r="E235">
            <v>13.338055306264454</v>
          </cell>
        </row>
        <row r="236">
          <cell r="C236">
            <v>16.765228846264456</v>
          </cell>
          <cell r="D236">
            <v>17.69576376333022</v>
          </cell>
          <cell r="E236">
            <v>16.765228846264456</v>
          </cell>
        </row>
        <row r="237">
          <cell r="C237">
            <v>17.646445842265383</v>
          </cell>
          <cell r="D237">
            <v>17.69576376333022</v>
          </cell>
          <cell r="E237">
            <v>17.646445842265383</v>
          </cell>
        </row>
        <row r="238">
          <cell r="C238">
            <v>9.763781318263522</v>
          </cell>
          <cell r="D238">
            <v>17.69576376333022</v>
          </cell>
          <cell r="E238">
            <v>9.763781318263522</v>
          </cell>
        </row>
        <row r="239">
          <cell r="C239">
            <v>6.1929172722663166</v>
          </cell>
          <cell r="D239">
            <v>17.69576376333022</v>
          </cell>
          <cell r="E239">
            <v>6.1929172722663166</v>
          </cell>
        </row>
        <row r="240">
          <cell r="C240">
            <v>21.388717054264454</v>
          </cell>
          <cell r="D240">
            <v>17.69576376333022</v>
          </cell>
          <cell r="E240">
            <v>17.69576376333022</v>
          </cell>
        </row>
        <row r="241">
          <cell r="C241">
            <v>26.498922198264452</v>
          </cell>
          <cell r="D241">
            <v>17.69576376333022</v>
          </cell>
          <cell r="E241">
            <v>17.69576376333022</v>
          </cell>
        </row>
        <row r="242">
          <cell r="C242">
            <v>22.003050261266647</v>
          </cell>
          <cell r="D242">
            <v>17.69576376333022</v>
          </cell>
          <cell r="E242">
            <v>17.69576376333022</v>
          </cell>
        </row>
        <row r="243">
          <cell r="C243">
            <v>28.383762925263852</v>
          </cell>
          <cell r="D243">
            <v>17.69576376333022</v>
          </cell>
          <cell r="E243">
            <v>17.69576376333022</v>
          </cell>
        </row>
        <row r="244">
          <cell r="C244">
            <v>25.551797657266643</v>
          </cell>
          <cell r="D244">
            <v>17.69576376333022</v>
          </cell>
          <cell r="E244">
            <v>17.69576376333022</v>
          </cell>
        </row>
        <row r="245">
          <cell r="C245">
            <v>15.919595253264786</v>
          </cell>
          <cell r="D245">
            <v>17.69576376333022</v>
          </cell>
          <cell r="E245">
            <v>15.919595253264786</v>
          </cell>
        </row>
        <row r="246">
          <cell r="C246">
            <v>1.0574971092657142</v>
          </cell>
          <cell r="D246">
            <v>22.281040209732421</v>
          </cell>
          <cell r="E246">
            <v>1.0574971092657142</v>
          </cell>
        </row>
        <row r="247">
          <cell r="C247">
            <v>6.8017746692666474</v>
          </cell>
          <cell r="D247">
            <v>22.281040209732421</v>
          </cell>
          <cell r="E247">
            <v>6.8017746692666474</v>
          </cell>
        </row>
        <row r="248">
          <cell r="C248">
            <v>7.4549108792647818</v>
          </cell>
          <cell r="D248">
            <v>22.281040209732421</v>
          </cell>
          <cell r="E248">
            <v>7.4549108792647818</v>
          </cell>
        </row>
        <row r="249">
          <cell r="C249">
            <v>9.4749125041668165</v>
          </cell>
          <cell r="D249">
            <v>22.281040209732421</v>
          </cell>
          <cell r="E249">
            <v>9.4749125041668165</v>
          </cell>
        </row>
        <row r="250">
          <cell r="C250">
            <v>7.5681810981686795</v>
          </cell>
          <cell r="D250">
            <v>22.281040209732421</v>
          </cell>
          <cell r="E250">
            <v>7.5681810981686795</v>
          </cell>
        </row>
        <row r="251">
          <cell r="C251">
            <v>4.8948287881677501</v>
          </cell>
          <cell r="D251">
            <v>22.281040209732421</v>
          </cell>
          <cell r="E251">
            <v>4.8948287881677501</v>
          </cell>
        </row>
        <row r="252">
          <cell r="C252">
            <v>8.5982141721677507</v>
          </cell>
          <cell r="D252">
            <v>22.281040209732421</v>
          </cell>
          <cell r="E252">
            <v>8.5982141721677507</v>
          </cell>
        </row>
        <row r="253">
          <cell r="C253">
            <v>9.1360089501677511</v>
          </cell>
          <cell r="D253">
            <v>22.281040209732421</v>
          </cell>
          <cell r="E253">
            <v>9.1360089501677511</v>
          </cell>
        </row>
        <row r="254">
          <cell r="C254">
            <v>19.102409328166818</v>
          </cell>
          <cell r="D254">
            <v>22.281040209732421</v>
          </cell>
          <cell r="E254">
            <v>19.102409328166818</v>
          </cell>
        </row>
        <row r="255">
          <cell r="C255">
            <v>9.2524961541686785</v>
          </cell>
          <cell r="D255">
            <v>22.281040209732421</v>
          </cell>
          <cell r="E255">
            <v>9.2524961541686785</v>
          </cell>
        </row>
        <row r="256">
          <cell r="C256">
            <v>17.113809906556309</v>
          </cell>
          <cell r="D256">
            <v>22.281040209732421</v>
          </cell>
          <cell r="E256">
            <v>17.113809906556309</v>
          </cell>
        </row>
        <row r="257">
          <cell r="C257">
            <v>25.507597080556312</v>
          </cell>
          <cell r="D257">
            <v>22.281040209732421</v>
          </cell>
          <cell r="E257">
            <v>22.281040209732421</v>
          </cell>
        </row>
        <row r="258">
          <cell r="C258">
            <v>20.034511860554449</v>
          </cell>
          <cell r="D258">
            <v>22.281040209732421</v>
          </cell>
          <cell r="E258">
            <v>20.034511860554449</v>
          </cell>
        </row>
        <row r="259">
          <cell r="C259">
            <v>3.6371299425572396</v>
          </cell>
          <cell r="D259">
            <v>22.281040209732421</v>
          </cell>
          <cell r="E259">
            <v>3.6371299425572396</v>
          </cell>
        </row>
        <row r="260">
          <cell r="C260">
            <v>2.6742494705553765</v>
          </cell>
          <cell r="D260">
            <v>22.281040209732421</v>
          </cell>
          <cell r="E260">
            <v>2.6742494705553765</v>
          </cell>
        </row>
        <row r="261">
          <cell r="C261">
            <v>40.739630954557242</v>
          </cell>
          <cell r="D261">
            <v>22.281040209732421</v>
          </cell>
          <cell r="E261">
            <v>22.281040209732421</v>
          </cell>
        </row>
        <row r="262">
          <cell r="C262">
            <v>39.242641318555378</v>
          </cell>
          <cell r="D262">
            <v>22.281040209732421</v>
          </cell>
          <cell r="E262">
            <v>22.281040209732421</v>
          </cell>
        </row>
        <row r="263">
          <cell r="C263">
            <v>23.118648947825168</v>
          </cell>
          <cell r="D263">
            <v>22.281040209732421</v>
          </cell>
          <cell r="E263">
            <v>22.281040209732421</v>
          </cell>
        </row>
        <row r="264">
          <cell r="C264">
            <v>27.61844785182517</v>
          </cell>
          <cell r="D264">
            <v>22.281040209732421</v>
          </cell>
          <cell r="E264">
            <v>22.281040209732421</v>
          </cell>
        </row>
        <row r="265">
          <cell r="C265">
            <v>6.5242940318261029</v>
          </cell>
          <cell r="D265">
            <v>22.281040209732421</v>
          </cell>
          <cell r="E265">
            <v>6.5242940318261029</v>
          </cell>
        </row>
        <row r="266">
          <cell r="C266">
            <v>5.9345660678251697</v>
          </cell>
          <cell r="D266">
            <v>22.281040209732421</v>
          </cell>
          <cell r="E266">
            <v>5.9345660678251697</v>
          </cell>
        </row>
        <row r="267">
          <cell r="C267">
            <v>2.0039890278251695</v>
          </cell>
          <cell r="D267">
            <v>22.281040209732421</v>
          </cell>
          <cell r="E267">
            <v>2.0039890278251695</v>
          </cell>
        </row>
        <row r="268">
          <cell r="C268">
            <v>10.812123067824235</v>
          </cell>
          <cell r="D268">
            <v>22.281040209732421</v>
          </cell>
          <cell r="E268">
            <v>10.812123067824235</v>
          </cell>
        </row>
        <row r="269">
          <cell r="C269">
            <v>6.8628073918270314</v>
          </cell>
          <cell r="D269">
            <v>22.281040209732421</v>
          </cell>
          <cell r="E269">
            <v>6.8628073918270314</v>
          </cell>
        </row>
        <row r="270">
          <cell r="C270">
            <v>21.66226604055921</v>
          </cell>
          <cell r="D270">
            <v>22.281040209732421</v>
          </cell>
          <cell r="E270">
            <v>21.66226604055921</v>
          </cell>
        </row>
        <row r="271">
          <cell r="C271">
            <v>22.57161161256014</v>
          </cell>
          <cell r="D271">
            <v>22.281040209732421</v>
          </cell>
          <cell r="E271">
            <v>22.281040209732421</v>
          </cell>
        </row>
        <row r="272">
          <cell r="C272">
            <v>19.632589916559212</v>
          </cell>
          <cell r="D272">
            <v>22.281040209732421</v>
          </cell>
          <cell r="E272">
            <v>19.632589916559212</v>
          </cell>
        </row>
        <row r="273">
          <cell r="C273">
            <v>13.274553664561074</v>
          </cell>
          <cell r="D273">
            <v>22.281040209732421</v>
          </cell>
          <cell r="E273">
            <v>13.274553664561074</v>
          </cell>
        </row>
        <row r="274">
          <cell r="C274">
            <v>11.291133864560143</v>
          </cell>
          <cell r="D274">
            <v>22.281040209732421</v>
          </cell>
          <cell r="E274">
            <v>11.291133864560143</v>
          </cell>
        </row>
        <row r="275">
          <cell r="C275">
            <v>24.859265244560142</v>
          </cell>
          <cell r="D275">
            <v>22.281040209732421</v>
          </cell>
          <cell r="E275">
            <v>22.281040209732421</v>
          </cell>
        </row>
        <row r="276">
          <cell r="C276">
            <v>14.768948360559211</v>
          </cell>
          <cell r="D276">
            <v>44.550149357058011</v>
          </cell>
          <cell r="E276">
            <v>14.768948360559211</v>
          </cell>
        </row>
        <row r="277">
          <cell r="C277">
            <v>6.2465913393767076</v>
          </cell>
          <cell r="D277">
            <v>44.550149357058011</v>
          </cell>
          <cell r="E277">
            <v>6.2465913393767076</v>
          </cell>
        </row>
        <row r="278">
          <cell r="C278">
            <v>10.294657775379502</v>
          </cell>
          <cell r="D278">
            <v>44.550149357058011</v>
          </cell>
          <cell r="E278">
            <v>10.294657775379502</v>
          </cell>
        </row>
        <row r="279">
          <cell r="C279">
            <v>15.231506839375776</v>
          </cell>
          <cell r="D279">
            <v>44.550149357058011</v>
          </cell>
          <cell r="E279">
            <v>15.231506839375776</v>
          </cell>
        </row>
        <row r="280">
          <cell r="C280">
            <v>2.7791585433776382</v>
          </cell>
          <cell r="D280">
            <v>44.550149357058011</v>
          </cell>
          <cell r="E280">
            <v>2.7791585433776382</v>
          </cell>
        </row>
        <row r="281">
          <cell r="C281">
            <v>3.1948578873776388</v>
          </cell>
          <cell r="D281">
            <v>44.550149357058011</v>
          </cell>
          <cell r="E281">
            <v>3.1948578873776388</v>
          </cell>
        </row>
        <row r="282">
          <cell r="C282">
            <v>9.1765671673767066</v>
          </cell>
          <cell r="D282">
            <v>44.550149357058011</v>
          </cell>
          <cell r="E282">
            <v>9.1765671673767066</v>
          </cell>
        </row>
        <row r="283">
          <cell r="C283">
            <v>11.670171503377638</v>
          </cell>
          <cell r="D283">
            <v>44.550149357058011</v>
          </cell>
          <cell r="E283">
            <v>11.670171503377638</v>
          </cell>
        </row>
        <row r="284">
          <cell r="C284">
            <v>10.974282968998283</v>
          </cell>
          <cell r="D284">
            <v>44.550149357058011</v>
          </cell>
          <cell r="E284">
            <v>10.974282968998283</v>
          </cell>
        </row>
        <row r="285">
          <cell r="C285">
            <v>12.436239417001078</v>
          </cell>
          <cell r="D285">
            <v>44.550149357058011</v>
          </cell>
          <cell r="E285">
            <v>12.436239417001078</v>
          </cell>
        </row>
        <row r="286">
          <cell r="C286">
            <v>8.7710066969982829</v>
          </cell>
          <cell r="D286">
            <v>44.550149357058011</v>
          </cell>
          <cell r="E286">
            <v>8.7710066969982829</v>
          </cell>
        </row>
        <row r="287">
          <cell r="C287">
            <v>2.3492717330001471</v>
          </cell>
          <cell r="D287">
            <v>44.550149357058011</v>
          </cell>
          <cell r="E287">
            <v>2.3492717330001471</v>
          </cell>
        </row>
        <row r="288">
          <cell r="C288">
            <v>1.2920262790001471</v>
          </cell>
          <cell r="D288">
            <v>44.550149357058011</v>
          </cell>
          <cell r="E288">
            <v>1.2920262790001471</v>
          </cell>
        </row>
        <row r="289">
          <cell r="C289">
            <v>4.4865502089992155</v>
          </cell>
          <cell r="D289">
            <v>44.550149357058011</v>
          </cell>
          <cell r="E289">
            <v>4.4865502089992155</v>
          </cell>
        </row>
        <row r="290">
          <cell r="C290">
            <v>9.1113559910001456</v>
          </cell>
          <cell r="D290">
            <v>44.550149357058011</v>
          </cell>
          <cell r="E290">
            <v>9.1113559910001456</v>
          </cell>
        </row>
        <row r="291">
          <cell r="C291">
            <v>35.086366275212995</v>
          </cell>
          <cell r="D291">
            <v>44.550149357058011</v>
          </cell>
          <cell r="E291">
            <v>35.086366275212995</v>
          </cell>
        </row>
        <row r="292">
          <cell r="C292">
            <v>45.871987463213927</v>
          </cell>
          <cell r="D292">
            <v>44.550149357058011</v>
          </cell>
          <cell r="E292">
            <v>44.550149357058011</v>
          </cell>
        </row>
        <row r="293">
          <cell r="C293">
            <v>44.485241749213927</v>
          </cell>
          <cell r="D293">
            <v>44.550149357058011</v>
          </cell>
          <cell r="E293">
            <v>44.485241749213927</v>
          </cell>
        </row>
        <row r="294">
          <cell r="C294">
            <v>37.269568681213933</v>
          </cell>
          <cell r="D294">
            <v>44.550149357058011</v>
          </cell>
          <cell r="E294">
            <v>37.269568681213933</v>
          </cell>
        </row>
        <row r="295">
          <cell r="C295">
            <v>48.584789803214861</v>
          </cell>
          <cell r="D295">
            <v>44.550149357058011</v>
          </cell>
          <cell r="E295">
            <v>44.550149357058011</v>
          </cell>
        </row>
        <row r="296">
          <cell r="C296">
            <v>71.337222037212058</v>
          </cell>
          <cell r="D296">
            <v>44.550149357058011</v>
          </cell>
          <cell r="E296">
            <v>44.550149357058011</v>
          </cell>
        </row>
        <row r="297">
          <cell r="C297">
            <v>66.924923513213002</v>
          </cell>
          <cell r="D297">
            <v>44.550149357058011</v>
          </cell>
          <cell r="E297">
            <v>44.550149357058011</v>
          </cell>
        </row>
        <row r="298">
          <cell r="C298">
            <v>69.413260461879204</v>
          </cell>
          <cell r="D298">
            <v>44.550149357058011</v>
          </cell>
          <cell r="E298">
            <v>44.550149357058011</v>
          </cell>
        </row>
        <row r="299">
          <cell r="C299">
            <v>65.58422514187734</v>
          </cell>
          <cell r="D299">
            <v>44.550149357058011</v>
          </cell>
          <cell r="E299">
            <v>44.550149357058011</v>
          </cell>
        </row>
        <row r="300">
          <cell r="C300">
            <v>58.938894661877342</v>
          </cell>
          <cell r="D300">
            <v>44.550149357058011</v>
          </cell>
          <cell r="E300">
            <v>44.550149357058011</v>
          </cell>
        </row>
        <row r="301">
          <cell r="C301">
            <v>50.177881125876411</v>
          </cell>
          <cell r="D301">
            <v>44.550149357058011</v>
          </cell>
          <cell r="E301">
            <v>44.550149357058011</v>
          </cell>
        </row>
        <row r="302">
          <cell r="C302">
            <v>53.409759997879206</v>
          </cell>
          <cell r="D302">
            <v>44.550149357058011</v>
          </cell>
          <cell r="E302">
            <v>44.550149357058011</v>
          </cell>
        </row>
        <row r="303">
          <cell r="C303">
            <v>64.334243269877348</v>
          </cell>
          <cell r="D303">
            <v>44.550149357058011</v>
          </cell>
          <cell r="E303">
            <v>44.550149357058011</v>
          </cell>
        </row>
        <row r="304">
          <cell r="C304">
            <v>70.119179819877345</v>
          </cell>
          <cell r="D304">
            <v>44.550149357058011</v>
          </cell>
          <cell r="E304">
            <v>44.550149357058011</v>
          </cell>
        </row>
        <row r="305">
          <cell r="C305">
            <v>57.804457861749711</v>
          </cell>
          <cell r="D305">
            <v>44.550149357058011</v>
          </cell>
          <cell r="E305">
            <v>44.550149357058011</v>
          </cell>
        </row>
        <row r="306">
          <cell r="C306">
            <v>48.783205057750635</v>
          </cell>
          <cell r="D306">
            <v>44.550149357058011</v>
          </cell>
          <cell r="E306">
            <v>44.550149357058011</v>
          </cell>
        </row>
        <row r="307">
          <cell r="C307">
            <v>32.645414409750643</v>
          </cell>
          <cell r="D307">
            <v>83.137557492553753</v>
          </cell>
          <cell r="E307">
            <v>32.645414409750643</v>
          </cell>
        </row>
        <row r="308">
          <cell r="C308">
            <v>33.302213801749708</v>
          </cell>
          <cell r="D308">
            <v>83.137557492553753</v>
          </cell>
          <cell r="E308">
            <v>33.302213801749708</v>
          </cell>
        </row>
        <row r="309">
          <cell r="C309">
            <v>39.235533997751567</v>
          </cell>
          <cell r="D309">
            <v>83.137557492553753</v>
          </cell>
          <cell r="E309">
            <v>39.235533997751567</v>
          </cell>
        </row>
        <row r="310">
          <cell r="C310">
            <v>49.432187269750642</v>
          </cell>
          <cell r="D310">
            <v>83.137557492553753</v>
          </cell>
          <cell r="E310">
            <v>49.432187269750642</v>
          </cell>
        </row>
        <row r="311">
          <cell r="C311">
            <v>55.129035661749711</v>
          </cell>
          <cell r="D311">
            <v>83.137557492553753</v>
          </cell>
          <cell r="E311">
            <v>55.129035661749711</v>
          </cell>
        </row>
        <row r="312">
          <cell r="C312">
            <v>96.517850272140009</v>
          </cell>
          <cell r="D312">
            <v>83.137557492553753</v>
          </cell>
          <cell r="E312">
            <v>83.137557492553753</v>
          </cell>
        </row>
        <row r="313">
          <cell r="C313">
            <v>96.981097774139087</v>
          </cell>
          <cell r="D313">
            <v>83.137557492553753</v>
          </cell>
          <cell r="E313">
            <v>83.137557492553753</v>
          </cell>
        </row>
        <row r="314">
          <cell r="C314">
            <v>99.267910608140028</v>
          </cell>
          <cell r="D314">
            <v>83.137557492553753</v>
          </cell>
          <cell r="E314">
            <v>83.137557492553753</v>
          </cell>
        </row>
        <row r="315">
          <cell r="C315">
            <v>100.38756797614002</v>
          </cell>
          <cell r="D315">
            <v>83.137557492553753</v>
          </cell>
          <cell r="E315">
            <v>83.137557492553753</v>
          </cell>
        </row>
        <row r="316">
          <cell r="C316">
            <v>100.00252910214002</v>
          </cell>
          <cell r="D316">
            <v>83.137557492553753</v>
          </cell>
          <cell r="E316">
            <v>83.137557492553753</v>
          </cell>
        </row>
        <row r="317">
          <cell r="C317">
            <v>103.5793016841391</v>
          </cell>
          <cell r="D317">
            <v>83.137557492553753</v>
          </cell>
          <cell r="E317">
            <v>83.137557492553753</v>
          </cell>
        </row>
        <row r="318">
          <cell r="C318">
            <v>107.87766753814094</v>
          </cell>
          <cell r="D318">
            <v>83.137557492553753</v>
          </cell>
          <cell r="E318">
            <v>83.137557492553753</v>
          </cell>
        </row>
        <row r="319">
          <cell r="C319">
            <v>169.37504266546199</v>
          </cell>
          <cell r="D319">
            <v>83.137557492553753</v>
          </cell>
          <cell r="E319">
            <v>83.137557492553753</v>
          </cell>
        </row>
        <row r="320">
          <cell r="C320">
            <v>178.92032890546014</v>
          </cell>
          <cell r="D320">
            <v>83.137557492553753</v>
          </cell>
          <cell r="E320">
            <v>83.137557492553753</v>
          </cell>
        </row>
        <row r="321">
          <cell r="C321">
            <v>175.7299756654601</v>
          </cell>
          <cell r="D321">
            <v>83.137557492553753</v>
          </cell>
          <cell r="E321">
            <v>83.137557492553753</v>
          </cell>
        </row>
        <row r="322">
          <cell r="C322">
            <v>172.31068314546198</v>
          </cell>
          <cell r="D322">
            <v>83.137557492553753</v>
          </cell>
          <cell r="E322">
            <v>83.137557492553753</v>
          </cell>
        </row>
        <row r="323">
          <cell r="C323">
            <v>168.51232138546013</v>
          </cell>
          <cell r="D323">
            <v>83.137557492553753</v>
          </cell>
          <cell r="E323">
            <v>83.137557492553753</v>
          </cell>
        </row>
        <row r="324">
          <cell r="C324">
            <v>176.87608349546107</v>
          </cell>
          <cell r="D324">
            <v>83.137557492553753</v>
          </cell>
          <cell r="E324">
            <v>83.137557492553753</v>
          </cell>
        </row>
        <row r="325">
          <cell r="C325">
            <v>191.19754494546009</v>
          </cell>
          <cell r="D325">
            <v>83.137557492553753</v>
          </cell>
          <cell r="E325">
            <v>83.137557492553753</v>
          </cell>
        </row>
        <row r="326">
          <cell r="C326">
            <v>165.53610746046272</v>
          </cell>
          <cell r="D326">
            <v>83.137557492553753</v>
          </cell>
          <cell r="E326">
            <v>83.137557492553753</v>
          </cell>
        </row>
        <row r="327">
          <cell r="C327">
            <v>164.48450008046365</v>
          </cell>
          <cell r="D327">
            <v>83.137557492553753</v>
          </cell>
          <cell r="E327">
            <v>83.137557492553753</v>
          </cell>
        </row>
        <row r="328">
          <cell r="C328">
            <v>142.55365212046459</v>
          </cell>
          <cell r="D328">
            <v>83.137557492553753</v>
          </cell>
          <cell r="E328">
            <v>83.137557492553753</v>
          </cell>
        </row>
        <row r="329">
          <cell r="C329">
            <v>149.79941410046365</v>
          </cell>
          <cell r="D329">
            <v>83.137557492553753</v>
          </cell>
          <cell r="E329">
            <v>83.137557492553753</v>
          </cell>
        </row>
        <row r="330">
          <cell r="C330">
            <v>152.63351821046362</v>
          </cell>
          <cell r="D330">
            <v>83.137557492553753</v>
          </cell>
          <cell r="E330">
            <v>83.137557492553753</v>
          </cell>
        </row>
        <row r="331">
          <cell r="C331">
            <v>160.46484280046366</v>
          </cell>
          <cell r="D331">
            <v>83.137557492553753</v>
          </cell>
          <cell r="E331">
            <v>83.137557492553753</v>
          </cell>
        </row>
        <row r="332">
          <cell r="C332">
            <v>154.75039204046178</v>
          </cell>
          <cell r="D332">
            <v>83.137557492553753</v>
          </cell>
          <cell r="E332">
            <v>83.137557492553753</v>
          </cell>
        </row>
        <row r="333">
          <cell r="C333">
            <v>208.72242819452077</v>
          </cell>
          <cell r="D333">
            <v>83.137557492553753</v>
          </cell>
          <cell r="E333">
            <v>83.137557492553753</v>
          </cell>
        </row>
        <row r="334">
          <cell r="C334">
            <v>218.49035702451982</v>
          </cell>
          <cell r="D334">
            <v>83.137557492553753</v>
          </cell>
          <cell r="E334">
            <v>83.137557492553753</v>
          </cell>
        </row>
        <row r="335">
          <cell r="C335">
            <v>228.39311174451981</v>
          </cell>
          <cell r="D335">
            <v>83.137557492553753</v>
          </cell>
          <cell r="E335">
            <v>83.137557492553753</v>
          </cell>
        </row>
        <row r="336">
          <cell r="C336">
            <v>214.47707978452075</v>
          </cell>
          <cell r="D336">
            <v>83.137557492553753</v>
          </cell>
          <cell r="E336">
            <v>83.137557492553753</v>
          </cell>
        </row>
        <row r="337">
          <cell r="C337">
            <v>217.97567370451887</v>
          </cell>
          <cell r="D337">
            <v>104.08859355090497</v>
          </cell>
          <cell r="E337">
            <v>104.08859355090497</v>
          </cell>
        </row>
        <row r="338">
          <cell r="C338">
            <v>220.38607756452078</v>
          </cell>
          <cell r="D338">
            <v>104.08859355090497</v>
          </cell>
          <cell r="E338">
            <v>104.08859355090497</v>
          </cell>
        </row>
        <row r="339">
          <cell r="C339">
            <v>238.12380746452078</v>
          </cell>
          <cell r="D339">
            <v>104.08859355090497</v>
          </cell>
          <cell r="E339">
            <v>104.08859355090497</v>
          </cell>
        </row>
        <row r="340">
          <cell r="C340">
            <v>156.75214829175312</v>
          </cell>
          <cell r="D340">
            <v>104.08859355090497</v>
          </cell>
          <cell r="E340">
            <v>104.08859355090497</v>
          </cell>
        </row>
        <row r="341">
          <cell r="C341">
            <v>156.11154397175403</v>
          </cell>
          <cell r="D341">
            <v>104.08859355090497</v>
          </cell>
          <cell r="E341">
            <v>104.08859355090497</v>
          </cell>
        </row>
        <row r="342">
          <cell r="C342">
            <v>145.51518334175313</v>
          </cell>
          <cell r="D342">
            <v>104.08859355090497</v>
          </cell>
          <cell r="E342">
            <v>104.08859355090497</v>
          </cell>
        </row>
        <row r="343">
          <cell r="C343">
            <v>138.26705353175311</v>
          </cell>
          <cell r="D343">
            <v>104.08859355090497</v>
          </cell>
          <cell r="E343">
            <v>104.08859355090497</v>
          </cell>
        </row>
        <row r="344">
          <cell r="C344">
            <v>123.47569367175311</v>
          </cell>
          <cell r="D344">
            <v>104.08859355090497</v>
          </cell>
          <cell r="E344">
            <v>104.08859355090497</v>
          </cell>
        </row>
        <row r="345">
          <cell r="C345">
            <v>121.07344309175217</v>
          </cell>
          <cell r="D345">
            <v>104.08859355090497</v>
          </cell>
          <cell r="E345">
            <v>104.08859355090497</v>
          </cell>
        </row>
        <row r="346">
          <cell r="C346">
            <v>130.04852048375309</v>
          </cell>
          <cell r="D346">
            <v>104.08859355090497</v>
          </cell>
          <cell r="E346">
            <v>104.08859355090497</v>
          </cell>
        </row>
        <row r="347">
          <cell r="C347">
            <v>138.49020952671947</v>
          </cell>
          <cell r="D347">
            <v>104.08859355090497</v>
          </cell>
          <cell r="E347">
            <v>104.08859355090497</v>
          </cell>
        </row>
        <row r="348">
          <cell r="C348">
            <v>127.47935954672039</v>
          </cell>
          <cell r="D348">
            <v>104.08859355090497</v>
          </cell>
          <cell r="E348">
            <v>104.08859355090497</v>
          </cell>
        </row>
        <row r="349">
          <cell r="C349">
            <v>135.27354444671852</v>
          </cell>
          <cell r="D349">
            <v>104.08859355090497</v>
          </cell>
          <cell r="E349">
            <v>104.08859355090497</v>
          </cell>
        </row>
        <row r="350">
          <cell r="C350">
            <v>142.16881114671943</v>
          </cell>
          <cell r="D350">
            <v>104.08859355090497</v>
          </cell>
          <cell r="E350">
            <v>104.08859355090497</v>
          </cell>
        </row>
        <row r="351">
          <cell r="C351">
            <v>136.56752488672038</v>
          </cell>
          <cell r="D351">
            <v>104.08859355090497</v>
          </cell>
          <cell r="E351">
            <v>104.08859355090497</v>
          </cell>
        </row>
        <row r="352">
          <cell r="C352">
            <v>157.41493800672038</v>
          </cell>
          <cell r="D352">
            <v>104.08859355090497</v>
          </cell>
          <cell r="E352">
            <v>104.08859355090497</v>
          </cell>
        </row>
        <row r="353">
          <cell r="C353">
            <v>173.46827267671944</v>
          </cell>
          <cell r="D353">
            <v>104.08859355090497</v>
          </cell>
          <cell r="E353">
            <v>104.08859355090497</v>
          </cell>
        </row>
        <row r="354">
          <cell r="C354">
            <v>334.12964689784087</v>
          </cell>
          <cell r="D354">
            <v>104.08859355090497</v>
          </cell>
          <cell r="E354">
            <v>104.08859355090497</v>
          </cell>
        </row>
        <row r="355">
          <cell r="C355">
            <v>332.56385904184464</v>
          </cell>
          <cell r="D355">
            <v>104.08859355090497</v>
          </cell>
          <cell r="E355">
            <v>104.08859355090497</v>
          </cell>
        </row>
        <row r="356">
          <cell r="C356">
            <v>354.56233885584282</v>
          </cell>
          <cell r="D356">
            <v>104.08859355090497</v>
          </cell>
          <cell r="E356">
            <v>104.08859355090497</v>
          </cell>
        </row>
        <row r="357">
          <cell r="C357">
            <v>354.27874643784463</v>
          </cell>
          <cell r="D357">
            <v>104.08859355090497</v>
          </cell>
          <cell r="E357">
            <v>104.08859355090497</v>
          </cell>
        </row>
        <row r="358">
          <cell r="C358">
            <v>343.39449774784282</v>
          </cell>
          <cell r="D358">
            <v>104.08859355090497</v>
          </cell>
          <cell r="E358">
            <v>104.08859355090497</v>
          </cell>
        </row>
        <row r="359">
          <cell r="C359">
            <v>350.60836738784468</v>
          </cell>
          <cell r="D359">
            <v>104.08859355090497</v>
          </cell>
          <cell r="E359">
            <v>104.08859355090497</v>
          </cell>
        </row>
        <row r="360">
          <cell r="C360">
            <v>354.35816298784283</v>
          </cell>
          <cell r="D360">
            <v>104.08859355090497</v>
          </cell>
          <cell r="E360">
            <v>104.08859355090497</v>
          </cell>
        </row>
        <row r="361">
          <cell r="C361">
            <v>172.68689226917945</v>
          </cell>
          <cell r="D361">
            <v>104.08859355090497</v>
          </cell>
          <cell r="E361">
            <v>104.08859355090497</v>
          </cell>
        </row>
        <row r="362">
          <cell r="C362">
            <v>174.46318876918133</v>
          </cell>
          <cell r="D362">
            <v>104.08859355090497</v>
          </cell>
          <cell r="E362">
            <v>104.08859355090497</v>
          </cell>
        </row>
        <row r="363">
          <cell r="C363">
            <v>178.31420186918319</v>
          </cell>
          <cell r="D363">
            <v>104.08859355090497</v>
          </cell>
          <cell r="E363">
            <v>104.08859355090497</v>
          </cell>
        </row>
        <row r="364">
          <cell r="C364">
            <v>174.19467910117945</v>
          </cell>
          <cell r="D364">
            <v>104.08859355090497</v>
          </cell>
          <cell r="E364">
            <v>104.08859355090497</v>
          </cell>
        </row>
        <row r="365">
          <cell r="C365">
            <v>164.00843339318129</v>
          </cell>
          <cell r="D365">
            <v>104.08859355090497</v>
          </cell>
          <cell r="E365">
            <v>104.08859355090497</v>
          </cell>
        </row>
        <row r="366">
          <cell r="C366">
            <v>162.84888335718131</v>
          </cell>
          <cell r="D366">
            <v>104.08859355090497</v>
          </cell>
          <cell r="E366">
            <v>104.08859355090497</v>
          </cell>
        </row>
        <row r="367">
          <cell r="C367">
            <v>160.96440108718133</v>
          </cell>
          <cell r="D367">
            <v>104.08859355090497</v>
          </cell>
          <cell r="E367">
            <v>104.08859355090497</v>
          </cell>
        </row>
        <row r="368">
          <cell r="C368">
            <v>184.26620013992655</v>
          </cell>
          <cell r="D368">
            <v>120.61015823780208</v>
          </cell>
          <cell r="E368">
            <v>120.61015823780208</v>
          </cell>
        </row>
        <row r="369">
          <cell r="C369">
            <v>191.94062220592653</v>
          </cell>
          <cell r="D369">
            <v>120.61015823780208</v>
          </cell>
          <cell r="E369">
            <v>120.61015823780208</v>
          </cell>
        </row>
        <row r="370">
          <cell r="C370">
            <v>184.77754759392656</v>
          </cell>
          <cell r="D370">
            <v>120.61015823780208</v>
          </cell>
          <cell r="E370">
            <v>120.61015823780208</v>
          </cell>
        </row>
        <row r="371">
          <cell r="C371">
            <v>172.67950600392467</v>
          </cell>
          <cell r="D371">
            <v>120.61015823780208</v>
          </cell>
          <cell r="E371">
            <v>120.61015823780208</v>
          </cell>
        </row>
        <row r="372">
          <cell r="C372">
            <v>159.61731620392655</v>
          </cell>
          <cell r="D372">
            <v>120.61015823780208</v>
          </cell>
          <cell r="E372">
            <v>120.61015823780208</v>
          </cell>
        </row>
        <row r="373">
          <cell r="C373">
            <v>163.10023949992657</v>
          </cell>
          <cell r="D373">
            <v>120.61015823780208</v>
          </cell>
          <cell r="E373">
            <v>120.61015823780208</v>
          </cell>
        </row>
        <row r="374">
          <cell r="C374">
            <v>178.34972706792655</v>
          </cell>
          <cell r="D374">
            <v>120.61015823780208</v>
          </cell>
          <cell r="E374">
            <v>120.61015823780208</v>
          </cell>
        </row>
        <row r="375">
          <cell r="C375">
            <v>184.27069932720477</v>
          </cell>
          <cell r="D375">
            <v>120.61015823780208</v>
          </cell>
          <cell r="E375">
            <v>120.61015823780208</v>
          </cell>
        </row>
        <row r="376">
          <cell r="C376">
            <v>167.69535605720475</v>
          </cell>
          <cell r="D376">
            <v>120.61015823780208</v>
          </cell>
          <cell r="E376">
            <v>120.61015823780208</v>
          </cell>
        </row>
        <row r="377">
          <cell r="C377">
            <v>172.43822710720474</v>
          </cell>
          <cell r="D377">
            <v>120.61015823780208</v>
          </cell>
          <cell r="E377">
            <v>120.61015823780208</v>
          </cell>
        </row>
        <row r="378">
          <cell r="C378">
            <v>146.37702562920475</v>
          </cell>
          <cell r="D378">
            <v>120.61015823780208</v>
          </cell>
          <cell r="E378">
            <v>120.61015823780208</v>
          </cell>
        </row>
        <row r="379">
          <cell r="C379">
            <v>143.11790912520473</v>
          </cell>
          <cell r="D379">
            <v>120.61015823780208</v>
          </cell>
          <cell r="E379">
            <v>120.61015823780208</v>
          </cell>
        </row>
        <row r="380">
          <cell r="C380">
            <v>167.93812788120474</v>
          </cell>
          <cell r="D380">
            <v>120.61015823780208</v>
          </cell>
          <cell r="E380">
            <v>120.61015823780208</v>
          </cell>
        </row>
        <row r="381">
          <cell r="C381">
            <v>161.90957078920474</v>
          </cell>
          <cell r="D381">
            <v>120.61015823780208</v>
          </cell>
          <cell r="E381">
            <v>120.61015823780208</v>
          </cell>
        </row>
        <row r="382">
          <cell r="C382">
            <v>109.46004220692852</v>
          </cell>
          <cell r="D382">
            <v>120.61015823780208</v>
          </cell>
          <cell r="E382">
            <v>109.46004220692852</v>
          </cell>
        </row>
        <row r="383">
          <cell r="C383">
            <v>102.64023779493037</v>
          </cell>
          <cell r="D383">
            <v>120.61015823780208</v>
          </cell>
          <cell r="E383">
            <v>102.64023779493037</v>
          </cell>
        </row>
        <row r="384">
          <cell r="C384">
            <v>95.349337680928528</v>
          </cell>
          <cell r="D384">
            <v>120.61015823780208</v>
          </cell>
          <cell r="E384">
            <v>95.349337680928528</v>
          </cell>
        </row>
        <row r="385">
          <cell r="C385">
            <v>78.364010868930393</v>
          </cell>
          <cell r="D385">
            <v>120.61015823780208</v>
          </cell>
          <cell r="E385">
            <v>78.364010868930393</v>
          </cell>
        </row>
        <row r="386">
          <cell r="C386">
            <v>81.110602914928521</v>
          </cell>
          <cell r="D386">
            <v>120.61015823780208</v>
          </cell>
          <cell r="E386">
            <v>81.110602914928521</v>
          </cell>
        </row>
        <row r="387">
          <cell r="C387">
            <v>107.01119799893038</v>
          </cell>
          <cell r="D387">
            <v>120.61015823780208</v>
          </cell>
          <cell r="E387">
            <v>107.01119799893038</v>
          </cell>
        </row>
        <row r="388">
          <cell r="C388">
            <v>109.92191380092852</v>
          </cell>
          <cell r="D388">
            <v>120.61015823780208</v>
          </cell>
          <cell r="E388">
            <v>109.92191380092852</v>
          </cell>
        </row>
        <row r="389">
          <cell r="C389">
            <v>156.51959722485577</v>
          </cell>
          <cell r="D389">
            <v>120.61015823780208</v>
          </cell>
          <cell r="E389">
            <v>120.61015823780208</v>
          </cell>
        </row>
        <row r="390">
          <cell r="C390">
            <v>153.52301242085761</v>
          </cell>
          <cell r="D390">
            <v>120.61015823780208</v>
          </cell>
          <cell r="E390">
            <v>120.61015823780208</v>
          </cell>
        </row>
        <row r="391">
          <cell r="C391">
            <v>158.05685952485578</v>
          </cell>
          <cell r="D391">
            <v>120.61015823780208</v>
          </cell>
          <cell r="E391">
            <v>120.61015823780208</v>
          </cell>
        </row>
        <row r="392">
          <cell r="C392">
            <v>141.95535914085576</v>
          </cell>
          <cell r="D392">
            <v>120.61015823780208</v>
          </cell>
          <cell r="E392">
            <v>120.61015823780208</v>
          </cell>
        </row>
        <row r="393">
          <cell r="C393">
            <v>112.84747781685577</v>
          </cell>
          <cell r="D393">
            <v>120.61015823780208</v>
          </cell>
          <cell r="E393">
            <v>112.84747781685577</v>
          </cell>
        </row>
        <row r="394">
          <cell r="C394">
            <v>106.18140920485763</v>
          </cell>
          <cell r="D394">
            <v>120.61015823780208</v>
          </cell>
          <cell r="E394">
            <v>106.18140920485763</v>
          </cell>
        </row>
        <row r="395">
          <cell r="C395">
            <v>117.11715567885577</v>
          </cell>
          <cell r="D395">
            <v>120.61015823780208</v>
          </cell>
          <cell r="E395">
            <v>117.11715567885577</v>
          </cell>
        </row>
        <row r="396">
          <cell r="C396">
            <v>162.95080659618944</v>
          </cell>
          <cell r="D396">
            <v>120.61015823780208</v>
          </cell>
          <cell r="E396">
            <v>120.61015823780208</v>
          </cell>
        </row>
        <row r="397">
          <cell r="C397">
            <v>149.09742134619128</v>
          </cell>
          <cell r="D397">
            <v>120.61015823780208</v>
          </cell>
          <cell r="E397">
            <v>120.61015823780208</v>
          </cell>
        </row>
        <row r="398">
          <cell r="C398">
            <v>155.79503754418943</v>
          </cell>
          <cell r="D398">
            <v>120.61015823780208</v>
          </cell>
          <cell r="E398">
            <v>120.61015823780208</v>
          </cell>
        </row>
        <row r="399">
          <cell r="C399"/>
          <cell r="D399"/>
          <cell r="E399"/>
        </row>
        <row r="400">
          <cell r="C400" t="str">
            <v/>
          </cell>
          <cell r="D400" t="str">
            <v/>
          </cell>
          <cell r="E400" t="str">
            <v/>
          </cell>
        </row>
        <row r="401">
          <cell r="C401" t="str">
            <v/>
          </cell>
          <cell r="D401" t="str">
            <v/>
          </cell>
          <cell r="E401" t="str">
            <v/>
          </cell>
        </row>
        <row r="402">
          <cell r="C402" t="str">
            <v/>
          </cell>
          <cell r="D402" t="str">
            <v/>
          </cell>
          <cell r="E402" t="str">
            <v/>
          </cell>
        </row>
        <row r="403">
          <cell r="C403" t="str">
            <v/>
          </cell>
          <cell r="D403" t="str">
            <v/>
          </cell>
          <cell r="E403" t="str">
            <v/>
          </cell>
        </row>
        <row r="404">
          <cell r="C404" t="str">
            <v/>
          </cell>
          <cell r="D404" t="str">
            <v/>
          </cell>
          <cell r="E404" t="str">
            <v/>
          </cell>
        </row>
        <row r="405">
          <cell r="C405" t="str">
            <v/>
          </cell>
          <cell r="D405" t="str">
            <v/>
          </cell>
          <cell r="E405" t="str">
            <v/>
          </cell>
        </row>
        <row r="406">
          <cell r="C406" t="str">
            <v/>
          </cell>
          <cell r="D406" t="str">
            <v/>
          </cell>
          <cell r="E406" t="str">
            <v/>
          </cell>
        </row>
        <row r="407">
          <cell r="C407" t="str">
            <v/>
          </cell>
          <cell r="D407" t="str">
            <v/>
          </cell>
          <cell r="E407" t="str">
            <v/>
          </cell>
        </row>
        <row r="408">
          <cell r="C408" t="str">
            <v/>
          </cell>
          <cell r="D408" t="str">
            <v/>
          </cell>
          <cell r="E408" t="str">
            <v/>
          </cell>
        </row>
        <row r="409">
          <cell r="C409" t="str">
            <v/>
          </cell>
          <cell r="D409" t="str">
            <v/>
          </cell>
          <cell r="E409" t="str">
            <v/>
          </cell>
        </row>
        <row r="410">
          <cell r="C410" t="str">
            <v/>
          </cell>
          <cell r="D410" t="str">
            <v/>
          </cell>
          <cell r="E410" t="str">
            <v/>
          </cell>
        </row>
        <row r="411">
          <cell r="C411" t="str">
            <v/>
          </cell>
          <cell r="D411" t="str">
            <v/>
          </cell>
          <cell r="E411" t="str">
            <v/>
          </cell>
        </row>
        <row r="412">
          <cell r="C412" t="str">
            <v/>
          </cell>
          <cell r="D412" t="str">
            <v/>
          </cell>
          <cell r="E412" t="str">
            <v/>
          </cell>
        </row>
        <row r="413">
          <cell r="C413" t="str">
            <v/>
          </cell>
          <cell r="D413" t="str">
            <v/>
          </cell>
          <cell r="E413" t="str">
            <v/>
          </cell>
        </row>
        <row r="414">
          <cell r="C414" t="str">
            <v/>
          </cell>
          <cell r="D414" t="str">
            <v/>
          </cell>
          <cell r="E414" t="str">
            <v/>
          </cell>
        </row>
        <row r="415">
          <cell r="C415" t="str">
            <v/>
          </cell>
          <cell r="D415" t="str">
            <v/>
          </cell>
          <cell r="E415" t="str">
            <v/>
          </cell>
        </row>
        <row r="416">
          <cell r="C416" t="str">
            <v/>
          </cell>
          <cell r="D416" t="str">
            <v/>
          </cell>
          <cell r="E416" t="str">
            <v/>
          </cell>
        </row>
        <row r="417">
          <cell r="C417" t="str">
            <v/>
          </cell>
          <cell r="D417" t="str">
            <v/>
          </cell>
          <cell r="E417" t="str">
            <v/>
          </cell>
        </row>
        <row r="418">
          <cell r="C418" t="str">
            <v/>
          </cell>
          <cell r="D418" t="str">
            <v/>
          </cell>
          <cell r="E418" t="str">
            <v/>
          </cell>
        </row>
        <row r="419">
          <cell r="C419" t="str">
            <v/>
          </cell>
          <cell r="D419" t="str">
            <v/>
          </cell>
          <cell r="E419" t="str">
            <v/>
          </cell>
        </row>
        <row r="420">
          <cell r="C420" t="str">
            <v/>
          </cell>
          <cell r="D420" t="str">
            <v/>
          </cell>
          <cell r="E420" t="str">
            <v/>
          </cell>
        </row>
        <row r="421">
          <cell r="C421" t="str">
            <v/>
          </cell>
          <cell r="D421" t="str">
            <v/>
          </cell>
          <cell r="E421" t="str">
            <v/>
          </cell>
        </row>
        <row r="422">
          <cell r="C422" t="str">
            <v/>
          </cell>
          <cell r="D422" t="str">
            <v/>
          </cell>
          <cell r="E422" t="str">
            <v/>
          </cell>
        </row>
        <row r="423">
          <cell r="C423" t="str">
            <v/>
          </cell>
          <cell r="D423" t="str">
            <v/>
          </cell>
          <cell r="E423" t="str">
            <v/>
          </cell>
        </row>
        <row r="424">
          <cell r="C424" t="str">
            <v/>
          </cell>
          <cell r="D424" t="str">
            <v/>
          </cell>
          <cell r="E424" t="str">
            <v/>
          </cell>
        </row>
        <row r="425">
          <cell r="C425" t="str">
            <v/>
          </cell>
          <cell r="D425" t="str">
            <v/>
          </cell>
          <cell r="E425" t="str">
            <v/>
          </cell>
        </row>
        <row r="426">
          <cell r="C426" t="str">
            <v/>
          </cell>
          <cell r="D426" t="str">
            <v/>
          </cell>
          <cell r="E426" t="str">
            <v/>
          </cell>
        </row>
        <row r="427">
          <cell r="C427" t="str">
            <v/>
          </cell>
          <cell r="D427" t="str">
            <v/>
          </cell>
          <cell r="E427" t="str">
            <v/>
          </cell>
        </row>
        <row r="428">
          <cell r="C428" t="str">
            <v/>
          </cell>
          <cell r="D428" t="str">
            <v/>
          </cell>
          <cell r="E428" t="str">
            <v/>
          </cell>
        </row>
        <row r="429">
          <cell r="C429" t="str">
            <v/>
          </cell>
          <cell r="D429" t="str">
            <v/>
          </cell>
          <cell r="E429" t="str">
            <v/>
          </cell>
        </row>
        <row r="430">
          <cell r="C430" t="str">
            <v/>
          </cell>
          <cell r="D430" t="str">
            <v/>
          </cell>
          <cell r="E430" t="str">
            <v/>
          </cell>
        </row>
        <row r="431">
          <cell r="C431" t="str">
            <v/>
          </cell>
          <cell r="D431" t="str">
            <v/>
          </cell>
          <cell r="E431" t="str">
            <v/>
          </cell>
        </row>
        <row r="432">
          <cell r="C432" t="str">
            <v/>
          </cell>
          <cell r="D432" t="str">
            <v/>
          </cell>
          <cell r="E432" t="str">
            <v/>
          </cell>
        </row>
        <row r="433">
          <cell r="C433" t="str">
            <v/>
          </cell>
          <cell r="D433" t="str">
            <v/>
          </cell>
          <cell r="E433" t="str">
            <v/>
          </cell>
        </row>
        <row r="434">
          <cell r="C434" t="str">
            <v/>
          </cell>
          <cell r="D434" t="str">
            <v/>
          </cell>
          <cell r="E434" t="str">
            <v/>
          </cell>
        </row>
        <row r="435">
          <cell r="C435" t="str">
            <v/>
          </cell>
          <cell r="D435" t="str">
            <v/>
          </cell>
          <cell r="E435" t="str">
            <v/>
          </cell>
        </row>
        <row r="436">
          <cell r="C436" t="str">
            <v/>
          </cell>
          <cell r="D436" t="str">
            <v/>
          </cell>
          <cell r="E436" t="str">
            <v/>
          </cell>
        </row>
        <row r="437">
          <cell r="C437" t="str">
            <v/>
          </cell>
          <cell r="D437" t="str">
            <v/>
          </cell>
          <cell r="E437" t="str">
            <v/>
          </cell>
        </row>
        <row r="438">
          <cell r="C438" t="str">
            <v/>
          </cell>
          <cell r="D438" t="str">
            <v/>
          </cell>
          <cell r="E438" t="str">
            <v/>
          </cell>
        </row>
        <row r="439">
          <cell r="C439" t="str">
            <v/>
          </cell>
          <cell r="D439" t="str">
            <v/>
          </cell>
          <cell r="E439" t="str">
            <v/>
          </cell>
        </row>
        <row r="440">
          <cell r="C440" t="str">
            <v/>
          </cell>
          <cell r="D440" t="str">
            <v/>
          </cell>
          <cell r="E440" t="str">
            <v/>
          </cell>
        </row>
        <row r="441">
          <cell r="C441" t="str">
            <v/>
          </cell>
          <cell r="D441" t="str">
            <v/>
          </cell>
          <cell r="E441" t="str">
            <v/>
          </cell>
        </row>
        <row r="442">
          <cell r="C442" t="str">
            <v/>
          </cell>
          <cell r="D442" t="str">
            <v/>
          </cell>
          <cell r="E442" t="str">
            <v/>
          </cell>
        </row>
        <row r="443">
          <cell r="C443" t="str">
            <v/>
          </cell>
          <cell r="D443" t="str">
            <v/>
          </cell>
          <cell r="E443" t="str">
            <v/>
          </cell>
        </row>
        <row r="444">
          <cell r="C444" t="str">
            <v/>
          </cell>
          <cell r="D444" t="str">
            <v/>
          </cell>
          <cell r="E444" t="str">
            <v/>
          </cell>
        </row>
        <row r="445">
          <cell r="C445" t="str">
            <v/>
          </cell>
          <cell r="D445" t="str">
            <v/>
          </cell>
          <cell r="E445" t="str">
            <v/>
          </cell>
        </row>
        <row r="446">
          <cell r="C446" t="str">
            <v/>
          </cell>
          <cell r="D446" t="str">
            <v/>
          </cell>
          <cell r="E446" t="str">
            <v/>
          </cell>
        </row>
        <row r="447">
          <cell r="C447" t="str">
            <v/>
          </cell>
          <cell r="D447" t="str">
            <v/>
          </cell>
          <cell r="E447" t="str">
            <v/>
          </cell>
        </row>
        <row r="448">
          <cell r="C448" t="str">
            <v/>
          </cell>
          <cell r="D448" t="str">
            <v/>
          </cell>
          <cell r="E448" t="str">
            <v/>
          </cell>
        </row>
        <row r="449">
          <cell r="C449" t="str">
            <v/>
          </cell>
          <cell r="D449" t="str">
            <v/>
          </cell>
          <cell r="E449" t="str">
            <v/>
          </cell>
        </row>
        <row r="450">
          <cell r="C450" t="str">
            <v/>
          </cell>
          <cell r="D450" t="str">
            <v/>
          </cell>
          <cell r="E450" t="str">
            <v/>
          </cell>
        </row>
        <row r="451">
          <cell r="C451" t="str">
            <v/>
          </cell>
          <cell r="D451" t="str">
            <v/>
          </cell>
          <cell r="E451" t="str">
            <v/>
          </cell>
        </row>
        <row r="452">
          <cell r="C452" t="str">
            <v/>
          </cell>
          <cell r="D452" t="str">
            <v/>
          </cell>
          <cell r="E452" t="str">
            <v/>
          </cell>
        </row>
        <row r="453">
          <cell r="C453" t="str">
            <v/>
          </cell>
          <cell r="D453" t="str">
            <v/>
          </cell>
          <cell r="E453" t="str">
            <v/>
          </cell>
        </row>
        <row r="454">
          <cell r="C454" t="str">
            <v/>
          </cell>
          <cell r="D454" t="str">
            <v/>
          </cell>
          <cell r="E454" t="str">
            <v/>
          </cell>
        </row>
        <row r="455">
          <cell r="C455" t="str">
            <v/>
          </cell>
          <cell r="D455" t="str">
            <v/>
          </cell>
          <cell r="E455" t="str">
            <v/>
          </cell>
        </row>
        <row r="456">
          <cell r="C456" t="str">
            <v/>
          </cell>
          <cell r="D456" t="str">
            <v/>
          </cell>
          <cell r="E456" t="str">
            <v/>
          </cell>
        </row>
        <row r="457">
          <cell r="C457" t="str">
            <v/>
          </cell>
          <cell r="D457" t="str">
            <v/>
          </cell>
          <cell r="E457" t="str">
            <v/>
          </cell>
        </row>
        <row r="458">
          <cell r="C458" t="str">
            <v/>
          </cell>
          <cell r="D458" t="str">
            <v/>
          </cell>
          <cell r="E458" t="str">
            <v/>
          </cell>
        </row>
        <row r="459">
          <cell r="C459" t="str">
            <v/>
          </cell>
          <cell r="D459" t="str">
            <v/>
          </cell>
          <cell r="E459" t="str">
            <v/>
          </cell>
        </row>
        <row r="460">
          <cell r="C460" t="str">
            <v/>
          </cell>
          <cell r="D460" t="str">
            <v/>
          </cell>
          <cell r="E460" t="str">
            <v/>
          </cell>
        </row>
        <row r="461">
          <cell r="C461" t="str">
            <v/>
          </cell>
          <cell r="D461" t="str">
            <v/>
          </cell>
          <cell r="E461" t="str">
            <v/>
          </cell>
        </row>
        <row r="462">
          <cell r="C462" t="str">
            <v/>
          </cell>
          <cell r="D462" t="str">
            <v/>
          </cell>
          <cell r="E462" t="str">
            <v/>
          </cell>
        </row>
        <row r="463">
          <cell r="C463" t="str">
            <v/>
          </cell>
          <cell r="D463" t="str">
            <v/>
          </cell>
          <cell r="E463" t="str">
            <v/>
          </cell>
        </row>
        <row r="464">
          <cell r="C464" t="str">
            <v/>
          </cell>
          <cell r="D464" t="str">
            <v/>
          </cell>
          <cell r="E464" t="str">
            <v/>
          </cell>
        </row>
        <row r="465">
          <cell r="C465" t="str">
            <v/>
          </cell>
          <cell r="D465" t="str">
            <v/>
          </cell>
          <cell r="E465" t="str">
            <v/>
          </cell>
        </row>
        <row r="466">
          <cell r="C466" t="str">
            <v/>
          </cell>
          <cell r="D466" t="str">
            <v/>
          </cell>
          <cell r="E466" t="str">
            <v/>
          </cell>
        </row>
        <row r="467">
          <cell r="C467" t="str">
            <v/>
          </cell>
          <cell r="D467" t="str">
            <v/>
          </cell>
          <cell r="E467" t="str">
            <v/>
          </cell>
        </row>
        <row r="468">
          <cell r="C468" t="str">
            <v/>
          </cell>
          <cell r="D468" t="str">
            <v/>
          </cell>
          <cell r="E468" t="str">
            <v/>
          </cell>
        </row>
        <row r="469">
          <cell r="C469" t="str">
            <v/>
          </cell>
          <cell r="D469" t="str">
            <v/>
          </cell>
          <cell r="E469" t="str">
            <v/>
          </cell>
        </row>
        <row r="470">
          <cell r="C470" t="str">
            <v/>
          </cell>
          <cell r="D470" t="str">
            <v/>
          </cell>
          <cell r="E470" t="str">
            <v/>
          </cell>
        </row>
        <row r="471">
          <cell r="C471" t="str">
            <v/>
          </cell>
          <cell r="D471" t="str">
            <v/>
          </cell>
          <cell r="E471" t="str">
            <v/>
          </cell>
        </row>
        <row r="472">
          <cell r="C472" t="str">
            <v/>
          </cell>
          <cell r="D472" t="str">
            <v/>
          </cell>
          <cell r="E472" t="str">
            <v/>
          </cell>
        </row>
        <row r="473">
          <cell r="C473" t="str">
            <v/>
          </cell>
          <cell r="D473" t="str">
            <v/>
          </cell>
          <cell r="E473" t="str">
            <v/>
          </cell>
        </row>
        <row r="474">
          <cell r="C474" t="str">
            <v/>
          </cell>
          <cell r="D474" t="str">
            <v/>
          </cell>
          <cell r="E474" t="str">
            <v/>
          </cell>
        </row>
        <row r="475">
          <cell r="C475" t="str">
            <v/>
          </cell>
          <cell r="D475" t="str">
            <v/>
          </cell>
          <cell r="E475" t="str">
            <v/>
          </cell>
        </row>
        <row r="476">
          <cell r="C476" t="str">
            <v/>
          </cell>
          <cell r="D476" t="str">
            <v/>
          </cell>
          <cell r="E476" t="str">
            <v/>
          </cell>
        </row>
        <row r="477">
          <cell r="C477" t="str">
            <v/>
          </cell>
          <cell r="D477" t="str">
            <v/>
          </cell>
          <cell r="E477" t="str">
            <v/>
          </cell>
        </row>
        <row r="478">
          <cell r="C478" t="str">
            <v/>
          </cell>
          <cell r="D478" t="str">
            <v/>
          </cell>
          <cell r="E478" t="str">
            <v/>
          </cell>
        </row>
        <row r="479">
          <cell r="C479" t="str">
            <v/>
          </cell>
          <cell r="D479" t="str">
            <v/>
          </cell>
          <cell r="E479" t="str">
            <v/>
          </cell>
        </row>
        <row r="480">
          <cell r="C480" t="str">
            <v/>
          </cell>
          <cell r="D480" t="str">
            <v/>
          </cell>
          <cell r="E480" t="str">
            <v/>
          </cell>
        </row>
        <row r="481">
          <cell r="C481" t="str">
            <v/>
          </cell>
          <cell r="D481" t="str">
            <v/>
          </cell>
          <cell r="E481" t="str">
            <v/>
          </cell>
        </row>
        <row r="482">
          <cell r="C482" t="str">
            <v/>
          </cell>
          <cell r="D482" t="str">
            <v/>
          </cell>
          <cell r="E482" t="str">
            <v/>
          </cell>
        </row>
        <row r="483">
          <cell r="C483" t="str">
            <v/>
          </cell>
          <cell r="D483" t="str">
            <v/>
          </cell>
          <cell r="E483" t="str">
            <v/>
          </cell>
        </row>
        <row r="484">
          <cell r="C484" t="str">
            <v/>
          </cell>
          <cell r="D484" t="str">
            <v/>
          </cell>
          <cell r="E484" t="str">
            <v/>
          </cell>
        </row>
        <row r="485">
          <cell r="C485" t="str">
            <v/>
          </cell>
          <cell r="D485" t="str">
            <v/>
          </cell>
          <cell r="E485" t="str">
            <v/>
          </cell>
        </row>
        <row r="486">
          <cell r="C486" t="str">
            <v/>
          </cell>
          <cell r="D486" t="str">
            <v/>
          </cell>
          <cell r="E486" t="str">
            <v/>
          </cell>
        </row>
        <row r="487">
          <cell r="C487" t="str">
            <v/>
          </cell>
          <cell r="D487" t="str">
            <v/>
          </cell>
          <cell r="E487" t="str">
            <v/>
          </cell>
        </row>
        <row r="488">
          <cell r="C488" t="str">
            <v/>
          </cell>
          <cell r="D488" t="str">
            <v/>
          </cell>
          <cell r="E488" t="str">
            <v/>
          </cell>
        </row>
        <row r="489">
          <cell r="C489" t="str">
            <v/>
          </cell>
          <cell r="D489" t="str">
            <v/>
          </cell>
          <cell r="E489" t="str">
            <v/>
          </cell>
        </row>
        <row r="490">
          <cell r="C490" t="str">
            <v/>
          </cell>
          <cell r="D490" t="str">
            <v/>
          </cell>
          <cell r="E490" t="str">
            <v/>
          </cell>
        </row>
        <row r="491">
          <cell r="C491" t="str">
            <v/>
          </cell>
          <cell r="D491" t="str">
            <v/>
          </cell>
          <cell r="E491" t="str">
            <v/>
          </cell>
        </row>
        <row r="492">
          <cell r="C492" t="str">
            <v/>
          </cell>
          <cell r="D492" t="str">
            <v/>
          </cell>
          <cell r="E492" t="str">
            <v/>
          </cell>
        </row>
        <row r="493">
          <cell r="C493" t="str">
            <v/>
          </cell>
          <cell r="D493" t="str">
            <v/>
          </cell>
          <cell r="E493" t="str">
            <v/>
          </cell>
        </row>
        <row r="494">
          <cell r="C494" t="str">
            <v/>
          </cell>
          <cell r="D494" t="str">
            <v/>
          </cell>
          <cell r="E494" t="str">
            <v/>
          </cell>
        </row>
        <row r="495">
          <cell r="C495" t="str">
            <v/>
          </cell>
          <cell r="D495" t="str">
            <v/>
          </cell>
          <cell r="E495" t="str">
            <v/>
          </cell>
        </row>
        <row r="496">
          <cell r="C496" t="str">
            <v/>
          </cell>
          <cell r="D496" t="str">
            <v/>
          </cell>
          <cell r="E496" t="str">
            <v/>
          </cell>
        </row>
        <row r="497">
          <cell r="C497" t="str">
            <v/>
          </cell>
          <cell r="D497" t="str">
            <v/>
          </cell>
          <cell r="E497" t="str">
            <v/>
          </cell>
        </row>
        <row r="498">
          <cell r="C498" t="str">
            <v/>
          </cell>
          <cell r="D498" t="str">
            <v/>
          </cell>
          <cell r="E498" t="str">
            <v/>
          </cell>
        </row>
        <row r="499">
          <cell r="C499" t="str">
            <v/>
          </cell>
          <cell r="D499" t="str">
            <v/>
          </cell>
          <cell r="E499" t="str">
            <v/>
          </cell>
        </row>
        <row r="500">
          <cell r="C500" t="str">
            <v/>
          </cell>
          <cell r="D500" t="str">
            <v/>
          </cell>
          <cell r="E500" t="str">
            <v/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C36" sqref="C36"/>
    </sheetView>
  </sheetViews>
  <sheetFormatPr baseColWidth="10" defaultColWidth="11.42578125" defaultRowHeight="12.75"/>
  <cols>
    <col min="1" max="1" width="0.28515625" style="134" customWidth="1"/>
    <col min="2" max="2" width="2.7109375" style="134" customWidth="1"/>
    <col min="3" max="3" width="16.42578125" style="134" customWidth="1"/>
    <col min="4" max="4" width="4.7109375" style="134" customWidth="1"/>
    <col min="5" max="5" width="95.7109375" style="134" customWidth="1"/>
    <col min="6" max="16384" width="11.42578125" style="134"/>
  </cols>
  <sheetData>
    <row r="1" spans="2:15" ht="0.75" customHeight="1"/>
    <row r="2" spans="2:15" ht="21" customHeight="1">
      <c r="B2" s="134" t="s">
        <v>65</v>
      </c>
      <c r="C2" s="135"/>
      <c r="D2" s="135"/>
      <c r="E2" s="103" t="s">
        <v>1</v>
      </c>
    </row>
    <row r="3" spans="2:15" ht="15" customHeight="1">
      <c r="C3" s="135"/>
      <c r="D3" s="135"/>
      <c r="E3" s="104" t="str">
        <f>Dat_01!A2</f>
        <v>Julio 2022</v>
      </c>
    </row>
    <row r="4" spans="2:15" s="137" customFormat="1" ht="20.25" customHeight="1">
      <c r="B4" s="136"/>
      <c r="C4" s="102" t="s">
        <v>67</v>
      </c>
    </row>
    <row r="5" spans="2:15" s="137" customFormat="1" ht="8.25" customHeight="1">
      <c r="B5" s="136"/>
      <c r="C5" s="138"/>
    </row>
    <row r="6" spans="2:15" s="137" customFormat="1" ht="3" customHeight="1">
      <c r="B6" s="136"/>
      <c r="C6" s="138"/>
    </row>
    <row r="7" spans="2:15" s="137" customFormat="1" ht="7.5" customHeight="1">
      <c r="B7" s="136"/>
      <c r="C7" s="139"/>
      <c r="D7" s="140"/>
      <c r="E7" s="140"/>
    </row>
    <row r="8" spans="2:15" ht="12.6" customHeight="1">
      <c r="D8" s="141" t="s">
        <v>66</v>
      </c>
      <c r="E8" s="142" t="s">
        <v>78</v>
      </c>
    </row>
    <row r="9" spans="2:15" s="137" customFormat="1" ht="12.6" customHeight="1">
      <c r="B9" s="136"/>
      <c r="C9" s="143"/>
      <c r="D9" s="141" t="s">
        <v>66</v>
      </c>
      <c r="E9" s="142" t="str">
        <f>'P2'!C7</f>
        <v>Estructura de potencia instalada peninsular</v>
      </c>
      <c r="F9" s="144"/>
      <c r="G9" s="144"/>
      <c r="H9" s="144"/>
      <c r="I9" s="144"/>
      <c r="J9" s="144"/>
      <c r="K9" s="144"/>
      <c r="L9" s="144"/>
      <c r="M9" s="144"/>
      <c r="N9" s="144"/>
      <c r="O9" s="144"/>
    </row>
    <row r="10" spans="2:15" s="137" customFormat="1" ht="12.6" customHeight="1">
      <c r="B10" s="136"/>
      <c r="C10" s="143"/>
      <c r="D10" s="141" t="s">
        <v>66</v>
      </c>
      <c r="E10" s="142" t="str">
        <f>'P2'!C23</f>
        <v>Estructura de generación mensual peninsular</v>
      </c>
      <c r="F10" s="134"/>
      <c r="G10" s="144"/>
      <c r="H10" s="144"/>
      <c r="I10" s="144"/>
      <c r="J10" s="144"/>
      <c r="K10" s="144"/>
      <c r="L10" s="144"/>
      <c r="M10" s="144"/>
      <c r="N10" s="144"/>
      <c r="O10" s="144"/>
    </row>
    <row r="11" spans="2:15" ht="12.6" customHeight="1">
      <c r="D11" s="141" t="s">
        <v>66</v>
      </c>
      <c r="E11" s="142" t="str">
        <f>'P3'!C7</f>
        <v xml:space="preserve">Estructura de generación diaria del día de máxima generación de energía renovable peninsular
</v>
      </c>
      <c r="F11" s="144"/>
    </row>
    <row r="12" spans="2:15" ht="12.6" customHeight="1">
      <c r="D12" s="141" t="s">
        <v>66</v>
      </c>
      <c r="E12" s="142" t="str">
        <f>'P4'!C7</f>
        <v>Evolución del peso de la generación renovable y no renovable peninsular</v>
      </c>
    </row>
    <row r="13" spans="2:15" ht="12.6" customHeight="1">
      <c r="D13" s="141" t="s">
        <v>66</v>
      </c>
      <c r="E13" s="142" t="str">
        <f>'P5'!C7</f>
        <v>Evolución de las emisiones de CO2 equivalente y peso de la generación libre de CO2 peninsular</v>
      </c>
      <c r="F13" s="144"/>
    </row>
    <row r="14" spans="2:15" ht="12.6" customHeight="1">
      <c r="D14" s="141" t="s">
        <v>66</v>
      </c>
      <c r="E14" s="142" t="str">
        <f>'P6'!C7</f>
        <v xml:space="preserve">Evolución de la generación renovable peninsular </v>
      </c>
      <c r="F14" s="144"/>
    </row>
    <row r="15" spans="2:15" ht="12.6" customHeight="1">
      <c r="D15" s="141" t="s">
        <v>66</v>
      </c>
      <c r="E15" s="142" t="str">
        <f>'P7'!C7</f>
        <v xml:space="preserve">Evolución de la generación no renovable peninsular </v>
      </c>
      <c r="F15" s="144"/>
    </row>
    <row r="16" spans="2:15" ht="12.6" customHeight="1">
      <c r="D16" s="141" t="s">
        <v>66</v>
      </c>
      <c r="E16" s="142" t="str">
        <f>'P8'!C7</f>
        <v>Generación eólica diaria peninsular</v>
      </c>
      <c r="F16" s="144"/>
    </row>
    <row r="17" spans="2:6" ht="12.6" customHeight="1">
      <c r="D17" s="141" t="s">
        <v>66</v>
      </c>
      <c r="E17" s="142" t="str">
        <f>'P9'!C7</f>
        <v>Máximos de generación de energía eólica peninsular</v>
      </c>
      <c r="F17" s="144"/>
    </row>
    <row r="18" spans="2:6" ht="12.6" customHeight="1">
      <c r="D18" s="141" t="s">
        <v>66</v>
      </c>
      <c r="E18" s="142" t="str">
        <f>'P10'!C7</f>
        <v>Energía producible eólica comparada con el producible eólico medio histórico</v>
      </c>
      <c r="F18" s="144"/>
    </row>
    <row r="19" spans="2:6" ht="12.6" customHeight="1">
      <c r="D19" s="141" t="s">
        <v>66</v>
      </c>
      <c r="E19" s="142" t="str">
        <f>'P11'!B7</f>
        <v>Energía producible hidráulica diaria comparada con el producible medio histórico</v>
      </c>
      <c r="F19" s="144"/>
    </row>
    <row r="20" spans="2:6" ht="12.6" customHeight="1">
      <c r="D20" s="141" t="s">
        <v>66</v>
      </c>
      <c r="E20" s="142" t="str">
        <f>'P12'!B7</f>
        <v>Reservas hidroeléctricas</v>
      </c>
      <c r="F20" s="144"/>
    </row>
    <row r="21" spans="2:6" ht="12.6" customHeight="1">
      <c r="D21" s="141" t="s">
        <v>66</v>
      </c>
      <c r="E21" s="142" t="str">
        <f>'P13'!C7</f>
        <v>Reservas hidroeléctricas a finales de mes por cuencas hidrográficas</v>
      </c>
      <c r="F21" s="144"/>
    </row>
    <row r="22" spans="2:6" s="137" customFormat="1" ht="7.5" customHeight="1">
      <c r="B22" s="136"/>
      <c r="C22" s="139"/>
      <c r="D22" s="140"/>
      <c r="E22" s="140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0" location="'P12'!A1" display="'P12'!A1" xr:uid="{00000000-0004-0000-0000-00000C000000}"/>
    <hyperlink ref="E21" location="'P13'!A1" display="'P13'!A1" xr:uid="{00000000-0004-0000-0000-00000D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2"/>
  <sheetViews>
    <sheetView workbookViewId="0"/>
  </sheetViews>
  <sheetFormatPr baseColWidth="10" defaultRowHeight="12.75"/>
  <sheetData>
    <row r="1" spans="1:2">
      <c r="A1">
        <v>11</v>
      </c>
      <c r="B1" t="s">
        <v>239</v>
      </c>
    </row>
    <row r="2" spans="1:2">
      <c r="A2" t="s">
        <v>233</v>
      </c>
    </row>
    <row r="3" spans="1:2">
      <c r="A3" t="s">
        <v>229</v>
      </c>
    </row>
    <row r="4" spans="1:2">
      <c r="A4" t="s">
        <v>235</v>
      </c>
    </row>
    <row r="5" spans="1:2">
      <c r="A5" t="s">
        <v>237</v>
      </c>
    </row>
    <row r="6" spans="1:2">
      <c r="A6" t="s">
        <v>236</v>
      </c>
    </row>
    <row r="7" spans="1:2">
      <c r="A7" t="s">
        <v>234</v>
      </c>
    </row>
    <row r="8" spans="1:2">
      <c r="A8" t="s">
        <v>228</v>
      </c>
    </row>
    <row r="9" spans="1:2">
      <c r="A9" t="s">
        <v>240</v>
      </c>
    </row>
    <row r="10" spans="1:2">
      <c r="A10" t="s">
        <v>238</v>
      </c>
    </row>
    <row r="11" spans="1:2">
      <c r="A11" t="s">
        <v>190</v>
      </c>
    </row>
    <row r="12" spans="1:2">
      <c r="A12" t="s">
        <v>231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0.28515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28515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71093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28515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71093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28515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71093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28515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71093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28515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71093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28515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71093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28515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71093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28515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71093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28515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71093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28515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71093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28515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71093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28515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71093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28515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71093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28515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71093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28515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71093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28515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71093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28515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71093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28515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71093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28515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71093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28515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71093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28515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71093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28515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71093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28515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71093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28515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71093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28515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71093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28515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71093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28515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71093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28515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71093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28515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71093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28515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71093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28515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71093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28515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71093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28515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71093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28515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71093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28515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71093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28515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71093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28515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71093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28515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71093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28515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71093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28515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71093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28515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71093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28515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71093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28515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71093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28515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71093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28515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71093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28515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71093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28515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71093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28515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71093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28515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71093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28515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71093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28515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71093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28515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71093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28515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71093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28515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71093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28515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71093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28515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71093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28515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71093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28515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71093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28515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71093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28515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71093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28515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71093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28515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71093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28515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71093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3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4" t="str">
        <f>Indice!E3</f>
        <v>Julio 2022</v>
      </c>
    </row>
    <row r="4" spans="1:19" s="7" customFormat="1" ht="20.25" customHeight="1">
      <c r="B4" s="8"/>
      <c r="C4" s="102" t="s">
        <v>67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25" t="s">
        <v>63</v>
      </c>
      <c r="D7" s="12"/>
      <c r="E7" s="13"/>
      <c r="F7" s="326" t="str">
        <f>K3</f>
        <v>Julio 2022</v>
      </c>
      <c r="G7" s="327"/>
      <c r="H7" s="328" t="s">
        <v>64</v>
      </c>
      <c r="I7" s="328"/>
      <c r="J7" s="328" t="s">
        <v>71</v>
      </c>
      <c r="K7" s="328"/>
      <c r="L7" s="9"/>
    </row>
    <row r="8" spans="1:19" ht="12.75" customHeight="1">
      <c r="A8" s="7"/>
      <c r="B8" s="8"/>
      <c r="C8" s="325"/>
      <c r="D8" s="12"/>
      <c r="E8" s="14"/>
      <c r="F8" s="15" t="s">
        <v>0</v>
      </c>
      <c r="G8" s="25" t="str">
        <f>CONCATENATE("% ",MID(YEAR(F7),3,2),"/",MID(YEAR(F7)-1,3,2))</f>
        <v>% 22/21</v>
      </c>
      <c r="H8" s="15" t="s">
        <v>0</v>
      </c>
      <c r="I8" s="25" t="str">
        <f>G8</f>
        <v>% 22/21</v>
      </c>
      <c r="J8" s="15" t="s">
        <v>0</v>
      </c>
      <c r="K8" s="25" t="str">
        <f>G8</f>
        <v>% 22/21</v>
      </c>
      <c r="L8" s="16"/>
    </row>
    <row r="9" spans="1:19">
      <c r="A9" s="7"/>
      <c r="B9" s="8"/>
      <c r="C9" s="18"/>
      <c r="D9" s="12"/>
      <c r="E9" s="90" t="s">
        <v>2</v>
      </c>
      <c r="F9" s="91">
        <f>VLOOKUP("Hidráulica",Dat_01!$A$8:$J$29,2,FALSE)/1000</f>
        <v>1041.456428836</v>
      </c>
      <c r="G9" s="92">
        <f>VLOOKUP("Hidráulica",Dat_01!$A$8:$J$29,4,FALSE)*100</f>
        <v>-52.806512689999998</v>
      </c>
      <c r="H9" s="91">
        <f>VLOOKUP("Hidráulica",Dat_01!$A$8:$J$29,5,FALSE)/1000</f>
        <v>10892.485583992</v>
      </c>
      <c r="I9" s="92">
        <f>VLOOKUP("Hidráulica",Dat_01!$A$8:$J$29,7,FALSE)*100</f>
        <v>-49.524922339999996</v>
      </c>
      <c r="J9" s="91">
        <f>VLOOKUP("Hidráulica",Dat_01!$A$8:$J$29,8,FALSE)/1000</f>
        <v>18904.940613511997</v>
      </c>
      <c r="K9" s="92">
        <f>VLOOKUP("Hidráulica",Dat_01!$A$8:$J$29,10,FALSE)*100</f>
        <v>-42.188632609999999</v>
      </c>
      <c r="L9" s="19"/>
      <c r="M9" s="180"/>
      <c r="N9" s="180"/>
      <c r="O9" s="181"/>
      <c r="P9" s="180"/>
      <c r="Q9" s="181"/>
      <c r="R9" s="180"/>
      <c r="S9" s="181"/>
    </row>
    <row r="10" spans="1:19">
      <c r="A10" s="7"/>
      <c r="B10" s="8"/>
      <c r="C10" s="18"/>
      <c r="D10" s="12"/>
      <c r="E10" s="90" t="s">
        <v>5</v>
      </c>
      <c r="F10" s="91">
        <f>VLOOKUP("Eólica",Dat_01!$A$8:$J$29,2,FALSE)/1000</f>
        <v>4381.3838820000001</v>
      </c>
      <c r="G10" s="92">
        <f>VLOOKUP("Eólica",Dat_01!$A$8:$J$29,4,FALSE)*100</f>
        <v>6.2769432599999995</v>
      </c>
      <c r="H10" s="91">
        <f>VLOOKUP("Eólica",Dat_01!$A$8:$J$29,5,FALSE)/1000</f>
        <v>34508.145266</v>
      </c>
      <c r="I10" s="92">
        <f>VLOOKUP("Eólica",Dat_01!$A$8:$J$29,7,FALSE)*100</f>
        <v>-1.6758807600000001</v>
      </c>
      <c r="J10" s="91">
        <f>VLOOKUP("Eólica",Dat_01!$A$8:$J$29,8,FALSE)/1000</f>
        <v>58595.802681000001</v>
      </c>
      <c r="K10" s="92">
        <f>VLOOKUP("Eólica",Dat_01!$A$8:$J$29,10,FALSE)*100</f>
        <v>-1.9725757500000001</v>
      </c>
      <c r="L10" s="19"/>
      <c r="M10" s="180"/>
      <c r="N10" s="180"/>
      <c r="O10" s="181"/>
      <c r="P10" s="180"/>
      <c r="Q10" s="181"/>
      <c r="R10" s="180"/>
      <c r="S10" s="181"/>
    </row>
    <row r="11" spans="1:19">
      <c r="A11" s="7"/>
      <c r="B11" s="8"/>
      <c r="C11" s="11"/>
      <c r="D11" s="12"/>
      <c r="E11" s="90" t="s">
        <v>6</v>
      </c>
      <c r="F11" s="91">
        <f>VLOOKUP("Solar fotovoltaica",Dat_01!$A$8:$J$29,2,FALSE)/1000</f>
        <v>3279.3319849999998</v>
      </c>
      <c r="G11" s="92">
        <f>VLOOKUP("Solar fotovoltaica",Dat_01!$A$8:$J$29,4,FALSE)*100</f>
        <v>27.845249449999997</v>
      </c>
      <c r="H11" s="91">
        <f>VLOOKUP("Solar fotovoltaica",Dat_01!$A$8:$J$29,5,FALSE)/1000</f>
        <v>16869.921985000001</v>
      </c>
      <c r="I11" s="92">
        <f>VLOOKUP("Solar fotovoltaica",Dat_01!$A$8:$J$29,7,FALSE)*100</f>
        <v>37.928689749999997</v>
      </c>
      <c r="J11" s="91">
        <f>VLOOKUP("Solar fotovoltaica",Dat_01!$A$8:$J$29,8,FALSE)/1000</f>
        <v>25142.552820999997</v>
      </c>
      <c r="K11" s="92">
        <f>VLOOKUP("Solar fotovoltaica",Dat_01!$A$8:$J$29,10,FALSE)*100</f>
        <v>37.876784019999995</v>
      </c>
      <c r="L11" s="19"/>
      <c r="M11" s="180"/>
      <c r="N11" s="180"/>
      <c r="O11" s="181"/>
      <c r="P11" s="180"/>
      <c r="Q11" s="181"/>
      <c r="R11" s="180"/>
      <c r="S11" s="181"/>
    </row>
    <row r="12" spans="1:19">
      <c r="A12" s="7"/>
      <c r="B12" s="8"/>
      <c r="C12" s="11"/>
      <c r="D12" s="12"/>
      <c r="E12" s="90" t="s">
        <v>7</v>
      </c>
      <c r="F12" s="91">
        <f>VLOOKUP("Solar térmica",Dat_01!$A$8:$J$29,2,FALSE)/1000</f>
        <v>667.23557600000004</v>
      </c>
      <c r="G12" s="92">
        <f>VLOOKUP("Solar térmica",Dat_01!$A$8:$J$29,4,FALSE)*100</f>
        <v>-19.463896070000001</v>
      </c>
      <c r="H12" s="91">
        <f>VLOOKUP("Solar térmica",Dat_01!$A$8:$J$29,5,FALSE)/1000</f>
        <v>2735.4986979999999</v>
      </c>
      <c r="I12" s="92">
        <f>VLOOKUP("Solar térmica",Dat_01!$A$8:$J$29,7,FALSE)*100</f>
        <v>-8.5750424800000005</v>
      </c>
      <c r="J12" s="91">
        <f>VLOOKUP("Solar térmica",Dat_01!$A$8:$J$29,8,FALSE)/1000</f>
        <v>4448.9324839999999</v>
      </c>
      <c r="K12" s="92">
        <f>VLOOKUP("Solar térmica",Dat_01!$A$8:$J$29,10,FALSE)*100</f>
        <v>-5.60936418</v>
      </c>
      <c r="L12" s="19"/>
      <c r="M12" s="180"/>
      <c r="N12" s="180"/>
      <c r="O12" s="181"/>
      <c r="P12" s="180"/>
      <c r="Q12" s="181"/>
      <c r="R12" s="180"/>
      <c r="S12" s="181"/>
    </row>
    <row r="13" spans="1:19">
      <c r="A13" s="7"/>
      <c r="B13" s="8"/>
      <c r="C13" s="20"/>
      <c r="D13" s="12"/>
      <c r="E13" s="90" t="s">
        <v>151</v>
      </c>
      <c r="F13" s="91">
        <f>VLOOKUP("Otras renovables",Dat_01!$A$8:$J$29,2,FALSE)/1000</f>
        <v>408.444975</v>
      </c>
      <c r="G13" s="92">
        <f>VLOOKUP("Otras renovables",Dat_01!$A$8:$J$29,4,FALSE)*100</f>
        <v>16.07388581</v>
      </c>
      <c r="H13" s="91">
        <f>VLOOKUP("Otras renovables",Dat_01!$A$8:$J$29,5,FALSE)/1000</f>
        <v>2873.9974709999997</v>
      </c>
      <c r="I13" s="92">
        <f>VLOOKUP("Otras renovables",Dat_01!$A$8:$J$29,7,FALSE)*100</f>
        <v>10.380192429999999</v>
      </c>
      <c r="J13" s="91">
        <f>VLOOKUP("Otras renovables",Dat_01!$A$8:$J$29,8,FALSE)/1000</f>
        <v>4979.4669400000002</v>
      </c>
      <c r="K13" s="92">
        <f>VLOOKUP("Otras renovables",Dat_01!$A$8:$J$29,10,FALSE)*100</f>
        <v>8.3044113300000006</v>
      </c>
      <c r="L13" s="19"/>
      <c r="M13" s="180"/>
      <c r="N13" s="180"/>
      <c r="O13" s="181"/>
      <c r="P13" s="180"/>
      <c r="Q13" s="181"/>
      <c r="R13" s="180"/>
      <c r="S13" s="181"/>
    </row>
    <row r="14" spans="1:19" ht="12.75" customHeight="1">
      <c r="A14" s="7"/>
      <c r="B14" s="8"/>
      <c r="C14" s="11"/>
      <c r="D14" s="12"/>
      <c r="E14" s="90" t="s">
        <v>82</v>
      </c>
      <c r="F14" s="91">
        <f>VLOOKUP("Residuos renovables",Dat_01!$A$8:$J$29,2,FALSE)/1000</f>
        <v>59.032142</v>
      </c>
      <c r="G14" s="92">
        <f>VLOOKUP("Residuos renovables",Dat_01!$A$8:$J$29,4,FALSE)*100</f>
        <v>-15.751648670000002</v>
      </c>
      <c r="H14" s="91">
        <f>VLOOKUP("Residuos renovables",Dat_01!$A$8:$J$29,5,FALSE)/1000</f>
        <v>462.36272600000001</v>
      </c>
      <c r="I14" s="92">
        <f>VLOOKUP("Residuos renovables",Dat_01!$A$8:$J$29,7,FALSE)*100</f>
        <v>8.3512127000000014</v>
      </c>
      <c r="J14" s="91">
        <f>VLOOKUP("Residuos renovables",Dat_01!$A$8:$J$29,8,FALSE)/1000</f>
        <v>786.50137649999999</v>
      </c>
      <c r="K14" s="92">
        <f>VLOOKUP("Residuos renovables",Dat_01!$A$8:$J$29,10,FALSE)*100</f>
        <v>4.7999001800000007</v>
      </c>
      <c r="L14" s="19"/>
      <c r="M14" s="180"/>
      <c r="N14" s="180"/>
      <c r="O14" s="181"/>
      <c r="P14" s="180"/>
      <c r="Q14" s="181"/>
      <c r="R14" s="180"/>
      <c r="S14" s="181"/>
    </row>
    <row r="15" spans="1:19" ht="12.75" customHeight="1">
      <c r="A15" s="7"/>
      <c r="B15" s="8"/>
      <c r="C15" s="11"/>
      <c r="D15" s="12"/>
      <c r="E15" s="93" t="s">
        <v>149</v>
      </c>
      <c r="F15" s="94">
        <f>SUM(F9:F14)</f>
        <v>9836.884988836</v>
      </c>
      <c r="G15" s="95">
        <f>((SUM(Dat_01!B8,Dat_01!B14:B17,Dat_01!B19)/SUM(Dat_01!C8,Dat_01!C14:C17,Dat_01!C19))-1)*100</f>
        <v>-3.0362950867912408</v>
      </c>
      <c r="H15" s="94">
        <f>SUM(H9:H14)</f>
        <v>68342.411729992004</v>
      </c>
      <c r="I15" s="95">
        <f>((SUM(Dat_01!E8,Dat_01!E14:E17,Dat_01!E19)/SUM(Dat_01!F8,Dat_01!F14:F17,Dat_01!F19))-1)*100</f>
        <v>-8.7912536913854478</v>
      </c>
      <c r="J15" s="94">
        <f>SUM(J9:J14)</f>
        <v>112858.19691601201</v>
      </c>
      <c r="K15" s="95">
        <f>((SUM(Dat_01!H8,Dat_01!H14:H17,Dat_01!H19)/SUM(Dat_01!I8,Dat_01!I14:I17,Dat_01!I19))-1)*100</f>
        <v>-6.5534285054410617</v>
      </c>
      <c r="L15" s="19"/>
      <c r="M15" s="180"/>
      <c r="N15" s="180"/>
      <c r="O15" s="181"/>
      <c r="P15" s="180"/>
      <c r="Q15" s="181"/>
      <c r="R15" s="180"/>
      <c r="S15" s="181"/>
    </row>
    <row r="16" spans="1:19">
      <c r="A16" s="7"/>
      <c r="B16" s="8"/>
      <c r="C16" s="11"/>
      <c r="D16" s="12"/>
      <c r="E16" s="90" t="s">
        <v>153</v>
      </c>
      <c r="F16" s="91">
        <f>VLOOKUP("Turbinación bombeo",Dat_01!$A$8:$J$29,2,FALSE)/1000</f>
        <v>216.61761801999998</v>
      </c>
      <c r="G16" s="92">
        <f>VLOOKUP("Turbinación bombeo",Dat_01!$A$8:$J$29,4,FALSE)*100</f>
        <v>87.075458499999996</v>
      </c>
      <c r="H16" s="91">
        <f>VLOOKUP("Turbinación bombeo",Dat_01!$A$8:$J$29,5,FALSE)/1000</f>
        <v>1898.5185231959999</v>
      </c>
      <c r="I16" s="92">
        <f>VLOOKUP("Turbinación bombeo",Dat_01!$A$8:$J$29,7,FALSE)*100</f>
        <v>13.922157499999999</v>
      </c>
      <c r="J16" s="91">
        <f>VLOOKUP("Turbinación bombeo",Dat_01!$A$8:$J$29,8,FALSE)/1000</f>
        <v>2881.3095896279997</v>
      </c>
      <c r="K16" s="92">
        <f>VLOOKUP("Turbinación bombeo",Dat_01!$A$8:$J$29,10,FALSE)*100</f>
        <v>3.8967372899999999</v>
      </c>
      <c r="L16" s="19"/>
      <c r="M16" s="180"/>
      <c r="N16" s="180"/>
      <c r="O16" s="181"/>
      <c r="P16" s="180"/>
      <c r="Q16" s="181"/>
      <c r="R16" s="180"/>
      <c r="S16" s="181"/>
    </row>
    <row r="17" spans="1:19">
      <c r="A17" s="7"/>
      <c r="B17" s="8"/>
      <c r="C17" s="11"/>
      <c r="D17" s="12"/>
      <c r="E17" s="90" t="s">
        <v>3</v>
      </c>
      <c r="F17" s="91">
        <f>VLOOKUP("Nuclear",Dat_01!$A$8:$J$29,2,FALSE)/1000</f>
        <v>5073.1541569999999</v>
      </c>
      <c r="G17" s="92">
        <f>VLOOKUP("Nuclear",Dat_01!$A$8:$J$29,4,FALSE)*100</f>
        <v>-0.90196947000000005</v>
      </c>
      <c r="H17" s="91">
        <f>VLOOKUP("Nuclear",Dat_01!$A$8:$J$29,5,FALSE)/1000</f>
        <v>32598.968346999998</v>
      </c>
      <c r="I17" s="92">
        <f>VLOOKUP("Nuclear",Dat_01!$A$8:$J$29,7,FALSE)*100</f>
        <v>2.6234387299999997</v>
      </c>
      <c r="J17" s="91">
        <f>VLOOKUP("Nuclear",Dat_01!$A$8:$J$29,8,FALSE)/1000</f>
        <v>54874.326766999999</v>
      </c>
      <c r="K17" s="92">
        <f>VLOOKUP("Nuclear",Dat_01!$A$8:$J$29,10,FALSE)*100</f>
        <v>-2.4096462600000002</v>
      </c>
      <c r="L17" s="19"/>
      <c r="M17" s="180"/>
      <c r="N17" s="180"/>
      <c r="O17" s="181"/>
      <c r="P17" s="180"/>
      <c r="Q17" s="181"/>
      <c r="R17" s="180"/>
      <c r="S17" s="181"/>
    </row>
    <row r="18" spans="1:19">
      <c r="A18" s="7"/>
      <c r="B18" s="8"/>
      <c r="C18" s="11"/>
      <c r="D18" s="12"/>
      <c r="E18" s="90" t="s">
        <v>155</v>
      </c>
      <c r="F18" s="91">
        <f>VLOOKUP("Ciclo combinado",Dat_01!$A$8:$J$29,2,FALSE)/1000</f>
        <v>7767.8468700000003</v>
      </c>
      <c r="G18" s="92">
        <f>VLOOKUP("Ciclo combinado",Dat_01!$A$8:$J$29,4,FALSE)*100</f>
        <v>156.81091545000001</v>
      </c>
      <c r="H18" s="91">
        <f>VLOOKUP("Ciclo combinado",Dat_01!$A$8:$J$29,5,FALSE)/1000</f>
        <v>31799.413756000002</v>
      </c>
      <c r="I18" s="92">
        <f>VLOOKUP("Ciclo combinado",Dat_01!$A$8:$J$29,7,FALSE)*100</f>
        <v>99.306275549999995</v>
      </c>
      <c r="J18" s="91">
        <f>VLOOKUP("Ciclo combinado",Dat_01!$A$8:$J$29,8,FALSE)/1000</f>
        <v>53425.175615999993</v>
      </c>
      <c r="K18" s="92">
        <f>VLOOKUP("Ciclo combinado",Dat_01!$A$8:$J$29,10,FALSE)*100</f>
        <v>56.535390139999997</v>
      </c>
      <c r="L18" s="19"/>
      <c r="M18" s="180"/>
      <c r="N18" s="180"/>
      <c r="O18" s="181"/>
      <c r="P18" s="180"/>
      <c r="Q18" s="181"/>
      <c r="R18" s="180"/>
      <c r="S18" s="181"/>
    </row>
    <row r="19" spans="1:19">
      <c r="A19" s="7"/>
      <c r="B19" s="8"/>
      <c r="C19" s="11"/>
      <c r="D19" s="12"/>
      <c r="E19" s="90" t="s">
        <v>4</v>
      </c>
      <c r="F19" s="91">
        <f>VLOOKUP("Carbón",Dat_01!$A$8:$J$29,2,FALSE)/1000</f>
        <v>832.23787000000004</v>
      </c>
      <c r="G19" s="92">
        <f>VLOOKUP("Carbón",Dat_01!$A$8:$J$29,4,FALSE)*100</f>
        <v>175.19530048999999</v>
      </c>
      <c r="H19" s="91">
        <f>VLOOKUP("Carbón",Dat_01!$A$8:$J$29,5,FALSE)/1000</f>
        <v>4844.689507</v>
      </c>
      <c r="I19" s="92">
        <f>VLOOKUP("Carbón",Dat_01!$A$8:$J$29,7,FALSE)*100</f>
        <v>109.16229027999999</v>
      </c>
      <c r="J19" s="91">
        <f>VLOOKUP("Carbón",Dat_01!$A$8:$J$29,8,FALSE)/1000</f>
        <v>7469.6788720000004</v>
      </c>
      <c r="K19" s="92">
        <f>VLOOKUP("Carbón",Dat_01!$A$8:$J$29,10,FALSE)*100</f>
        <v>100.25629355000001</v>
      </c>
      <c r="L19" s="19"/>
      <c r="M19" s="180"/>
      <c r="N19" s="180"/>
      <c r="O19" s="181"/>
      <c r="P19" s="180"/>
      <c r="Q19" s="181"/>
      <c r="R19" s="180"/>
      <c r="S19" s="181"/>
    </row>
    <row r="20" spans="1:19">
      <c r="A20" s="7"/>
      <c r="B20" s="8"/>
      <c r="C20" s="163">
        <f>ABS(F14)</f>
        <v>59.032142</v>
      </c>
      <c r="D20" s="12"/>
      <c r="E20" s="90" t="s">
        <v>9</v>
      </c>
      <c r="F20" s="91">
        <f>VLOOKUP("Cogeneración",Dat_01!$A$8:$J$29,2,FALSE)/1000</f>
        <v>1052.153912</v>
      </c>
      <c r="G20" s="92">
        <f>VLOOKUP("Cogeneración",Dat_01!$A$8:$J$29,4,FALSE)*100</f>
        <v>-53.003132090000008</v>
      </c>
      <c r="H20" s="91">
        <f>VLOOKUP("Cogeneración",Dat_01!$A$8:$J$29,5,FALSE)/1000</f>
        <v>12559.558199999999</v>
      </c>
      <c r="I20" s="92">
        <f>VLOOKUP("Cogeneración",Dat_01!$A$8:$J$29,7,FALSE)*100</f>
        <v>-17.92083319</v>
      </c>
      <c r="J20" s="91">
        <f>VLOOKUP("Cogeneración",Dat_01!$A$8:$J$29,8,FALSE)/1000</f>
        <v>23294.285401999998</v>
      </c>
      <c r="K20" s="92">
        <f>VLOOKUP("Cogeneración",Dat_01!$A$8:$J$29,10,FALSE)*100</f>
        <v>-13.395398519999999</v>
      </c>
      <c r="L20" s="19"/>
      <c r="M20" s="180"/>
      <c r="N20" s="180"/>
      <c r="O20" s="181"/>
      <c r="P20" s="180"/>
      <c r="Q20" s="181"/>
      <c r="R20" s="180"/>
      <c r="S20" s="181"/>
    </row>
    <row r="21" spans="1:19">
      <c r="A21" s="7"/>
      <c r="B21" s="8"/>
      <c r="C21" s="11"/>
      <c r="D21" s="12"/>
      <c r="E21" s="90" t="s">
        <v>70</v>
      </c>
      <c r="F21" s="91">
        <f>VLOOKUP("Residuos no renovables",Dat_01!$A$8:$J$29,2,FALSE)/1000</f>
        <v>164.320134</v>
      </c>
      <c r="G21" s="92">
        <f>VLOOKUP("Residuos no renovables",Dat_01!$A$8:$J$29,4,FALSE)*100</f>
        <v>-14.93419373</v>
      </c>
      <c r="H21" s="91">
        <f>VLOOKUP("Residuos no renovables",Dat_01!$A$8:$J$29,5,FALSE)/1000</f>
        <v>1100.430122</v>
      </c>
      <c r="I21" s="92">
        <f>VLOOKUP("Residuos no renovables",Dat_01!$A$8:$J$29,7,FALSE)*100</f>
        <v>-10.42994843</v>
      </c>
      <c r="J21" s="91">
        <f>VLOOKUP("Residuos no renovables",Dat_01!$A$8:$J$29,8,FALSE)/1000</f>
        <v>1982.3118875</v>
      </c>
      <c r="K21" s="92">
        <f>VLOOKUP("Residuos no renovables",Dat_01!$A$8:$J$29,10,FALSE)*100</f>
        <v>-5.5980976699999996</v>
      </c>
      <c r="L21" s="19"/>
      <c r="M21" s="180"/>
      <c r="N21" s="180"/>
      <c r="O21" s="181"/>
      <c r="P21" s="180"/>
      <c r="Q21" s="181"/>
      <c r="R21" s="180"/>
      <c r="S21" s="181"/>
    </row>
    <row r="22" spans="1:19">
      <c r="A22" s="7"/>
      <c r="B22" s="8"/>
      <c r="C22" s="11"/>
      <c r="D22" s="12"/>
      <c r="E22" s="93" t="s">
        <v>150</v>
      </c>
      <c r="F22" s="94">
        <f>SUM(F16:F21)</f>
        <v>15106.33056102</v>
      </c>
      <c r="G22" s="95">
        <f>((SUM(Dat_01!B9:B13,Dat_01!B18,Dat_01!B20)/SUM(Dat_01!C9:C13,Dat_01!C18,Dat_01!C20))-1)*100</f>
        <v>37.402546476361607</v>
      </c>
      <c r="H22" s="94">
        <f>SUM(H16:H21)</f>
        <v>84801.57845519601</v>
      </c>
      <c r="I22" s="95">
        <f>((SUM(Dat_01!E9:E13,Dat_01!E18,Dat_01!E20)/SUM(Dat_01!F9:F13,Dat_01!F18,Dat_01!F20))-1)*100</f>
        <v>24.281013038116406</v>
      </c>
      <c r="J22" s="94">
        <f>SUM(J16:J21)</f>
        <v>143927.08813412799</v>
      </c>
      <c r="K22" s="95">
        <f>((SUM(Dat_01!H9:H13,Dat_01!H18,Dat_01!H20)/SUM(Dat_01!I9:I13,Dat_01!I18,Dat_01!I20))-1)*100</f>
        <v>14.355382585194532</v>
      </c>
      <c r="L22" s="19"/>
      <c r="M22" s="180"/>
      <c r="N22" s="180"/>
      <c r="O22" s="181"/>
      <c r="P22" s="180"/>
      <c r="Q22" s="181"/>
      <c r="R22" s="180"/>
      <c r="S22" s="181"/>
    </row>
    <row r="23" spans="1:19">
      <c r="A23" s="7"/>
      <c r="B23" s="8"/>
      <c r="C23" s="11"/>
      <c r="D23" s="12"/>
      <c r="E23" s="96" t="s">
        <v>12</v>
      </c>
      <c r="F23" s="91">
        <f>VLOOKUP("Consumo de bombeo",Dat_01!$A$8:$J$29,2,FALSE)/1000</f>
        <v>-413.82748100000003</v>
      </c>
      <c r="G23" s="92">
        <f>VLOOKUP("Consumo de bombeo",Dat_01!$A$8:$J$29,4,FALSE)*100</f>
        <v>128.64547313</v>
      </c>
      <c r="H23" s="91">
        <f>VLOOKUP("Consumo de bombeo",Dat_01!$A$8:$J$29,5,FALSE)/1000</f>
        <v>-3244.6186427500002</v>
      </c>
      <c r="I23" s="92">
        <f>VLOOKUP("Consumo de bombeo",Dat_01!$A$8:$J$29,7,FALSE)*100</f>
        <v>15.664977290000001</v>
      </c>
      <c r="J23" s="91">
        <f>VLOOKUP("Consumo de bombeo",Dat_01!$A$8:$J$29,8,FALSE)/1000</f>
        <v>-4757.3106764979993</v>
      </c>
      <c r="K23" s="92">
        <f>VLOOKUP("Consumo de bombeo",Dat_01!$A$8:$J$29,10,FALSE)*100</f>
        <v>6.2514891599999993</v>
      </c>
      <c r="L23" s="19"/>
      <c r="M23" s="180"/>
      <c r="N23" s="180"/>
      <c r="O23" s="181"/>
      <c r="P23" s="180"/>
      <c r="Q23" s="181"/>
      <c r="R23" s="180"/>
      <c r="S23" s="181"/>
    </row>
    <row r="24" spans="1:19">
      <c r="A24" s="7"/>
      <c r="B24" s="8"/>
      <c r="C24" s="11"/>
      <c r="D24" s="12"/>
      <c r="E24" s="96" t="s">
        <v>75</v>
      </c>
      <c r="F24" s="91">
        <f>VLOOKUP("Enlace Península-Baleares",Dat_01!$A$8:$J$29,2,FALSE)/1000</f>
        <v>-67.033138000000008</v>
      </c>
      <c r="G24" s="92">
        <f>VLOOKUP("Enlace Península-Baleares",Dat_01!$A$8:$J$29,4,FALSE)*100</f>
        <v>46.107838229999999</v>
      </c>
      <c r="H24" s="91">
        <f>VLOOKUP("Enlace Península-Baleares",Dat_01!$A$8:$J$29,5,FALSE)/1000</f>
        <v>-257.297439</v>
      </c>
      <c r="I24" s="92">
        <f>VLOOKUP("Enlace Península-Baleares",Dat_01!$A$8:$J$29,7,FALSE)*100</f>
        <v>-63.942743710000002</v>
      </c>
      <c r="J24" s="91">
        <f>VLOOKUP("Enlace Península-Baleares",Dat_01!$A$8:$J$29,8,FALSE)/1000</f>
        <v>-433.946213</v>
      </c>
      <c r="K24" s="92">
        <f>VLOOKUP("Enlace Península-Baleares",Dat_01!$A$8:$J$29,10,FALSE)*100</f>
        <v>-67.92957036</v>
      </c>
      <c r="L24" s="19"/>
      <c r="M24" s="180"/>
      <c r="N24" s="180"/>
      <c r="O24" s="181"/>
      <c r="P24" s="180"/>
      <c r="Q24" s="181"/>
      <c r="R24" s="180"/>
      <c r="S24" s="181"/>
    </row>
    <row r="25" spans="1:19" ht="12.75" customHeight="1">
      <c r="E25" s="96" t="s">
        <v>76</v>
      </c>
      <c r="F25" s="97">
        <f>VLOOKUP("Saldos intercambios internacionales",Dat_01!$A$8:$J$29,2,FALSE)/1000</f>
        <v>-2422.6880030000002</v>
      </c>
      <c r="G25" s="98" t="str">
        <f>IF(OR(VLOOKUP("Saldos intercambios internacionales",Dat_01!$A$8:$J$29,3,FALSE)=0,AND(VLOOKUP("Saldos intercambios internacionales",Dat_01!$A$8:$J$29,3,FALSE)&lt;0,VLOOKUP("Saldos intercambios internacionales",Dat_01!$A$8:$J$29,2,FALSE)&gt;0),AND(VLOOKUP("Saldos intercambios internacionales",Dat_01!$A$8:$J$29,3,FALSE)&gt;0,VLOOKUP("Saldos intercambios internacionales",Dat_01!$A$8:$J$29,2,FALSE)&lt;0)),"-",VLOOKUP("Saldos intercambios internacionales",Dat_01!$A$8:$J$29,4,FALSE)*100)</f>
        <v>-</v>
      </c>
      <c r="H25" s="97">
        <f>VLOOKUP("Saldos intercambios internacionales",Dat_01!$A$8:$J$29,5,FALSE)/1000</f>
        <v>-9310.3354799999997</v>
      </c>
      <c r="I25" s="95" t="str">
        <f>IF(OR(VLOOKUP("Saldos intercambios internacionales",Dat_01!$A$8:$J$29,6,FALSE)=0,AND(VLOOKUP("Saldos intercambios internacionales",Dat_01!$A$8:$J$29,6,FALSE)&lt;0,VLOOKUP("Saldos intercambios internacionales",Dat_01!$A$8:$J$29,5,FALSE)&gt;0),AND(VLOOKUP("Saldos intercambios internacionales",Dat_01!$A$8:$J$29,6,FALSE)&gt;0,VLOOKUP("Saldos intercambios internacionales",Dat_01!$A$8:$J$29,5,FALSE)&lt;0)),"-",VLOOKUP("Saldos intercambios internacionales",Dat_01!$A$8:$J$29,7,FALSE)*100)</f>
        <v>-</v>
      </c>
      <c r="J25" s="97">
        <f>VLOOKUP("Saldos intercambios internacionales",Dat_01!$A$8:$J$29,8,FALSE)/1000</f>
        <v>-10843.549617000001</v>
      </c>
      <c r="K25" s="98" t="str">
        <f>IF(OR(VLOOKUP("Saldos intercambios internacionales",Dat_01!$A$8:$J$29,9,FALSE)=0,AND(VLOOKUP("Saldos intercambios internacionales",Dat_01!$A$8:$J$29,9,FALSE)&lt;0,VLOOKUP("Saldos intercambios internacionales",Dat_01!$A$8:$J$29,8,FALSE)&gt;0),AND(VLOOKUP("Saldos intercambios internacionales",Dat_01!$A$8:$J$29,9,FALSE)&gt;0,VLOOKUP("Saldos intercambios internacionales",Dat_01!$A$8:$J$29,8,FALSE)&lt;0)),"-",VLOOKUP("Saldos intercambios internacionales",Dat_01!$A$8:$J$29,10,FALSE)*100)</f>
        <v>-</v>
      </c>
      <c r="L25" s="19"/>
      <c r="M25" s="180"/>
      <c r="N25" s="180"/>
      <c r="O25" s="181"/>
      <c r="P25" s="180"/>
      <c r="Q25" s="181"/>
      <c r="R25" s="180"/>
      <c r="S25" s="181"/>
    </row>
    <row r="26" spans="1:19" ht="16.149999999999999" customHeight="1">
      <c r="E26" s="99" t="s">
        <v>13</v>
      </c>
      <c r="F26" s="100">
        <f>VLOOKUP("Demanda transporte (b.c.)",Dat_01!$A$8:$J$29,2,FALSE)/1000</f>
        <v>22039.666927855997</v>
      </c>
      <c r="G26" s="101">
        <f>VLOOKUP("Demanda transporte (b.c.)",Dat_01!$A$8:$J$29,4,FALSE)*100</f>
        <v>2.22602849</v>
      </c>
      <c r="H26" s="100">
        <f>VLOOKUP("Demanda transporte (b.c.)",Dat_01!$A$8:$J$29,5,FALSE)/1000</f>
        <v>140331.738623438</v>
      </c>
      <c r="I26" s="101">
        <f>VLOOKUP("Demanda transporte (b.c.)",Dat_01!$A$8:$J$29,7,FALSE)*100</f>
        <v>-1.2255015300000001</v>
      </c>
      <c r="J26" s="100">
        <f>VLOOKUP("Demanda transporte (b.c.)",Dat_01!$A$8:$J$29,8,FALSE)/1000</f>
        <v>240750.47854364201</v>
      </c>
      <c r="K26" s="101">
        <f>VLOOKUP("Demanda transporte (b.c.)",Dat_01!$A$8:$J$29,10,FALSE)*100</f>
        <v>-0.8292626500000001</v>
      </c>
      <c r="L26" s="19"/>
    </row>
    <row r="27" spans="1:19" ht="16.350000000000001" customHeight="1">
      <c r="E27" s="331" t="s">
        <v>83</v>
      </c>
      <c r="F27" s="332"/>
      <c r="G27" s="332"/>
      <c r="H27" s="332"/>
      <c r="I27" s="332"/>
      <c r="J27" s="332"/>
      <c r="K27" s="332"/>
      <c r="L27" s="16"/>
      <c r="M27" s="330"/>
      <c r="N27" s="330"/>
      <c r="O27" s="330"/>
      <c r="P27" s="330"/>
      <c r="Q27" s="330"/>
      <c r="R27" s="330"/>
      <c r="S27" s="330"/>
    </row>
    <row r="28" spans="1:19" ht="34.5" customHeight="1">
      <c r="E28" s="333" t="s">
        <v>174</v>
      </c>
      <c r="F28" s="334"/>
      <c r="G28" s="334"/>
      <c r="H28" s="334"/>
      <c r="I28" s="334"/>
      <c r="J28" s="334"/>
      <c r="K28" s="334"/>
      <c r="L28" s="16"/>
      <c r="M28" s="294"/>
      <c r="N28" s="294"/>
      <c r="O28" s="294"/>
      <c r="P28" s="294"/>
      <c r="Q28" s="294"/>
      <c r="R28" s="294"/>
      <c r="S28" s="294"/>
    </row>
    <row r="29" spans="1:19" ht="12.75" customHeight="1">
      <c r="E29" s="330" t="s">
        <v>54</v>
      </c>
      <c r="F29" s="330"/>
      <c r="G29" s="330"/>
      <c r="H29" s="330"/>
      <c r="I29" s="330"/>
      <c r="J29" s="330"/>
      <c r="K29" s="330"/>
      <c r="L29" s="16"/>
    </row>
    <row r="30" spans="1:19" ht="12.75" customHeight="1">
      <c r="E30" s="330" t="s">
        <v>72</v>
      </c>
      <c r="F30" s="330"/>
      <c r="G30" s="330"/>
      <c r="H30" s="330"/>
      <c r="I30" s="330"/>
      <c r="J30" s="330"/>
      <c r="K30" s="330"/>
      <c r="L30" s="16"/>
    </row>
    <row r="31" spans="1:19" ht="12.75" customHeight="1">
      <c r="E31" s="330" t="s">
        <v>152</v>
      </c>
      <c r="F31" s="330"/>
      <c r="G31" s="330"/>
      <c r="H31" s="330"/>
      <c r="I31" s="330"/>
      <c r="J31" s="330"/>
      <c r="K31" s="330"/>
      <c r="L31" s="16"/>
    </row>
    <row r="32" spans="1:19" ht="12.75" customHeight="1">
      <c r="E32" s="329" t="s">
        <v>154</v>
      </c>
      <c r="F32" s="329"/>
      <c r="G32" s="329"/>
      <c r="H32" s="329"/>
      <c r="I32" s="329"/>
      <c r="J32" s="329"/>
      <c r="K32" s="329"/>
      <c r="L32" s="16"/>
    </row>
    <row r="33" spans="5:12" ht="12.75" customHeight="1">
      <c r="E33" s="330" t="s">
        <v>156</v>
      </c>
      <c r="F33" s="330"/>
      <c r="G33" s="330"/>
      <c r="H33" s="330"/>
      <c r="I33" s="330"/>
      <c r="J33" s="330"/>
      <c r="K33" s="330"/>
      <c r="L33" s="16"/>
    </row>
    <row r="34" spans="5:12" ht="15" customHeight="1">
      <c r="E34" s="329" t="s">
        <v>74</v>
      </c>
      <c r="F34" s="329"/>
      <c r="G34" s="329"/>
      <c r="H34" s="329"/>
      <c r="I34" s="329"/>
      <c r="J34" s="329"/>
      <c r="K34" s="329"/>
    </row>
    <row r="35" spans="5:12" ht="24" customHeight="1">
      <c r="E35" s="329" t="s">
        <v>79</v>
      </c>
      <c r="F35" s="329"/>
      <c r="G35" s="329"/>
      <c r="H35" s="329"/>
      <c r="I35" s="329"/>
      <c r="J35" s="329"/>
      <c r="K35" s="329"/>
    </row>
    <row r="36" spans="5:12">
      <c r="F36" s="268"/>
      <c r="G36" s="268"/>
      <c r="H36" s="268"/>
      <c r="I36" s="268"/>
      <c r="J36" s="268"/>
      <c r="K36" s="268"/>
    </row>
    <row r="37" spans="5:12">
      <c r="E37" s="21"/>
      <c r="F37" s="21"/>
    </row>
    <row r="38" spans="5:12">
      <c r="E38" s="21"/>
      <c r="F38" s="21"/>
    </row>
    <row r="39" spans="5:12">
      <c r="E39" s="21"/>
      <c r="F39" s="21"/>
    </row>
    <row r="40" spans="5:12">
      <c r="F40" s="21"/>
    </row>
    <row r="41" spans="5:12">
      <c r="E41" s="21"/>
      <c r="F41" s="23"/>
    </row>
    <row r="42" spans="5:12">
      <c r="E42" s="21"/>
      <c r="F42" s="21"/>
    </row>
    <row r="43" spans="5:12">
      <c r="E43" s="21"/>
      <c r="F43" s="21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50" spans="1:19" s="22" customFormat="1">
      <c r="A50" s="5"/>
      <c r="B50" s="5"/>
      <c r="C50" s="5"/>
      <c r="D50" s="5"/>
      <c r="E50" s="17"/>
      <c r="F50" s="17"/>
      <c r="G50" s="17"/>
      <c r="I50" s="17"/>
      <c r="K50" s="17"/>
      <c r="L50" s="17"/>
      <c r="M50" s="17"/>
      <c r="N50" s="17"/>
      <c r="O50" s="17"/>
      <c r="P50" s="17"/>
      <c r="Q50" s="17"/>
      <c r="R50" s="17"/>
      <c r="S50" s="17"/>
    </row>
  </sheetData>
  <mergeCells count="14">
    <mergeCell ref="M27:S27"/>
    <mergeCell ref="E34:K34"/>
    <mergeCell ref="E29:K29"/>
    <mergeCell ref="E30:K30"/>
    <mergeCell ref="E31:K31"/>
    <mergeCell ref="E32:K32"/>
    <mergeCell ref="E27:K27"/>
    <mergeCell ref="E33:K33"/>
    <mergeCell ref="E28:K28"/>
    <mergeCell ref="C7:C8"/>
    <mergeCell ref="F7:G7"/>
    <mergeCell ref="H7:I7"/>
    <mergeCell ref="J7:K7"/>
    <mergeCell ref="E35:K35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 G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28515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7109375" style="26" customWidth="1"/>
    <col min="6" max="7" width="11.42578125" style="36"/>
    <col min="8" max="8" width="15.5703125" style="36" customWidth="1"/>
    <col min="9" max="252" width="11.42578125" style="36"/>
    <col min="253" max="253" width="0.28515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7109375" style="36" customWidth="1"/>
    <col min="258" max="259" width="11.42578125" style="36"/>
    <col min="260" max="260" width="2.28515625" style="36" customWidth="1"/>
    <col min="261" max="261" width="11.42578125" style="36"/>
    <col min="262" max="262" width="9.5703125" style="36" customWidth="1"/>
    <col min="263" max="508" width="11.42578125" style="36"/>
    <col min="509" max="509" width="0.28515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7109375" style="36" customWidth="1"/>
    <col min="514" max="515" width="11.42578125" style="36"/>
    <col min="516" max="516" width="2.28515625" style="36" customWidth="1"/>
    <col min="517" max="517" width="11.42578125" style="36"/>
    <col min="518" max="518" width="9.5703125" style="36" customWidth="1"/>
    <col min="519" max="764" width="11.42578125" style="36"/>
    <col min="765" max="765" width="0.28515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7109375" style="36" customWidth="1"/>
    <col min="770" max="771" width="11.42578125" style="36"/>
    <col min="772" max="772" width="2.28515625" style="36" customWidth="1"/>
    <col min="773" max="773" width="11.42578125" style="36"/>
    <col min="774" max="774" width="9.5703125" style="36" customWidth="1"/>
    <col min="775" max="1020" width="11.42578125" style="36"/>
    <col min="1021" max="1021" width="0.28515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7109375" style="36" customWidth="1"/>
    <col min="1026" max="1027" width="11.42578125" style="36"/>
    <col min="1028" max="1028" width="2.28515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28515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7109375" style="36" customWidth="1"/>
    <col min="1282" max="1283" width="11.42578125" style="36"/>
    <col min="1284" max="1284" width="2.28515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28515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7109375" style="36" customWidth="1"/>
    <col min="1538" max="1539" width="11.42578125" style="36"/>
    <col min="1540" max="1540" width="2.28515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28515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7109375" style="36" customWidth="1"/>
    <col min="1794" max="1795" width="11.42578125" style="36"/>
    <col min="1796" max="1796" width="2.28515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28515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7109375" style="36" customWidth="1"/>
    <col min="2050" max="2051" width="11.42578125" style="36"/>
    <col min="2052" max="2052" width="2.28515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28515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7109375" style="36" customWidth="1"/>
    <col min="2306" max="2307" width="11.42578125" style="36"/>
    <col min="2308" max="2308" width="2.28515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28515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7109375" style="36" customWidth="1"/>
    <col min="2562" max="2563" width="11.42578125" style="36"/>
    <col min="2564" max="2564" width="2.28515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28515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7109375" style="36" customWidth="1"/>
    <col min="2818" max="2819" width="11.42578125" style="36"/>
    <col min="2820" max="2820" width="2.28515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28515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7109375" style="36" customWidth="1"/>
    <col min="3074" max="3075" width="11.42578125" style="36"/>
    <col min="3076" max="3076" width="2.28515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28515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7109375" style="36" customWidth="1"/>
    <col min="3330" max="3331" width="11.42578125" style="36"/>
    <col min="3332" max="3332" width="2.28515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28515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7109375" style="36" customWidth="1"/>
    <col min="3586" max="3587" width="11.42578125" style="36"/>
    <col min="3588" max="3588" width="2.28515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28515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7109375" style="36" customWidth="1"/>
    <col min="3842" max="3843" width="11.42578125" style="36"/>
    <col min="3844" max="3844" width="2.28515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28515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7109375" style="36" customWidth="1"/>
    <col min="4098" max="4099" width="11.42578125" style="36"/>
    <col min="4100" max="4100" width="2.28515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28515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7109375" style="36" customWidth="1"/>
    <col min="4354" max="4355" width="11.42578125" style="36"/>
    <col min="4356" max="4356" width="2.28515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28515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7109375" style="36" customWidth="1"/>
    <col min="4610" max="4611" width="11.42578125" style="36"/>
    <col min="4612" max="4612" width="2.28515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28515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7109375" style="36" customWidth="1"/>
    <col min="4866" max="4867" width="11.42578125" style="36"/>
    <col min="4868" max="4868" width="2.28515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28515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7109375" style="36" customWidth="1"/>
    <col min="5122" max="5123" width="11.42578125" style="36"/>
    <col min="5124" max="5124" width="2.28515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28515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7109375" style="36" customWidth="1"/>
    <col min="5378" max="5379" width="11.42578125" style="36"/>
    <col min="5380" max="5380" width="2.28515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28515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7109375" style="36" customWidth="1"/>
    <col min="5634" max="5635" width="11.42578125" style="36"/>
    <col min="5636" max="5636" width="2.28515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28515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7109375" style="36" customWidth="1"/>
    <col min="5890" max="5891" width="11.42578125" style="36"/>
    <col min="5892" max="5892" width="2.28515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28515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7109375" style="36" customWidth="1"/>
    <col min="6146" max="6147" width="11.42578125" style="36"/>
    <col min="6148" max="6148" width="2.28515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28515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7109375" style="36" customWidth="1"/>
    <col min="6402" max="6403" width="11.42578125" style="36"/>
    <col min="6404" max="6404" width="2.28515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28515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7109375" style="36" customWidth="1"/>
    <col min="6658" max="6659" width="11.42578125" style="36"/>
    <col min="6660" max="6660" width="2.28515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28515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7109375" style="36" customWidth="1"/>
    <col min="6914" max="6915" width="11.42578125" style="36"/>
    <col min="6916" max="6916" width="2.28515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28515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7109375" style="36" customWidth="1"/>
    <col min="7170" max="7171" width="11.42578125" style="36"/>
    <col min="7172" max="7172" width="2.28515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28515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7109375" style="36" customWidth="1"/>
    <col min="7426" max="7427" width="11.42578125" style="36"/>
    <col min="7428" max="7428" width="2.28515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28515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7109375" style="36" customWidth="1"/>
    <col min="7682" max="7683" width="11.42578125" style="36"/>
    <col min="7684" max="7684" width="2.28515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28515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7109375" style="36" customWidth="1"/>
    <col min="7938" max="7939" width="11.42578125" style="36"/>
    <col min="7940" max="7940" width="2.28515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28515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7109375" style="36" customWidth="1"/>
    <col min="8194" max="8195" width="11.42578125" style="36"/>
    <col min="8196" max="8196" width="2.28515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28515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7109375" style="36" customWidth="1"/>
    <col min="8450" max="8451" width="11.42578125" style="36"/>
    <col min="8452" max="8452" width="2.28515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28515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7109375" style="36" customWidth="1"/>
    <col min="8706" max="8707" width="11.42578125" style="36"/>
    <col min="8708" max="8708" width="2.28515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28515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7109375" style="36" customWidth="1"/>
    <col min="8962" max="8963" width="11.42578125" style="36"/>
    <col min="8964" max="8964" width="2.28515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28515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7109375" style="36" customWidth="1"/>
    <col min="9218" max="9219" width="11.42578125" style="36"/>
    <col min="9220" max="9220" width="2.28515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28515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7109375" style="36" customWidth="1"/>
    <col min="9474" max="9475" width="11.42578125" style="36"/>
    <col min="9476" max="9476" width="2.28515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28515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7109375" style="36" customWidth="1"/>
    <col min="9730" max="9731" width="11.42578125" style="36"/>
    <col min="9732" max="9732" width="2.28515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28515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7109375" style="36" customWidth="1"/>
    <col min="9986" max="9987" width="11.42578125" style="36"/>
    <col min="9988" max="9988" width="2.28515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28515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7109375" style="36" customWidth="1"/>
    <col min="10242" max="10243" width="11.42578125" style="36"/>
    <col min="10244" max="10244" width="2.28515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28515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7109375" style="36" customWidth="1"/>
    <col min="10498" max="10499" width="11.42578125" style="36"/>
    <col min="10500" max="10500" width="2.28515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28515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7109375" style="36" customWidth="1"/>
    <col min="10754" max="10755" width="11.42578125" style="36"/>
    <col min="10756" max="10756" width="2.28515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28515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7109375" style="36" customWidth="1"/>
    <col min="11010" max="11011" width="11.42578125" style="36"/>
    <col min="11012" max="11012" width="2.28515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28515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7109375" style="36" customWidth="1"/>
    <col min="11266" max="11267" width="11.42578125" style="36"/>
    <col min="11268" max="11268" width="2.28515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28515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7109375" style="36" customWidth="1"/>
    <col min="11522" max="11523" width="11.42578125" style="36"/>
    <col min="11524" max="11524" width="2.28515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28515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7109375" style="36" customWidth="1"/>
    <col min="11778" max="11779" width="11.42578125" style="36"/>
    <col min="11780" max="11780" width="2.28515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28515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7109375" style="36" customWidth="1"/>
    <col min="12034" max="12035" width="11.42578125" style="36"/>
    <col min="12036" max="12036" width="2.28515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28515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7109375" style="36" customWidth="1"/>
    <col min="12290" max="12291" width="11.42578125" style="36"/>
    <col min="12292" max="12292" width="2.28515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28515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7109375" style="36" customWidth="1"/>
    <col min="12546" max="12547" width="11.42578125" style="36"/>
    <col min="12548" max="12548" width="2.28515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28515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7109375" style="36" customWidth="1"/>
    <col min="12802" max="12803" width="11.42578125" style="36"/>
    <col min="12804" max="12804" width="2.28515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28515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7109375" style="36" customWidth="1"/>
    <col min="13058" max="13059" width="11.42578125" style="36"/>
    <col min="13060" max="13060" width="2.28515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28515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7109375" style="36" customWidth="1"/>
    <col min="13314" max="13315" width="11.42578125" style="36"/>
    <col min="13316" max="13316" width="2.28515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28515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7109375" style="36" customWidth="1"/>
    <col min="13570" max="13571" width="11.42578125" style="36"/>
    <col min="13572" max="13572" width="2.28515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28515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7109375" style="36" customWidth="1"/>
    <col min="13826" max="13827" width="11.42578125" style="36"/>
    <col min="13828" max="13828" width="2.28515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28515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7109375" style="36" customWidth="1"/>
    <col min="14082" max="14083" width="11.42578125" style="36"/>
    <col min="14084" max="14084" width="2.28515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28515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7109375" style="36" customWidth="1"/>
    <col min="14338" max="14339" width="11.42578125" style="36"/>
    <col min="14340" max="14340" width="2.28515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28515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7109375" style="36" customWidth="1"/>
    <col min="14594" max="14595" width="11.42578125" style="36"/>
    <col min="14596" max="14596" width="2.28515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28515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7109375" style="36" customWidth="1"/>
    <col min="14850" max="14851" width="11.42578125" style="36"/>
    <col min="14852" max="14852" width="2.28515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28515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7109375" style="36" customWidth="1"/>
    <col min="15106" max="15107" width="11.42578125" style="36"/>
    <col min="15108" max="15108" width="2.28515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28515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7109375" style="36" customWidth="1"/>
    <col min="15362" max="15363" width="11.42578125" style="36"/>
    <col min="15364" max="15364" width="2.28515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28515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7109375" style="36" customWidth="1"/>
    <col min="15618" max="15619" width="11.42578125" style="36"/>
    <col min="15620" max="15620" width="2.28515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28515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7109375" style="36" customWidth="1"/>
    <col min="15874" max="15875" width="11.42578125" style="36"/>
    <col min="15876" max="15876" width="2.28515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28515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7109375" style="36" customWidth="1"/>
    <col min="16130" max="16131" width="11.42578125" style="36"/>
    <col min="16132" max="16132" width="2.28515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7" s="26" customFormat="1" ht="0.75" customHeight="1"/>
    <row r="2" spans="2:7" s="26" customFormat="1" ht="21" customHeight="1">
      <c r="E2" s="103" t="s">
        <v>1</v>
      </c>
    </row>
    <row r="3" spans="2:7" s="26" customFormat="1" ht="15" customHeight="1">
      <c r="E3" s="104" t="str">
        <f>Indice!E3</f>
        <v>Julio 2022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</row>
    <row r="7" spans="2:7" s="29" customFormat="1" ht="12.75" customHeight="1">
      <c r="B7" s="28"/>
      <c r="C7" s="335" t="s">
        <v>58</v>
      </c>
      <c r="D7" s="32"/>
      <c r="E7" s="39"/>
    </row>
    <row r="8" spans="2:7" s="29" customFormat="1" ht="12.75" customHeight="1">
      <c r="B8" s="28"/>
      <c r="C8" s="335"/>
      <c r="D8" s="32"/>
      <c r="E8" s="39"/>
      <c r="F8" s="33"/>
    </row>
    <row r="9" spans="2:7" s="29" customFormat="1" ht="12.75" customHeight="1">
      <c r="B9" s="28"/>
      <c r="C9" s="280"/>
      <c r="D9" s="32"/>
      <c r="E9" s="39"/>
      <c r="F9" s="253"/>
      <c r="G9" s="254"/>
    </row>
    <row r="10" spans="2:7" s="29" customFormat="1" ht="12.75" customHeight="1">
      <c r="B10" s="28"/>
      <c r="C10" s="130"/>
      <c r="D10" s="32"/>
      <c r="E10" s="39"/>
      <c r="F10" s="33"/>
    </row>
    <row r="11" spans="2:7" s="29" customFormat="1" ht="12.75" customHeight="1">
      <c r="B11" s="28"/>
      <c r="C11" s="34"/>
      <c r="D11" s="32"/>
      <c r="E11" s="39"/>
      <c r="F11" s="33"/>
    </row>
    <row r="12" spans="2:7" s="29" customFormat="1" ht="12.75" customHeight="1">
      <c r="B12" s="28"/>
      <c r="D12" s="32"/>
      <c r="E12" s="32"/>
      <c r="F12" s="33"/>
    </row>
    <row r="13" spans="2:7" s="29" customFormat="1" ht="12.75" customHeight="1">
      <c r="B13" s="28"/>
      <c r="C13" s="35"/>
      <c r="D13" s="32"/>
      <c r="E13" s="32"/>
      <c r="F13" s="33"/>
    </row>
    <row r="14" spans="2:7" s="29" customFormat="1" ht="12.75" customHeight="1">
      <c r="B14" s="28"/>
      <c r="C14" s="35"/>
      <c r="D14" s="32"/>
      <c r="E14" s="32"/>
      <c r="F14" s="33"/>
    </row>
    <row r="15" spans="2:7" s="29" customFormat="1" ht="12.75" customHeight="1">
      <c r="B15" s="28"/>
      <c r="C15" s="35"/>
      <c r="D15" s="32"/>
      <c r="E15" s="32"/>
      <c r="F15" s="33"/>
    </row>
    <row r="16" spans="2:7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35" t="s">
        <v>60</v>
      </c>
      <c r="E23" s="41"/>
    </row>
    <row r="24" spans="2:6" ht="12.75" customHeight="1">
      <c r="C24" s="335"/>
      <c r="E24" s="37"/>
    </row>
    <row r="25" spans="2:6" ht="12.75" customHeight="1">
      <c r="C25" s="335"/>
      <c r="E25" s="38"/>
    </row>
    <row r="26" spans="2:6" ht="12.75" customHeight="1">
      <c r="C26" s="130"/>
    </row>
    <row r="27" spans="2:6">
      <c r="C27" s="130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5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28515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7109375" style="26" customWidth="1"/>
    <col min="6" max="6" width="1.28515625" style="26" customWidth="1"/>
    <col min="7" max="7" width="58.7109375" style="36" customWidth="1"/>
    <col min="8" max="8" width="11.42578125" style="36"/>
    <col min="9" max="9" width="15.5703125" style="36" customWidth="1"/>
    <col min="10" max="255" width="11.42578125" style="36"/>
    <col min="256" max="256" width="0.28515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7109375" style="36" customWidth="1"/>
    <col min="261" max="262" width="11.42578125" style="36"/>
    <col min="263" max="263" width="2.28515625" style="36" customWidth="1"/>
    <col min="264" max="264" width="11.42578125" style="36"/>
    <col min="265" max="265" width="9.5703125" style="36" customWidth="1"/>
    <col min="266" max="511" width="11.42578125" style="36"/>
    <col min="512" max="512" width="0.28515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7109375" style="36" customWidth="1"/>
    <col min="517" max="518" width="11.42578125" style="36"/>
    <col min="519" max="519" width="2.28515625" style="36" customWidth="1"/>
    <col min="520" max="520" width="11.42578125" style="36"/>
    <col min="521" max="521" width="9.5703125" style="36" customWidth="1"/>
    <col min="522" max="767" width="11.42578125" style="36"/>
    <col min="768" max="768" width="0.28515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7109375" style="36" customWidth="1"/>
    <col min="773" max="774" width="11.42578125" style="36"/>
    <col min="775" max="775" width="2.28515625" style="36" customWidth="1"/>
    <col min="776" max="776" width="11.42578125" style="36"/>
    <col min="777" max="777" width="9.5703125" style="36" customWidth="1"/>
    <col min="778" max="1023" width="11.42578125" style="36"/>
    <col min="1024" max="1024" width="0.28515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7109375" style="36" customWidth="1"/>
    <col min="1029" max="1030" width="11.42578125" style="36"/>
    <col min="1031" max="1031" width="2.28515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28515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7109375" style="36" customWidth="1"/>
    <col min="1285" max="1286" width="11.42578125" style="36"/>
    <col min="1287" max="1287" width="2.28515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28515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7109375" style="36" customWidth="1"/>
    <col min="1541" max="1542" width="11.42578125" style="36"/>
    <col min="1543" max="1543" width="2.28515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28515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7109375" style="36" customWidth="1"/>
    <col min="1797" max="1798" width="11.42578125" style="36"/>
    <col min="1799" max="1799" width="2.28515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28515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7109375" style="36" customWidth="1"/>
    <col min="2053" max="2054" width="11.42578125" style="36"/>
    <col min="2055" max="2055" width="2.28515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28515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7109375" style="36" customWidth="1"/>
    <col min="2309" max="2310" width="11.42578125" style="36"/>
    <col min="2311" max="2311" width="2.28515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28515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7109375" style="36" customWidth="1"/>
    <col min="2565" max="2566" width="11.42578125" style="36"/>
    <col min="2567" max="2567" width="2.28515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28515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7109375" style="36" customWidth="1"/>
    <col min="2821" max="2822" width="11.42578125" style="36"/>
    <col min="2823" max="2823" width="2.28515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28515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7109375" style="36" customWidth="1"/>
    <col min="3077" max="3078" width="11.42578125" style="36"/>
    <col min="3079" max="3079" width="2.28515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28515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7109375" style="36" customWidth="1"/>
    <col min="3333" max="3334" width="11.42578125" style="36"/>
    <col min="3335" max="3335" width="2.28515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28515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7109375" style="36" customWidth="1"/>
    <col min="3589" max="3590" width="11.42578125" style="36"/>
    <col min="3591" max="3591" width="2.28515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28515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7109375" style="36" customWidth="1"/>
    <col min="3845" max="3846" width="11.42578125" style="36"/>
    <col min="3847" max="3847" width="2.28515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28515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7109375" style="36" customWidth="1"/>
    <col min="4101" max="4102" width="11.42578125" style="36"/>
    <col min="4103" max="4103" width="2.28515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28515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7109375" style="36" customWidth="1"/>
    <col min="4357" max="4358" width="11.42578125" style="36"/>
    <col min="4359" max="4359" width="2.28515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28515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7109375" style="36" customWidth="1"/>
    <col min="4613" max="4614" width="11.42578125" style="36"/>
    <col min="4615" max="4615" width="2.28515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28515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7109375" style="36" customWidth="1"/>
    <col min="4869" max="4870" width="11.42578125" style="36"/>
    <col min="4871" max="4871" width="2.28515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28515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7109375" style="36" customWidth="1"/>
    <col min="5125" max="5126" width="11.42578125" style="36"/>
    <col min="5127" max="5127" width="2.28515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28515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7109375" style="36" customWidth="1"/>
    <col min="5381" max="5382" width="11.42578125" style="36"/>
    <col min="5383" max="5383" width="2.28515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28515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7109375" style="36" customWidth="1"/>
    <col min="5637" max="5638" width="11.42578125" style="36"/>
    <col min="5639" max="5639" width="2.28515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28515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7109375" style="36" customWidth="1"/>
    <col min="5893" max="5894" width="11.42578125" style="36"/>
    <col min="5895" max="5895" width="2.28515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28515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7109375" style="36" customWidth="1"/>
    <col min="6149" max="6150" width="11.42578125" style="36"/>
    <col min="6151" max="6151" width="2.28515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28515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7109375" style="36" customWidth="1"/>
    <col min="6405" max="6406" width="11.42578125" style="36"/>
    <col min="6407" max="6407" width="2.28515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28515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7109375" style="36" customWidth="1"/>
    <col min="6661" max="6662" width="11.42578125" style="36"/>
    <col min="6663" max="6663" width="2.28515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28515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7109375" style="36" customWidth="1"/>
    <col min="6917" max="6918" width="11.42578125" style="36"/>
    <col min="6919" max="6919" width="2.28515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28515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7109375" style="36" customWidth="1"/>
    <col min="7173" max="7174" width="11.42578125" style="36"/>
    <col min="7175" max="7175" width="2.28515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28515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7109375" style="36" customWidth="1"/>
    <col min="7429" max="7430" width="11.42578125" style="36"/>
    <col min="7431" max="7431" width="2.28515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28515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7109375" style="36" customWidth="1"/>
    <col min="7685" max="7686" width="11.42578125" style="36"/>
    <col min="7687" max="7687" width="2.28515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28515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7109375" style="36" customWidth="1"/>
    <col min="7941" max="7942" width="11.42578125" style="36"/>
    <col min="7943" max="7943" width="2.28515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28515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7109375" style="36" customWidth="1"/>
    <col min="8197" max="8198" width="11.42578125" style="36"/>
    <col min="8199" max="8199" width="2.28515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28515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7109375" style="36" customWidth="1"/>
    <col min="8453" max="8454" width="11.42578125" style="36"/>
    <col min="8455" max="8455" width="2.28515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28515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7109375" style="36" customWidth="1"/>
    <col min="8709" max="8710" width="11.42578125" style="36"/>
    <col min="8711" max="8711" width="2.28515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28515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7109375" style="36" customWidth="1"/>
    <col min="8965" max="8966" width="11.42578125" style="36"/>
    <col min="8967" max="8967" width="2.28515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28515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7109375" style="36" customWidth="1"/>
    <col min="9221" max="9222" width="11.42578125" style="36"/>
    <col min="9223" max="9223" width="2.28515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28515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7109375" style="36" customWidth="1"/>
    <col min="9477" max="9478" width="11.42578125" style="36"/>
    <col min="9479" max="9479" width="2.28515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28515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7109375" style="36" customWidth="1"/>
    <col min="9733" max="9734" width="11.42578125" style="36"/>
    <col min="9735" max="9735" width="2.28515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28515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7109375" style="36" customWidth="1"/>
    <col min="9989" max="9990" width="11.42578125" style="36"/>
    <col min="9991" max="9991" width="2.28515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28515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7109375" style="36" customWidth="1"/>
    <col min="10245" max="10246" width="11.42578125" style="36"/>
    <col min="10247" max="10247" width="2.28515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28515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7109375" style="36" customWidth="1"/>
    <col min="10501" max="10502" width="11.42578125" style="36"/>
    <col min="10503" max="10503" width="2.28515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28515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7109375" style="36" customWidth="1"/>
    <col min="10757" max="10758" width="11.42578125" style="36"/>
    <col min="10759" max="10759" width="2.28515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28515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7109375" style="36" customWidth="1"/>
    <col min="11013" max="11014" width="11.42578125" style="36"/>
    <col min="11015" max="11015" width="2.28515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28515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7109375" style="36" customWidth="1"/>
    <col min="11269" max="11270" width="11.42578125" style="36"/>
    <col min="11271" max="11271" width="2.28515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28515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7109375" style="36" customWidth="1"/>
    <col min="11525" max="11526" width="11.42578125" style="36"/>
    <col min="11527" max="11527" width="2.28515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28515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7109375" style="36" customWidth="1"/>
    <col min="11781" max="11782" width="11.42578125" style="36"/>
    <col min="11783" max="11783" width="2.28515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28515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7109375" style="36" customWidth="1"/>
    <col min="12037" max="12038" width="11.42578125" style="36"/>
    <col min="12039" max="12039" width="2.28515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28515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7109375" style="36" customWidth="1"/>
    <col min="12293" max="12294" width="11.42578125" style="36"/>
    <col min="12295" max="12295" width="2.28515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28515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7109375" style="36" customWidth="1"/>
    <col min="12549" max="12550" width="11.42578125" style="36"/>
    <col min="12551" max="12551" width="2.28515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28515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7109375" style="36" customWidth="1"/>
    <col min="12805" max="12806" width="11.42578125" style="36"/>
    <col min="12807" max="12807" width="2.28515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28515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7109375" style="36" customWidth="1"/>
    <col min="13061" max="13062" width="11.42578125" style="36"/>
    <col min="13063" max="13063" width="2.28515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28515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7109375" style="36" customWidth="1"/>
    <col min="13317" max="13318" width="11.42578125" style="36"/>
    <col min="13319" max="13319" width="2.28515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28515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7109375" style="36" customWidth="1"/>
    <col min="13573" max="13574" width="11.42578125" style="36"/>
    <col min="13575" max="13575" width="2.28515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28515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7109375" style="36" customWidth="1"/>
    <col min="13829" max="13830" width="11.42578125" style="36"/>
    <col min="13831" max="13831" width="2.28515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28515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7109375" style="36" customWidth="1"/>
    <col min="14085" max="14086" width="11.42578125" style="36"/>
    <col min="14087" max="14087" width="2.28515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28515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7109375" style="36" customWidth="1"/>
    <col min="14341" max="14342" width="11.42578125" style="36"/>
    <col min="14343" max="14343" width="2.28515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28515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7109375" style="36" customWidth="1"/>
    <col min="14597" max="14598" width="11.42578125" style="36"/>
    <col min="14599" max="14599" width="2.28515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28515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7109375" style="36" customWidth="1"/>
    <col min="14853" max="14854" width="11.42578125" style="36"/>
    <col min="14855" max="14855" width="2.28515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28515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7109375" style="36" customWidth="1"/>
    <col min="15109" max="15110" width="11.42578125" style="36"/>
    <col min="15111" max="15111" width="2.28515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28515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7109375" style="36" customWidth="1"/>
    <col min="15365" max="15366" width="11.42578125" style="36"/>
    <col min="15367" max="15367" width="2.28515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28515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7109375" style="36" customWidth="1"/>
    <col min="15621" max="15622" width="11.42578125" style="36"/>
    <col min="15623" max="15623" width="2.28515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28515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7109375" style="36" customWidth="1"/>
    <col min="15877" max="15878" width="11.42578125" style="36"/>
    <col min="15879" max="15879" width="2.28515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28515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7109375" style="36" customWidth="1"/>
    <col min="16133" max="16134" width="11.42578125" style="36"/>
    <col min="16135" max="16135" width="2.28515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3" t="s">
        <v>1</v>
      </c>
    </row>
    <row r="3" spans="2:7" s="26" customFormat="1" ht="15" customHeight="1">
      <c r="E3" s="27"/>
      <c r="G3" s="104" t="str">
        <f>Indice!E3</f>
        <v>Julio 2022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36" t="s">
        <v>73</v>
      </c>
      <c r="D7" s="32"/>
      <c r="E7" s="39"/>
      <c r="F7" s="32"/>
    </row>
    <row r="8" spans="2:7" s="29" customFormat="1" ht="12.75" customHeight="1">
      <c r="B8" s="28"/>
      <c r="C8" s="336"/>
      <c r="D8" s="32"/>
      <c r="E8" s="39"/>
      <c r="F8" s="32"/>
    </row>
    <row r="9" spans="2:7" s="29" customFormat="1" ht="12.75" customHeight="1">
      <c r="B9" s="28"/>
      <c r="C9" s="336"/>
      <c r="D9" s="32"/>
      <c r="E9" s="39"/>
      <c r="F9" s="32"/>
    </row>
    <row r="10" spans="2:7" s="29" customFormat="1" ht="12.75" customHeight="1">
      <c r="B10" s="28"/>
      <c r="C10" s="336"/>
      <c r="D10" s="32"/>
      <c r="E10" s="39"/>
      <c r="F10" s="32"/>
    </row>
    <row r="11" spans="2:7" s="29" customFormat="1" ht="12.75" customHeight="1">
      <c r="B11" s="28"/>
      <c r="C11" s="132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3"/>
      <c r="G22" s="281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B2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Julio 2022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36" t="s">
        <v>62</v>
      </c>
      <c r="E7" s="4"/>
    </row>
    <row r="8" spans="3:25">
      <c r="C8" s="336"/>
      <c r="E8" s="4"/>
    </row>
    <row r="9" spans="3:25">
      <c r="C9" s="336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Julio 2022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36" t="s">
        <v>177</v>
      </c>
      <c r="E7" s="4"/>
    </row>
    <row r="8" spans="3:25">
      <c r="C8" s="336"/>
      <c r="E8" s="4"/>
    </row>
    <row r="9" spans="3:25">
      <c r="C9" s="336"/>
      <c r="E9" s="4"/>
    </row>
    <row r="10" spans="3:25">
      <c r="C10" s="336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Julio 2022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36" t="s">
        <v>55</v>
      </c>
      <c r="E7" s="4"/>
    </row>
    <row r="8" spans="3:25">
      <c r="C8" s="336"/>
      <c r="E8" s="4"/>
    </row>
    <row r="9" spans="3:25">
      <c r="C9" s="11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 ht="22.5">
      <c r="E26" s="296" t="s">
        <v>174</v>
      </c>
      <c r="F26" s="297"/>
      <c r="G26" s="297"/>
      <c r="H26" s="297"/>
      <c r="I26" s="297"/>
      <c r="J26" s="297"/>
      <c r="K26" s="297"/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Julio 2022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36" t="s">
        <v>61</v>
      </c>
      <c r="E7" s="4"/>
    </row>
    <row r="8" spans="3:25">
      <c r="C8" s="336"/>
      <c r="E8" s="4"/>
    </row>
    <row r="9" spans="3:25">
      <c r="C9" s="11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 ht="22.5">
      <c r="E26" s="296" t="s">
        <v>174</v>
      </c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3" t="s">
        <v>1</v>
      </c>
    </row>
    <row r="3" spans="3:32" ht="15" customHeight="1">
      <c r="I3" s="112" t="str">
        <f>Indice!E3</f>
        <v>Julio 2022</v>
      </c>
    </row>
    <row r="4" spans="3:32" ht="19.899999999999999" customHeight="1">
      <c r="C4" s="102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36" t="s">
        <v>25</v>
      </c>
      <c r="E7" s="114"/>
      <c r="F7" s="337" t="str">
        <f>Dat_01!A2</f>
        <v>Julio 2022</v>
      </c>
      <c r="G7" s="338"/>
      <c r="H7" s="339" t="s">
        <v>27</v>
      </c>
      <c r="I7" s="339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36"/>
      <c r="E8" s="115" t="s">
        <v>28</v>
      </c>
      <c r="F8" s="299">
        <v>12360</v>
      </c>
      <c r="G8" s="300" t="s">
        <v>241</v>
      </c>
      <c r="H8" s="299">
        <v>20130</v>
      </c>
      <c r="I8" s="300" t="s">
        <v>205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7"/>
      <c r="E9" s="116" t="s">
        <v>29</v>
      </c>
      <c r="F9" s="277">
        <v>44.9</v>
      </c>
      <c r="G9" s="278" t="s">
        <v>242</v>
      </c>
      <c r="H9" s="273">
        <v>83.6</v>
      </c>
      <c r="I9" s="278" t="s">
        <v>206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74"/>
      <c r="I10" s="276"/>
      <c r="J10" s="275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7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3" t="s">
        <v>1</v>
      </c>
    </row>
    <row r="3" spans="3:27" ht="15" customHeight="1">
      <c r="E3" s="112" t="str">
        <f>Indice!E3</f>
        <v>Julio 2022</v>
      </c>
    </row>
    <row r="4" spans="3:27" ht="19.899999999999999" customHeight="1">
      <c r="C4" s="102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36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36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7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3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B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3" t="s">
        <v>1</v>
      </c>
    </row>
    <row r="3" spans="3:34" ht="15" customHeight="1">
      <c r="E3" s="112" t="str">
        <f>Indice!E3</f>
        <v>Julio 2022</v>
      </c>
    </row>
    <row r="4" spans="3:34" ht="19.899999999999999" customHeight="1">
      <c r="C4" s="102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36" t="s">
        <v>176</v>
      </c>
      <c r="E7" s="4"/>
    </row>
    <row r="8" spans="3:34">
      <c r="C8" s="336"/>
      <c r="E8" s="4"/>
    </row>
    <row r="9" spans="3:34">
      <c r="C9" s="336"/>
      <c r="E9" s="4"/>
    </row>
    <row r="10" spans="3:34">
      <c r="C10" s="336"/>
      <c r="E10" s="4"/>
    </row>
    <row r="11" spans="3:34">
      <c r="E11" s="4"/>
    </row>
    <row r="12" spans="3:34">
      <c r="C12" s="117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7"/>
    </row>
    <row r="25" spans="3:32">
      <c r="C25" s="117"/>
      <c r="E25" s="113"/>
    </row>
    <row r="26" spans="3:32">
      <c r="C26" s="117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7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7"/>
    </row>
    <row r="29" spans="3:32">
      <c r="C29" s="117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showGridLines="0" showRowColHeaders="0" topLeftCell="A2" zoomScaleNormal="100" workbookViewId="0">
      <selection activeCell="A2" sqref="A2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7109375" style="50" customWidth="1"/>
    <col min="10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3" t="s">
        <v>1</v>
      </c>
    </row>
    <row r="3" spans="2:22" ht="15" customHeight="1">
      <c r="D3" s="112" t="str">
        <f>Indice!E3</f>
        <v>Julio 2022</v>
      </c>
    </row>
    <row r="4" spans="2:22" ht="20.100000000000001" customHeight="1">
      <c r="B4" s="102" t="s">
        <v>148</v>
      </c>
      <c r="V4" s="54"/>
    </row>
    <row r="5" spans="2:22">
      <c r="V5" s="54"/>
    </row>
    <row r="6" spans="2:22">
      <c r="V6" s="54"/>
    </row>
    <row r="7" spans="2:22">
      <c r="B7" s="336" t="s">
        <v>26</v>
      </c>
      <c r="V7" s="54"/>
    </row>
    <row r="8" spans="2:22">
      <c r="B8" s="336"/>
      <c r="V8" s="54"/>
    </row>
    <row r="9" spans="2:22">
      <c r="B9" s="336"/>
      <c r="V9" s="54"/>
    </row>
    <row r="10" spans="2:22">
      <c r="B10" s="261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1:27">
      <c r="D17" s="4"/>
      <c r="V17" s="54"/>
    </row>
    <row r="18" spans="1:27">
      <c r="D18" s="4"/>
      <c r="V18" s="54"/>
    </row>
    <row r="19" spans="1:27">
      <c r="D19" s="4"/>
      <c r="V19" s="54"/>
    </row>
    <row r="20" spans="1:27" s="55" customFormat="1">
      <c r="A20"/>
      <c r="B20"/>
      <c r="C20"/>
      <c r="D20" s="4"/>
      <c r="J20" s="50"/>
      <c r="K20" s="50"/>
      <c r="L20" s="50"/>
      <c r="M20" s="50"/>
      <c r="N20" s="50"/>
      <c r="O20" s="50"/>
      <c r="P20" s="50"/>
      <c r="V20" s="54"/>
    </row>
    <row r="21" spans="1:27" s="55" customFormat="1">
      <c r="A21"/>
      <c r="B21"/>
      <c r="C21"/>
      <c r="D21" s="4"/>
      <c r="J21" s="50"/>
      <c r="K21" s="50"/>
      <c r="L21" s="50"/>
      <c r="M21" s="50"/>
      <c r="N21" s="50"/>
      <c r="O21" s="50"/>
      <c r="P21" s="50"/>
      <c r="V21" s="54"/>
    </row>
    <row r="22" spans="1:27">
      <c r="D22" s="41"/>
      <c r="V22" s="54"/>
    </row>
    <row r="23" spans="1:27">
      <c r="V23" s="54"/>
    </row>
    <row r="24" spans="1:27">
      <c r="V24" s="54"/>
    </row>
    <row r="25" spans="1:27">
      <c r="V25" s="54"/>
    </row>
    <row r="26" spans="1:27">
      <c r="V26" s="54"/>
    </row>
    <row r="27" spans="1:27">
      <c r="V27" s="54"/>
    </row>
    <row r="28" spans="1:27">
      <c r="V28" s="54"/>
    </row>
    <row r="29" spans="1:27">
      <c r="V29" s="54"/>
    </row>
    <row r="30" spans="1:27">
      <c r="V30" s="54"/>
    </row>
    <row r="31" spans="1:27">
      <c r="V31" s="54"/>
      <c r="Y31" s="56"/>
      <c r="Z31" s="56"/>
      <c r="AA31" s="57"/>
    </row>
    <row r="32" spans="1:27">
      <c r="V32" s="54"/>
      <c r="Y32" s="56"/>
      <c r="Z32" s="56"/>
      <c r="AA32" s="57"/>
    </row>
    <row r="33" spans="22:27">
      <c r="V33" s="54"/>
      <c r="Y33" s="56"/>
      <c r="Z33" s="56"/>
      <c r="AA33" s="57"/>
    </row>
    <row r="34" spans="22:27">
      <c r="V34" s="54"/>
      <c r="Y34" s="56"/>
      <c r="Z34" s="56"/>
      <c r="AA34" s="57"/>
    </row>
    <row r="35" spans="22:27">
      <c r="V35" s="54"/>
      <c r="Y35" s="56"/>
      <c r="Z35" s="56"/>
      <c r="AA35" s="57"/>
    </row>
    <row r="36" spans="22:27">
      <c r="V36" s="54"/>
      <c r="Y36" s="56"/>
      <c r="Z36" s="56"/>
      <c r="AA36" s="57"/>
    </row>
    <row r="37" spans="22:27">
      <c r="V37" s="54"/>
      <c r="Y37" s="56"/>
      <c r="Z37" s="56"/>
      <c r="AA37" s="57"/>
    </row>
    <row r="38" spans="22:27">
      <c r="V38" s="54"/>
      <c r="Y38" s="56"/>
      <c r="Z38" s="56"/>
      <c r="AA38" s="57"/>
    </row>
    <row r="39" spans="22:27">
      <c r="V39" s="54"/>
      <c r="Y39" s="56"/>
      <c r="Z39" s="56"/>
      <c r="AA39" s="57"/>
    </row>
    <row r="40" spans="22:27">
      <c r="V40" s="54"/>
      <c r="Y40" s="56"/>
      <c r="Z40" s="56"/>
      <c r="AA40" s="57"/>
    </row>
    <row r="41" spans="22:27">
      <c r="V41" s="54"/>
      <c r="Y41" s="56"/>
      <c r="Z41" s="56"/>
      <c r="AA41" s="57"/>
    </row>
    <row r="42" spans="22:27">
      <c r="V42" s="54"/>
      <c r="Y42" s="56"/>
      <c r="Z42" s="56"/>
      <c r="AA42" s="57"/>
    </row>
    <row r="43" spans="22:27">
      <c r="V43" s="54"/>
      <c r="Y43" s="56"/>
      <c r="Z43" s="56"/>
      <c r="AA43" s="57"/>
    </row>
    <row r="44" spans="22:27">
      <c r="V44" s="54"/>
      <c r="Y44" s="56"/>
      <c r="Z44" s="56"/>
      <c r="AA44" s="57"/>
    </row>
    <row r="45" spans="22:27">
      <c r="V45" s="54"/>
      <c r="Y45" s="56"/>
      <c r="Z45" s="56"/>
      <c r="AA45" s="57"/>
    </row>
    <row r="46" spans="22:27">
      <c r="V46" s="54"/>
      <c r="Y46" s="56"/>
      <c r="Z46" s="56"/>
      <c r="AA46" s="57"/>
    </row>
    <row r="47" spans="22:27">
      <c r="V47" s="54"/>
      <c r="Y47" s="56"/>
      <c r="Z47" s="56"/>
      <c r="AA47" s="57"/>
    </row>
    <row r="48" spans="22:27">
      <c r="V48" s="54"/>
      <c r="Y48" s="56"/>
      <c r="Z48" s="56"/>
      <c r="AA48" s="57"/>
    </row>
    <row r="49" spans="22:27">
      <c r="V49" s="54"/>
      <c r="Y49" s="56"/>
      <c r="Z49" s="56"/>
      <c r="AA49" s="57"/>
    </row>
    <row r="50" spans="22:27">
      <c r="V50" s="54"/>
      <c r="Y50" s="56"/>
      <c r="Z50" s="56"/>
      <c r="AA50" s="57"/>
    </row>
    <row r="51" spans="22:27">
      <c r="V51" s="54"/>
      <c r="Y51" s="56"/>
      <c r="Z51" s="56"/>
      <c r="AA51" s="57"/>
    </row>
    <row r="52" spans="22:27">
      <c r="V52" s="54"/>
      <c r="Y52" s="56"/>
      <c r="Z52" s="56"/>
      <c r="AA52" s="57"/>
    </row>
    <row r="53" spans="22:27">
      <c r="V53" s="54"/>
      <c r="Y53" s="56"/>
      <c r="Z53" s="56"/>
      <c r="AA53" s="57"/>
    </row>
    <row r="54" spans="22:27">
      <c r="V54" s="54"/>
      <c r="Y54" s="56"/>
      <c r="Z54" s="56"/>
      <c r="AA54" s="57"/>
    </row>
    <row r="55" spans="22:27">
      <c r="V55" s="54"/>
      <c r="Y55" s="56"/>
      <c r="Z55" s="56"/>
      <c r="AA55" s="57"/>
    </row>
    <row r="56" spans="22:27">
      <c r="V56" s="54"/>
      <c r="Y56" s="56"/>
      <c r="Z56" s="56"/>
      <c r="AA56" s="57"/>
    </row>
    <row r="57" spans="22:27">
      <c r="V57" s="54"/>
      <c r="Y57" s="56"/>
      <c r="Z57" s="56"/>
      <c r="AA57" s="57"/>
    </row>
    <row r="58" spans="22:27">
      <c r="V58" s="54"/>
      <c r="Y58" s="56"/>
      <c r="Z58" s="56"/>
      <c r="AA58" s="57"/>
    </row>
    <row r="59" spans="22:27">
      <c r="V59" s="54"/>
      <c r="Y59" s="56"/>
      <c r="Z59" s="56"/>
      <c r="AA59" s="57"/>
    </row>
    <row r="60" spans="22:27">
      <c r="V60" s="54"/>
      <c r="Y60" s="56"/>
      <c r="Z60" s="56"/>
      <c r="AA60" s="57"/>
    </row>
    <row r="61" spans="22:27">
      <c r="V61" s="54"/>
      <c r="Y61" s="56"/>
      <c r="Z61" s="56"/>
      <c r="AA61" s="57"/>
    </row>
    <row r="62" spans="22:27">
      <c r="V62" s="54"/>
      <c r="Y62" s="56"/>
      <c r="Z62" s="56"/>
      <c r="AA62" s="57"/>
    </row>
    <row r="63" spans="22:27">
      <c r="V63" s="54"/>
      <c r="Y63" s="56"/>
      <c r="Z63" s="56"/>
      <c r="AA63" s="57"/>
    </row>
    <row r="64" spans="22:27">
      <c r="V64" s="54"/>
      <c r="Y64" s="56"/>
      <c r="Z64" s="56"/>
      <c r="AA64" s="57"/>
    </row>
    <row r="65" spans="22:27">
      <c r="V65" s="54"/>
      <c r="Y65" s="56"/>
      <c r="Z65" s="56"/>
      <c r="AA65" s="57"/>
    </row>
    <row r="66" spans="22:27">
      <c r="V66" s="54"/>
      <c r="Y66" s="56"/>
      <c r="Z66" s="56"/>
      <c r="AA66" s="57"/>
    </row>
    <row r="67" spans="22:27">
      <c r="V67" s="54"/>
      <c r="Y67" s="56"/>
      <c r="Z67" s="56"/>
      <c r="AA67" s="57"/>
    </row>
    <row r="68" spans="22:27">
      <c r="V68" s="54"/>
      <c r="Y68" s="56"/>
      <c r="Z68" s="56"/>
      <c r="AA68" s="57"/>
    </row>
    <row r="69" spans="22:27">
      <c r="V69" s="54"/>
      <c r="Y69" s="56"/>
      <c r="Z69" s="56"/>
      <c r="AA69" s="57"/>
    </row>
    <row r="70" spans="22:27">
      <c r="V70" s="54"/>
      <c r="Y70" s="56"/>
      <c r="Z70" s="56"/>
      <c r="AA70" s="57"/>
    </row>
    <row r="71" spans="22:27">
      <c r="V71" s="54"/>
      <c r="Y71" s="56"/>
      <c r="Z71" s="56"/>
      <c r="AA71" s="57"/>
    </row>
    <row r="72" spans="22:27">
      <c r="V72" s="54"/>
      <c r="Y72" s="56"/>
      <c r="Z72" s="56"/>
      <c r="AA72" s="57"/>
    </row>
    <row r="73" spans="22:27">
      <c r="V73" s="54"/>
      <c r="Y73" s="56"/>
      <c r="Z73" s="56"/>
      <c r="AA73" s="57"/>
    </row>
    <row r="74" spans="22:27">
      <c r="V74" s="54"/>
      <c r="Y74" s="56"/>
      <c r="Z74" s="56"/>
      <c r="AA74" s="57"/>
    </row>
    <row r="75" spans="22:27">
      <c r="V75" s="54"/>
      <c r="Y75" s="56"/>
      <c r="Z75" s="56"/>
      <c r="AA75" s="57"/>
    </row>
    <row r="76" spans="22:27">
      <c r="V76" s="54"/>
      <c r="Y76" s="56"/>
      <c r="Z76" s="56"/>
      <c r="AA76" s="57"/>
    </row>
    <row r="77" spans="22:27">
      <c r="V77" s="54"/>
      <c r="Y77" s="56"/>
      <c r="Z77" s="56"/>
      <c r="AA77" s="57"/>
    </row>
    <row r="78" spans="22:27">
      <c r="V78" s="54"/>
      <c r="Y78" s="56"/>
      <c r="Z78" s="56"/>
      <c r="AA78" s="57"/>
    </row>
    <row r="79" spans="22:27">
      <c r="V79" s="54"/>
      <c r="Y79" s="56"/>
      <c r="Z79" s="56"/>
      <c r="AA79" s="57"/>
    </row>
    <row r="80" spans="22:27">
      <c r="V80" s="54"/>
      <c r="Y80" s="56"/>
      <c r="Z80" s="56"/>
      <c r="AA80" s="57"/>
    </row>
    <row r="81" spans="22:27">
      <c r="V81" s="54"/>
      <c r="Y81" s="56"/>
      <c r="Z81" s="56"/>
      <c r="AA81" s="57"/>
    </row>
    <row r="82" spans="22:27">
      <c r="V82" s="54"/>
      <c r="Y82" s="56"/>
      <c r="Z82" s="56"/>
      <c r="AA82" s="57"/>
    </row>
    <row r="83" spans="22:27">
      <c r="V83" s="54"/>
      <c r="Y83" s="56"/>
      <c r="Z83" s="56"/>
      <c r="AA83" s="57"/>
    </row>
    <row r="84" spans="22:27">
      <c r="V84" s="54"/>
      <c r="Y84" s="56"/>
      <c r="Z84" s="56"/>
      <c r="AA84" s="57"/>
    </row>
    <row r="85" spans="22:27">
      <c r="V85" s="54"/>
      <c r="Y85" s="56"/>
      <c r="Z85" s="56"/>
      <c r="AA85" s="57"/>
    </row>
    <row r="86" spans="22:27">
      <c r="V86" s="54"/>
      <c r="Y86" s="56"/>
      <c r="Z86" s="56"/>
      <c r="AA86" s="57"/>
    </row>
    <row r="87" spans="22:27">
      <c r="V87" s="54"/>
      <c r="Y87" s="56"/>
      <c r="Z87" s="56"/>
      <c r="AA87" s="57"/>
    </row>
    <row r="88" spans="22:27">
      <c r="V88" s="54"/>
      <c r="Y88" s="56"/>
      <c r="Z88" s="56"/>
      <c r="AA88" s="57"/>
    </row>
    <row r="89" spans="22:27">
      <c r="V89" s="54"/>
      <c r="Y89" s="56"/>
      <c r="Z89" s="56"/>
      <c r="AA89" s="57"/>
    </row>
    <row r="90" spans="22:27">
      <c r="V90" s="54"/>
      <c r="Y90" s="56"/>
      <c r="Z90" s="56"/>
      <c r="AA90" s="57"/>
    </row>
    <row r="91" spans="22:27">
      <c r="V91" s="54"/>
      <c r="Y91" s="56"/>
      <c r="Z91" s="56"/>
      <c r="AA91" s="57"/>
    </row>
    <row r="92" spans="22:27">
      <c r="V92" s="54"/>
      <c r="Y92" s="56"/>
      <c r="Z92" s="56"/>
      <c r="AA92" s="57"/>
    </row>
    <row r="93" spans="22:27">
      <c r="V93" s="54"/>
      <c r="Y93" s="56"/>
      <c r="Z93" s="56"/>
      <c r="AA93" s="57"/>
    </row>
    <row r="94" spans="22:27">
      <c r="V94" s="54"/>
      <c r="Y94" s="56"/>
      <c r="Z94" s="56"/>
      <c r="AA94" s="57"/>
    </row>
    <row r="95" spans="22:27">
      <c r="V95" s="54"/>
      <c r="Y95" s="56"/>
      <c r="Z95" s="56"/>
      <c r="AA95" s="57"/>
    </row>
    <row r="96" spans="22:27">
      <c r="V96" s="54"/>
      <c r="Y96" s="56"/>
      <c r="Z96" s="56"/>
      <c r="AA96" s="57"/>
    </row>
    <row r="97" spans="22:27">
      <c r="V97" s="54"/>
      <c r="Y97" s="56"/>
      <c r="Z97" s="56"/>
      <c r="AA97" s="57"/>
    </row>
    <row r="98" spans="22:27">
      <c r="V98" s="54"/>
      <c r="Y98" s="56"/>
      <c r="Z98" s="56"/>
      <c r="AA98" s="57"/>
    </row>
    <row r="99" spans="22:27">
      <c r="V99" s="54"/>
      <c r="Y99" s="56"/>
      <c r="Z99" s="56"/>
      <c r="AA99" s="57"/>
    </row>
    <row r="100" spans="22:27">
      <c r="V100" s="54"/>
      <c r="Y100" s="56"/>
      <c r="Z100" s="56"/>
      <c r="AA100" s="57"/>
    </row>
    <row r="101" spans="22:27">
      <c r="V101" s="54"/>
      <c r="Y101" s="56"/>
      <c r="Z101" s="56"/>
      <c r="AA101" s="57"/>
    </row>
    <row r="102" spans="22:27">
      <c r="V102" s="54"/>
      <c r="Y102" s="56"/>
      <c r="Z102" s="56"/>
      <c r="AA102" s="57"/>
    </row>
    <row r="103" spans="22:27">
      <c r="V103" s="54"/>
      <c r="Y103" s="56"/>
      <c r="Z103" s="56"/>
      <c r="AA103" s="57"/>
    </row>
    <row r="104" spans="22:27">
      <c r="V104" s="54"/>
      <c r="Y104" s="56"/>
      <c r="Z104" s="56"/>
      <c r="AA104" s="57"/>
    </row>
    <row r="105" spans="22:27">
      <c r="V105" s="54"/>
      <c r="Y105" s="56"/>
      <c r="Z105" s="56"/>
      <c r="AA105" s="57"/>
    </row>
    <row r="106" spans="22:27">
      <c r="V106" s="54"/>
      <c r="Y106" s="56"/>
      <c r="Z106" s="56"/>
      <c r="AA106" s="57"/>
    </row>
    <row r="107" spans="22:27">
      <c r="V107" s="54"/>
      <c r="Y107" s="56"/>
      <c r="Z107" s="56"/>
      <c r="AA107" s="57"/>
    </row>
    <row r="108" spans="22:27">
      <c r="V108" s="54"/>
      <c r="Y108" s="56"/>
      <c r="Z108" s="56"/>
      <c r="AA108" s="57"/>
    </row>
    <row r="109" spans="22:27">
      <c r="V109" s="54"/>
      <c r="Y109" s="56"/>
      <c r="Z109" s="56"/>
      <c r="AA109" s="57"/>
    </row>
    <row r="110" spans="22:27">
      <c r="V110" s="54"/>
      <c r="Y110" s="56"/>
      <c r="Z110" s="56"/>
      <c r="AA110" s="57"/>
    </row>
    <row r="111" spans="22:27">
      <c r="V111" s="54"/>
      <c r="Y111" s="56"/>
      <c r="Z111" s="56"/>
      <c r="AA111" s="57"/>
    </row>
    <row r="112" spans="22:27">
      <c r="V112" s="54"/>
      <c r="Y112" s="56"/>
      <c r="Z112" s="56"/>
      <c r="AA112" s="57"/>
    </row>
    <row r="113" spans="22:27">
      <c r="V113" s="54"/>
      <c r="Y113" s="56"/>
      <c r="Z113" s="56"/>
      <c r="AA113" s="57"/>
    </row>
    <row r="114" spans="22:27">
      <c r="V114" s="54"/>
      <c r="Y114" s="56"/>
      <c r="Z114" s="56"/>
      <c r="AA114" s="57"/>
    </row>
    <row r="115" spans="22:27">
      <c r="V115" s="54"/>
      <c r="Y115" s="56"/>
      <c r="Z115" s="56"/>
      <c r="AA115" s="57"/>
    </row>
    <row r="116" spans="22:27">
      <c r="V116" s="54"/>
      <c r="Y116" s="56"/>
      <c r="Z116" s="56"/>
      <c r="AA116" s="57"/>
    </row>
    <row r="117" spans="22:27">
      <c r="V117" s="54"/>
      <c r="Y117" s="56"/>
      <c r="Z117" s="56"/>
      <c r="AA117" s="57"/>
    </row>
    <row r="118" spans="22:27">
      <c r="V118" s="54"/>
      <c r="Y118" s="56"/>
      <c r="Z118" s="56"/>
      <c r="AA118" s="57"/>
    </row>
    <row r="119" spans="22:27">
      <c r="V119" s="54"/>
      <c r="Y119" s="56"/>
      <c r="Z119" s="56"/>
      <c r="AA119" s="57"/>
    </row>
    <row r="120" spans="22:27">
      <c r="V120" s="54"/>
      <c r="Y120" s="56"/>
      <c r="Z120" s="56"/>
      <c r="AA120" s="57"/>
    </row>
    <row r="121" spans="22:27">
      <c r="V121" s="54"/>
      <c r="Y121" s="56"/>
      <c r="Z121" s="56"/>
      <c r="AA121" s="57"/>
    </row>
    <row r="122" spans="22:27">
      <c r="V122" s="54"/>
      <c r="Y122" s="56"/>
      <c r="Z122" s="56"/>
      <c r="AA122" s="57"/>
    </row>
    <row r="123" spans="22:27">
      <c r="V123" s="54"/>
      <c r="Y123" s="56"/>
      <c r="Z123" s="56"/>
      <c r="AA123" s="57"/>
    </row>
    <row r="124" spans="22:27">
      <c r="V124" s="54"/>
      <c r="Y124" s="56"/>
      <c r="Z124" s="56"/>
      <c r="AA124" s="57"/>
    </row>
    <row r="125" spans="22:27">
      <c r="V125" s="54"/>
      <c r="Y125" s="56"/>
      <c r="Z125" s="56"/>
      <c r="AA125" s="57"/>
    </row>
    <row r="126" spans="22:27">
      <c r="V126" s="54"/>
      <c r="Y126" s="56"/>
      <c r="Z126" s="56"/>
      <c r="AA126" s="57"/>
    </row>
    <row r="127" spans="22:27">
      <c r="V127" s="54"/>
      <c r="Y127" s="56"/>
      <c r="Z127" s="56"/>
      <c r="AA127" s="57"/>
    </row>
    <row r="128" spans="22:27">
      <c r="V128" s="54"/>
      <c r="Y128" s="56"/>
      <c r="Z128" s="56"/>
      <c r="AA128" s="57"/>
    </row>
    <row r="129" spans="22:27">
      <c r="V129" s="54"/>
      <c r="Y129" s="56"/>
      <c r="Z129" s="56"/>
      <c r="AA129" s="57"/>
    </row>
    <row r="130" spans="22:27">
      <c r="V130" s="54"/>
      <c r="Y130" s="56"/>
      <c r="Z130" s="56"/>
      <c r="AA130" s="57"/>
    </row>
    <row r="131" spans="22:27">
      <c r="V131" s="54"/>
      <c r="Y131" s="56"/>
      <c r="Z131" s="56"/>
      <c r="AA131" s="57"/>
    </row>
    <row r="132" spans="22:27">
      <c r="V132" s="54"/>
      <c r="Y132" s="56"/>
      <c r="Z132" s="56"/>
      <c r="AA132" s="57"/>
    </row>
    <row r="133" spans="22:27">
      <c r="V133" s="54"/>
      <c r="Y133" s="56"/>
      <c r="Z133" s="56"/>
      <c r="AA133" s="57"/>
    </row>
    <row r="134" spans="22:27">
      <c r="V134" s="54"/>
      <c r="Y134" s="56"/>
      <c r="Z134" s="56"/>
      <c r="AA134" s="57"/>
    </row>
    <row r="135" spans="22:27">
      <c r="V135" s="54"/>
      <c r="Y135" s="56"/>
      <c r="Z135" s="56"/>
      <c r="AA135" s="57"/>
    </row>
    <row r="136" spans="22:27">
      <c r="V136" s="54"/>
      <c r="Y136" s="56"/>
      <c r="Z136" s="56"/>
      <c r="AA136" s="57"/>
    </row>
    <row r="137" spans="22:27">
      <c r="V137" s="54"/>
      <c r="Y137" s="56"/>
      <c r="Z137" s="56"/>
      <c r="AA137" s="57"/>
    </row>
    <row r="138" spans="22:27">
      <c r="V138" s="54"/>
      <c r="Y138" s="56"/>
      <c r="Z138" s="56"/>
      <c r="AA138" s="57"/>
    </row>
    <row r="139" spans="22:27">
      <c r="V139" s="54"/>
      <c r="Y139" s="56"/>
      <c r="Z139" s="56"/>
      <c r="AA139" s="57"/>
    </row>
    <row r="140" spans="22:27">
      <c r="V140" s="54"/>
      <c r="Y140" s="56"/>
      <c r="Z140" s="56"/>
      <c r="AA140" s="57"/>
    </row>
    <row r="141" spans="22:27">
      <c r="V141" s="54"/>
      <c r="Y141" s="56"/>
      <c r="Z141" s="56"/>
      <c r="AA141" s="57"/>
    </row>
    <row r="142" spans="22:27">
      <c r="V142" s="54"/>
      <c r="Y142" s="56"/>
      <c r="Z142" s="56"/>
      <c r="AA142" s="57"/>
    </row>
    <row r="143" spans="22:27">
      <c r="V143" s="54"/>
      <c r="Y143" s="56"/>
      <c r="Z143" s="56"/>
      <c r="AA143" s="57"/>
    </row>
    <row r="144" spans="22:27">
      <c r="V144" s="54"/>
      <c r="Y144" s="56"/>
      <c r="Z144" s="56"/>
      <c r="AA144" s="57"/>
    </row>
    <row r="145" spans="22:27">
      <c r="V145" s="54"/>
      <c r="Y145" s="56"/>
      <c r="Z145" s="56"/>
      <c r="AA145" s="57"/>
    </row>
    <row r="146" spans="22:27">
      <c r="V146" s="54"/>
      <c r="Y146" s="56"/>
      <c r="Z146" s="56"/>
      <c r="AA146" s="57"/>
    </row>
    <row r="147" spans="22:27">
      <c r="V147" s="54"/>
      <c r="Y147" s="56"/>
      <c r="Z147" s="56"/>
      <c r="AA147" s="57"/>
    </row>
    <row r="148" spans="22:27">
      <c r="V148" s="54"/>
      <c r="Y148" s="56"/>
      <c r="Z148" s="56"/>
      <c r="AA148" s="57"/>
    </row>
    <row r="149" spans="22:27">
      <c r="V149" s="54"/>
      <c r="Y149" s="56"/>
      <c r="Z149" s="56"/>
      <c r="AA149" s="57"/>
    </row>
    <row r="150" spans="22:27">
      <c r="V150" s="54"/>
      <c r="Y150" s="56"/>
      <c r="Z150" s="56"/>
      <c r="AA150" s="57"/>
    </row>
    <row r="151" spans="22:27">
      <c r="V151" s="54"/>
      <c r="Y151" s="56"/>
      <c r="Z151" s="56"/>
      <c r="AA151" s="57"/>
    </row>
    <row r="152" spans="22:27">
      <c r="V152" s="54"/>
      <c r="Y152" s="56"/>
      <c r="Z152" s="56"/>
      <c r="AA152" s="57"/>
    </row>
    <row r="153" spans="22:27">
      <c r="V153" s="54"/>
      <c r="Y153" s="56"/>
      <c r="Z153" s="56"/>
      <c r="AA153" s="57"/>
    </row>
    <row r="154" spans="22:27">
      <c r="V154" s="54"/>
      <c r="Y154" s="56"/>
      <c r="Z154" s="56"/>
      <c r="AA154" s="57"/>
    </row>
    <row r="155" spans="22:27">
      <c r="V155" s="54"/>
      <c r="Y155" s="56"/>
      <c r="Z155" s="56"/>
      <c r="AA155" s="57"/>
    </row>
    <row r="156" spans="22:27">
      <c r="V156" s="54"/>
      <c r="Y156" s="56"/>
      <c r="Z156" s="56"/>
      <c r="AA156" s="57"/>
    </row>
    <row r="157" spans="22:27">
      <c r="V157" s="54"/>
      <c r="Y157" s="56"/>
      <c r="Z157" s="56"/>
      <c r="AA157" s="57"/>
    </row>
    <row r="158" spans="22:27">
      <c r="V158" s="54"/>
      <c r="Y158" s="56"/>
      <c r="Z158" s="56"/>
      <c r="AA158" s="57"/>
    </row>
    <row r="159" spans="22:27">
      <c r="V159" s="54"/>
      <c r="Y159" s="56"/>
      <c r="Z159" s="56"/>
      <c r="AA159" s="57"/>
    </row>
    <row r="160" spans="22:27">
      <c r="V160" s="54"/>
      <c r="Y160" s="56"/>
      <c r="Z160" s="56"/>
      <c r="AA160" s="57"/>
    </row>
    <row r="161" spans="22:27">
      <c r="V161" s="54"/>
      <c r="Y161" s="56"/>
      <c r="Z161" s="56"/>
      <c r="AA161" s="57"/>
    </row>
    <row r="162" spans="22:27">
      <c r="V162" s="54"/>
      <c r="Y162" s="56"/>
      <c r="Z162" s="56"/>
      <c r="AA162" s="57"/>
    </row>
    <row r="163" spans="22:27">
      <c r="V163" s="54"/>
      <c r="Y163" s="56"/>
      <c r="Z163" s="56"/>
      <c r="AA163" s="57"/>
    </row>
    <row r="164" spans="22:27">
      <c r="V164" s="54"/>
      <c r="Y164" s="56"/>
      <c r="Z164" s="56"/>
      <c r="AA164" s="57"/>
    </row>
    <row r="165" spans="22:27">
      <c r="V165" s="54"/>
      <c r="Y165" s="56"/>
      <c r="Z165" s="56"/>
      <c r="AA165" s="57"/>
    </row>
    <row r="166" spans="22:27">
      <c r="V166" s="54"/>
      <c r="Y166" s="56"/>
      <c r="Z166" s="56"/>
      <c r="AA166" s="57"/>
    </row>
    <row r="167" spans="22:27">
      <c r="V167" s="54"/>
      <c r="Y167" s="56"/>
      <c r="Z167" s="56"/>
      <c r="AA167" s="57"/>
    </row>
    <row r="168" spans="22:27">
      <c r="V168" s="54"/>
      <c r="Y168" s="56"/>
      <c r="Z168" s="56"/>
      <c r="AA168" s="57"/>
    </row>
    <row r="169" spans="22:27">
      <c r="V169" s="54"/>
      <c r="Y169" s="56"/>
      <c r="Z169" s="56"/>
      <c r="AA169" s="57"/>
    </row>
    <row r="170" spans="22:27">
      <c r="V170" s="54"/>
      <c r="Y170" s="56"/>
      <c r="Z170" s="56"/>
      <c r="AA170" s="57"/>
    </row>
    <row r="171" spans="22:27">
      <c r="V171" s="54"/>
      <c r="Y171" s="56"/>
      <c r="Z171" s="56"/>
      <c r="AA171" s="57"/>
    </row>
    <row r="172" spans="22:27">
      <c r="V172" s="54"/>
      <c r="Y172" s="56"/>
      <c r="Z172" s="56"/>
      <c r="AA172" s="57"/>
    </row>
    <row r="173" spans="22:27">
      <c r="V173" s="54"/>
      <c r="Y173" s="56"/>
      <c r="Z173" s="56"/>
      <c r="AA173" s="57"/>
    </row>
    <row r="174" spans="22:27">
      <c r="V174" s="54"/>
      <c r="Y174" s="56"/>
      <c r="Z174" s="56"/>
      <c r="AA174" s="57"/>
    </row>
    <row r="175" spans="22:27">
      <c r="V175" s="54"/>
      <c r="Y175" s="56"/>
      <c r="Z175" s="56"/>
      <c r="AA175" s="57"/>
    </row>
    <row r="176" spans="22:27">
      <c r="V176" s="54"/>
      <c r="Y176" s="56"/>
      <c r="Z176" s="56"/>
      <c r="AA176" s="57"/>
    </row>
    <row r="177" spans="22:27">
      <c r="V177" s="54"/>
      <c r="Y177" s="56"/>
      <c r="Z177" s="56"/>
      <c r="AA177" s="57"/>
    </row>
    <row r="178" spans="22:27">
      <c r="V178" s="54"/>
      <c r="Y178" s="56"/>
      <c r="Z178" s="56"/>
      <c r="AA178" s="57"/>
    </row>
    <row r="179" spans="22:27">
      <c r="V179" s="54"/>
      <c r="Y179" s="56"/>
      <c r="Z179" s="56"/>
      <c r="AA179" s="57"/>
    </row>
    <row r="180" spans="22:27">
      <c r="V180" s="54"/>
      <c r="Y180" s="56"/>
      <c r="Z180" s="56"/>
      <c r="AA180" s="57"/>
    </row>
    <row r="181" spans="22:27">
      <c r="V181" s="54"/>
      <c r="Y181" s="56"/>
      <c r="Z181" s="56"/>
      <c r="AA181" s="57"/>
    </row>
    <row r="182" spans="22:27">
      <c r="V182" s="54"/>
      <c r="Y182" s="56"/>
      <c r="Z182" s="56"/>
      <c r="AA182" s="57"/>
    </row>
    <row r="183" spans="22:27">
      <c r="V183" s="54"/>
      <c r="Y183" s="56"/>
      <c r="Z183" s="56"/>
      <c r="AA183" s="57"/>
    </row>
    <row r="184" spans="22:27">
      <c r="V184" s="54"/>
      <c r="Y184" s="56"/>
      <c r="Z184" s="56"/>
      <c r="AA184" s="57"/>
    </row>
    <row r="185" spans="22:27">
      <c r="V185" s="54"/>
      <c r="Y185" s="56"/>
      <c r="Z185" s="56"/>
      <c r="AA185" s="57"/>
    </row>
    <row r="186" spans="22:27">
      <c r="V186" s="54"/>
      <c r="Y186" s="56"/>
      <c r="Z186" s="56"/>
      <c r="AA186" s="57"/>
    </row>
    <row r="187" spans="22:27">
      <c r="V187" s="54"/>
      <c r="Y187" s="56"/>
      <c r="Z187" s="56"/>
      <c r="AA187" s="57"/>
    </row>
    <row r="188" spans="22:27">
      <c r="V188" s="54"/>
      <c r="Y188" s="56"/>
      <c r="Z188" s="56"/>
      <c r="AA188" s="57"/>
    </row>
    <row r="189" spans="22:27">
      <c r="V189" s="54"/>
      <c r="Y189" s="56"/>
      <c r="Z189" s="56"/>
      <c r="AA189" s="57"/>
    </row>
    <row r="190" spans="22:27">
      <c r="V190" s="54"/>
      <c r="Y190" s="56"/>
      <c r="Z190" s="56"/>
      <c r="AA190" s="57"/>
    </row>
    <row r="191" spans="22:27">
      <c r="V191" s="54"/>
      <c r="Y191" s="56"/>
      <c r="Z191" s="56"/>
      <c r="AA191" s="57"/>
    </row>
    <row r="192" spans="22:27">
      <c r="V192" s="54"/>
      <c r="Y192" s="56"/>
      <c r="Z192" s="56"/>
      <c r="AA192" s="57"/>
    </row>
    <row r="193" spans="22:27">
      <c r="V193" s="54"/>
      <c r="Y193" s="56"/>
      <c r="Z193" s="56"/>
      <c r="AA193" s="57"/>
    </row>
    <row r="194" spans="22:27">
      <c r="V194" s="54"/>
      <c r="Y194" s="56"/>
      <c r="Z194" s="56"/>
      <c r="AA194" s="57"/>
    </row>
    <row r="195" spans="22:27">
      <c r="V195" s="54"/>
      <c r="Y195" s="56"/>
      <c r="Z195" s="56"/>
      <c r="AA195" s="57"/>
    </row>
    <row r="196" spans="22:27">
      <c r="V196" s="54"/>
      <c r="Y196" s="56"/>
      <c r="Z196" s="56"/>
      <c r="AA196" s="57"/>
    </row>
    <row r="197" spans="22:27">
      <c r="V197" s="54"/>
      <c r="Y197" s="56"/>
      <c r="Z197" s="56"/>
      <c r="AA197" s="57"/>
    </row>
    <row r="198" spans="22:27">
      <c r="V198" s="54"/>
      <c r="Y198" s="56"/>
      <c r="Z198" s="56"/>
      <c r="AA198" s="57"/>
    </row>
    <row r="199" spans="22:27">
      <c r="V199" s="54"/>
      <c r="Y199" s="56"/>
      <c r="Z199" s="56"/>
      <c r="AA199" s="57"/>
    </row>
    <row r="200" spans="22:27">
      <c r="V200" s="54"/>
      <c r="Y200" s="56"/>
      <c r="Z200" s="56"/>
      <c r="AA200" s="57"/>
    </row>
    <row r="201" spans="22:27">
      <c r="V201" s="54"/>
      <c r="Y201" s="56"/>
      <c r="Z201" s="56"/>
      <c r="AA201" s="57"/>
    </row>
    <row r="202" spans="22:27">
      <c r="V202" s="54"/>
      <c r="Y202" s="56"/>
      <c r="Z202" s="56"/>
      <c r="AA202" s="57"/>
    </row>
    <row r="203" spans="22:27">
      <c r="V203" s="54"/>
      <c r="Y203" s="56"/>
      <c r="Z203" s="56"/>
      <c r="AA203" s="57"/>
    </row>
    <row r="204" spans="22:27">
      <c r="V204" s="54"/>
      <c r="Y204" s="56"/>
      <c r="Z204" s="56"/>
      <c r="AA204" s="57"/>
    </row>
    <row r="205" spans="22:27">
      <c r="V205" s="54"/>
      <c r="Y205" s="56"/>
      <c r="Z205" s="56"/>
      <c r="AA205" s="57"/>
    </row>
    <row r="206" spans="22:27">
      <c r="V206" s="54"/>
      <c r="Y206" s="56"/>
      <c r="Z206" s="56"/>
      <c r="AA206" s="57"/>
    </row>
    <row r="207" spans="22:27">
      <c r="V207" s="54"/>
      <c r="Y207" s="56"/>
      <c r="Z207" s="56"/>
      <c r="AA207" s="57"/>
    </row>
    <row r="208" spans="22:27">
      <c r="V208" s="54"/>
      <c r="Y208" s="56"/>
      <c r="Z208" s="56"/>
      <c r="AA208" s="57"/>
    </row>
    <row r="209" spans="22:27">
      <c r="V209" s="54"/>
      <c r="Y209" s="56"/>
      <c r="Z209" s="56"/>
      <c r="AA209" s="57"/>
    </row>
    <row r="210" spans="22:27">
      <c r="V210" s="54"/>
      <c r="Y210" s="56"/>
      <c r="Z210" s="56"/>
      <c r="AA210" s="57"/>
    </row>
    <row r="211" spans="22:27">
      <c r="V211" s="54"/>
      <c r="Y211" s="56"/>
      <c r="Z211" s="56"/>
      <c r="AA211" s="57"/>
    </row>
    <row r="212" spans="22:27">
      <c r="V212" s="54"/>
      <c r="Y212" s="56"/>
      <c r="Z212" s="56"/>
      <c r="AA212" s="57"/>
    </row>
    <row r="213" spans="22:27">
      <c r="V213" s="54"/>
      <c r="Y213" s="56"/>
      <c r="Z213" s="56"/>
      <c r="AA213" s="57"/>
    </row>
    <row r="214" spans="22:27">
      <c r="V214" s="54"/>
      <c r="Y214" s="56"/>
      <c r="Z214" s="56"/>
      <c r="AA214" s="57"/>
    </row>
    <row r="215" spans="22:27">
      <c r="V215" s="54"/>
      <c r="Y215" s="56"/>
      <c r="Z215" s="56"/>
      <c r="AA215" s="57"/>
    </row>
    <row r="216" spans="22:27">
      <c r="V216" s="54"/>
      <c r="Y216" s="56"/>
      <c r="Z216" s="56"/>
      <c r="AA216" s="57"/>
    </row>
    <row r="217" spans="22:27">
      <c r="V217" s="54"/>
      <c r="Y217" s="56"/>
      <c r="Z217" s="56"/>
      <c r="AA217" s="57"/>
    </row>
    <row r="218" spans="22:27">
      <c r="V218" s="54"/>
      <c r="Y218" s="56"/>
      <c r="Z218" s="56"/>
      <c r="AA218" s="57"/>
    </row>
    <row r="219" spans="22:27">
      <c r="V219" s="54"/>
      <c r="Y219" s="56"/>
      <c r="Z219" s="56"/>
      <c r="AA219" s="57"/>
    </row>
    <row r="220" spans="22:27">
      <c r="V220" s="54"/>
      <c r="Y220" s="56"/>
      <c r="Z220" s="56"/>
      <c r="AA220" s="57"/>
    </row>
    <row r="221" spans="22:27">
      <c r="V221" s="54"/>
      <c r="Y221" s="56"/>
      <c r="Z221" s="56"/>
      <c r="AA221" s="57"/>
    </row>
    <row r="222" spans="22:27">
      <c r="V222" s="54"/>
      <c r="Y222" s="56"/>
      <c r="Z222" s="56"/>
      <c r="AA222" s="57"/>
    </row>
    <row r="223" spans="22:27">
      <c r="V223" s="54"/>
      <c r="Y223" s="56"/>
      <c r="Z223" s="56"/>
      <c r="AA223" s="57"/>
    </row>
    <row r="224" spans="22:27">
      <c r="V224" s="54"/>
      <c r="Y224" s="56"/>
      <c r="Z224" s="56"/>
      <c r="AA224" s="57"/>
    </row>
    <row r="225" spans="22:27">
      <c r="V225" s="54"/>
      <c r="Y225" s="56"/>
      <c r="Z225" s="56"/>
      <c r="AA225" s="57"/>
    </row>
    <row r="226" spans="22:27">
      <c r="V226" s="54"/>
      <c r="Y226" s="56"/>
      <c r="Z226" s="56"/>
      <c r="AA226" s="57"/>
    </row>
    <row r="227" spans="22:27">
      <c r="V227" s="54"/>
      <c r="Y227" s="56"/>
      <c r="Z227" s="56"/>
      <c r="AA227" s="57"/>
    </row>
    <row r="228" spans="22:27">
      <c r="V228" s="54"/>
      <c r="Y228" s="56"/>
      <c r="Z228" s="56"/>
      <c r="AA228" s="57"/>
    </row>
    <row r="229" spans="22:27">
      <c r="V229" s="54"/>
      <c r="Y229" s="56"/>
      <c r="Z229" s="56"/>
      <c r="AA229" s="57"/>
    </row>
    <row r="230" spans="22:27">
      <c r="V230" s="54"/>
      <c r="Y230" s="56"/>
      <c r="Z230" s="56"/>
      <c r="AA230" s="57"/>
    </row>
    <row r="231" spans="22:27">
      <c r="V231" s="54"/>
      <c r="Y231" s="56"/>
      <c r="Z231" s="56"/>
      <c r="AA231" s="57"/>
    </row>
    <row r="232" spans="22:27">
      <c r="V232" s="54"/>
      <c r="Y232" s="56"/>
      <c r="Z232" s="56"/>
      <c r="AA232" s="57"/>
    </row>
    <row r="233" spans="22:27">
      <c r="V233" s="54"/>
      <c r="Y233" s="56"/>
      <c r="Z233" s="56"/>
      <c r="AA233" s="57"/>
    </row>
    <row r="234" spans="22:27">
      <c r="V234" s="54"/>
      <c r="Y234" s="56"/>
      <c r="Z234" s="56"/>
      <c r="AA234" s="57"/>
    </row>
    <row r="235" spans="22:27">
      <c r="V235" s="54"/>
      <c r="Y235" s="56"/>
      <c r="Z235" s="56"/>
      <c r="AA235" s="57"/>
    </row>
    <row r="236" spans="22:27">
      <c r="V236" s="54"/>
      <c r="Y236" s="56"/>
      <c r="Z236" s="56"/>
      <c r="AA236" s="57"/>
    </row>
    <row r="237" spans="22:27">
      <c r="V237" s="54"/>
      <c r="Y237" s="56"/>
      <c r="Z237" s="56"/>
      <c r="AA237" s="57"/>
    </row>
    <row r="238" spans="22:27">
      <c r="V238" s="54"/>
      <c r="Y238" s="56"/>
      <c r="Z238" s="56"/>
      <c r="AA238" s="57"/>
    </row>
    <row r="239" spans="22:27">
      <c r="V239" s="54"/>
      <c r="Y239" s="56"/>
      <c r="Z239" s="56"/>
      <c r="AA239" s="57"/>
    </row>
    <row r="240" spans="22:27">
      <c r="V240" s="54"/>
      <c r="Y240" s="56"/>
      <c r="Z240" s="56"/>
      <c r="AA240" s="57"/>
    </row>
    <row r="241" spans="22:27">
      <c r="V241" s="54"/>
      <c r="Y241" s="56"/>
      <c r="Z241" s="56"/>
      <c r="AA241" s="57"/>
    </row>
    <row r="242" spans="22:27">
      <c r="V242" s="54"/>
      <c r="Y242" s="56"/>
      <c r="Z242" s="56"/>
      <c r="AA242" s="57"/>
    </row>
    <row r="243" spans="22:27">
      <c r="V243" s="54"/>
      <c r="Y243" s="56"/>
      <c r="Z243" s="56"/>
      <c r="AA243" s="57"/>
    </row>
    <row r="244" spans="22:27">
      <c r="V244" s="54"/>
      <c r="Y244" s="56"/>
      <c r="Z244" s="56"/>
      <c r="AA244" s="57"/>
    </row>
    <row r="245" spans="22:27">
      <c r="V245" s="54"/>
      <c r="Y245" s="56"/>
      <c r="Z245" s="56"/>
      <c r="AA245" s="57"/>
    </row>
    <row r="246" spans="22:27">
      <c r="V246" s="54"/>
      <c r="Y246" s="56"/>
      <c r="Z246" s="56"/>
      <c r="AA246" s="57"/>
    </row>
    <row r="247" spans="22:27">
      <c r="V247" s="54"/>
      <c r="Y247" s="56"/>
      <c r="Z247" s="56"/>
      <c r="AA247" s="57"/>
    </row>
    <row r="248" spans="22:27">
      <c r="V248" s="54"/>
      <c r="Y248" s="56"/>
      <c r="Z248" s="56"/>
      <c r="AA248" s="57"/>
    </row>
    <row r="249" spans="22:27">
      <c r="V249" s="54"/>
      <c r="Y249" s="56"/>
      <c r="Z249" s="56"/>
      <c r="AA249" s="57"/>
    </row>
    <row r="250" spans="22:27">
      <c r="V250" s="54"/>
      <c r="Y250" s="56"/>
      <c r="Z250" s="56"/>
      <c r="AA250" s="57"/>
    </row>
    <row r="251" spans="22:27">
      <c r="V251" s="54"/>
      <c r="Y251" s="56"/>
      <c r="Z251" s="56"/>
      <c r="AA251" s="57"/>
    </row>
    <row r="252" spans="22:27">
      <c r="V252" s="54"/>
      <c r="Y252" s="56"/>
      <c r="Z252" s="56"/>
      <c r="AA252" s="57"/>
    </row>
    <row r="253" spans="22:27">
      <c r="V253" s="54"/>
      <c r="Y253" s="56"/>
      <c r="Z253" s="56"/>
      <c r="AA253" s="57"/>
    </row>
    <row r="254" spans="22:27">
      <c r="V254" s="54"/>
      <c r="Y254" s="56"/>
      <c r="Z254" s="56"/>
      <c r="AA254" s="57"/>
    </row>
    <row r="255" spans="22:27">
      <c r="V255" s="54"/>
      <c r="Y255" s="56"/>
      <c r="Z255" s="56"/>
      <c r="AA255" s="57"/>
    </row>
    <row r="256" spans="22:27">
      <c r="V256" s="54"/>
      <c r="Y256" s="56"/>
      <c r="Z256" s="56"/>
      <c r="AA256" s="57"/>
    </row>
    <row r="257" spans="22:27">
      <c r="V257" s="54"/>
      <c r="Y257" s="56"/>
      <c r="Z257" s="56"/>
      <c r="AA257" s="57"/>
    </row>
    <row r="258" spans="22:27">
      <c r="V258" s="54"/>
      <c r="Y258" s="56"/>
      <c r="Z258" s="56"/>
      <c r="AA258" s="57"/>
    </row>
    <row r="259" spans="22:27">
      <c r="V259" s="54"/>
      <c r="Y259" s="56"/>
      <c r="Z259" s="56"/>
      <c r="AA259" s="57"/>
    </row>
    <row r="260" spans="22:27">
      <c r="V260" s="54"/>
      <c r="Y260" s="56"/>
      <c r="Z260" s="56"/>
      <c r="AA260" s="57"/>
    </row>
    <row r="261" spans="22:27">
      <c r="V261" s="54"/>
      <c r="Y261" s="56"/>
      <c r="Z261" s="56"/>
      <c r="AA261" s="57"/>
    </row>
    <row r="262" spans="22:27">
      <c r="V262" s="54"/>
      <c r="Y262" s="56"/>
      <c r="Z262" s="56"/>
      <c r="AA262" s="57"/>
    </row>
    <row r="263" spans="22:27">
      <c r="V263" s="54"/>
      <c r="Y263" s="56"/>
      <c r="Z263" s="56"/>
      <c r="AA263" s="57"/>
    </row>
    <row r="264" spans="22:27">
      <c r="V264" s="54"/>
      <c r="Y264" s="56"/>
      <c r="Z264" s="56"/>
      <c r="AA264" s="57"/>
    </row>
    <row r="265" spans="22:27">
      <c r="V265" s="54"/>
      <c r="Y265" s="56"/>
      <c r="Z265" s="56"/>
      <c r="AA265" s="57"/>
    </row>
    <row r="266" spans="22:27">
      <c r="V266" s="54"/>
      <c r="Y266" s="56"/>
      <c r="Z266" s="56"/>
      <c r="AA266" s="57"/>
    </row>
    <row r="267" spans="22:27">
      <c r="V267" s="54"/>
      <c r="Y267" s="56"/>
      <c r="Z267" s="56"/>
      <c r="AA267" s="57"/>
    </row>
    <row r="268" spans="22:27">
      <c r="V268" s="54"/>
      <c r="Y268" s="56"/>
      <c r="Z268" s="56"/>
      <c r="AA268" s="57"/>
    </row>
    <row r="269" spans="22:27">
      <c r="V269" s="54"/>
      <c r="Y269" s="56"/>
      <c r="Z269" s="56"/>
      <c r="AA269" s="57"/>
    </row>
    <row r="270" spans="22:27">
      <c r="V270" s="54"/>
      <c r="Y270" s="56"/>
      <c r="Z270" s="56"/>
      <c r="AA270" s="57"/>
    </row>
    <row r="271" spans="22:27">
      <c r="V271" s="54"/>
      <c r="Y271" s="56"/>
      <c r="Z271" s="56"/>
      <c r="AA271" s="57"/>
    </row>
    <row r="272" spans="22:27">
      <c r="V272" s="54"/>
      <c r="Y272" s="56"/>
      <c r="Z272" s="56"/>
      <c r="AA272" s="57"/>
    </row>
    <row r="273" spans="22:27">
      <c r="V273" s="54"/>
      <c r="Y273" s="56"/>
      <c r="Z273" s="56"/>
      <c r="AA273" s="57"/>
    </row>
    <row r="274" spans="22:27">
      <c r="V274" s="54"/>
      <c r="Y274" s="56"/>
      <c r="Z274" s="56"/>
      <c r="AA274" s="57"/>
    </row>
    <row r="275" spans="22:27">
      <c r="V275" s="54"/>
      <c r="Y275" s="56"/>
      <c r="Z275" s="56"/>
      <c r="AA275" s="57"/>
    </row>
    <row r="276" spans="22:27">
      <c r="V276" s="54"/>
      <c r="Y276" s="56"/>
      <c r="Z276" s="56"/>
      <c r="AA276" s="57"/>
    </row>
    <row r="277" spans="22:27">
      <c r="V277" s="54"/>
      <c r="Y277" s="56"/>
      <c r="Z277" s="56"/>
      <c r="AA277" s="57"/>
    </row>
    <row r="278" spans="22:27">
      <c r="V278" s="54"/>
      <c r="Y278" s="56"/>
      <c r="Z278" s="56"/>
      <c r="AA278" s="57"/>
    </row>
    <row r="279" spans="22:27">
      <c r="V279" s="54"/>
      <c r="Y279" s="56"/>
      <c r="Z279" s="56"/>
      <c r="AA279" s="57"/>
    </row>
    <row r="280" spans="22:27">
      <c r="V280" s="54"/>
      <c r="Y280" s="56"/>
      <c r="Z280" s="56"/>
      <c r="AA280" s="57"/>
    </row>
    <row r="281" spans="22:27">
      <c r="V281" s="54"/>
      <c r="Y281" s="56"/>
      <c r="Z281" s="56"/>
      <c r="AA281" s="57"/>
    </row>
    <row r="282" spans="22:27">
      <c r="V282" s="54"/>
      <c r="Y282" s="56"/>
      <c r="Z282" s="56"/>
      <c r="AA282" s="57"/>
    </row>
    <row r="283" spans="22:27">
      <c r="V283" s="54"/>
      <c r="Y283" s="56"/>
      <c r="Z283" s="56"/>
      <c r="AA283" s="57"/>
    </row>
    <row r="284" spans="22:27">
      <c r="V284" s="54"/>
      <c r="Y284" s="56"/>
      <c r="Z284" s="56"/>
      <c r="AA284" s="57"/>
    </row>
    <row r="285" spans="22:27">
      <c r="V285" s="54"/>
      <c r="Y285" s="56"/>
      <c r="Z285" s="56"/>
      <c r="AA285" s="57"/>
    </row>
    <row r="286" spans="22:27">
      <c r="V286" s="54"/>
      <c r="Y286" s="56"/>
      <c r="Z286" s="56"/>
      <c r="AA286" s="57"/>
    </row>
    <row r="287" spans="22:27">
      <c r="V287" s="54"/>
      <c r="Y287" s="56"/>
      <c r="Z287" s="56"/>
      <c r="AA287" s="57"/>
    </row>
    <row r="288" spans="22:27">
      <c r="V288" s="54"/>
      <c r="Y288" s="56"/>
      <c r="Z288" s="56"/>
      <c r="AA288" s="57"/>
    </row>
    <row r="289" spans="22:27">
      <c r="V289" s="54"/>
      <c r="Y289" s="56"/>
      <c r="Z289" s="56"/>
      <c r="AA289" s="57"/>
    </row>
    <row r="290" spans="22:27">
      <c r="V290" s="54"/>
      <c r="Y290" s="56"/>
      <c r="Z290" s="56"/>
      <c r="AA290" s="57"/>
    </row>
    <row r="291" spans="22:27">
      <c r="V291" s="54"/>
      <c r="Y291" s="56"/>
      <c r="Z291" s="56"/>
      <c r="AA291" s="57"/>
    </row>
    <row r="292" spans="22:27">
      <c r="V292" s="54"/>
      <c r="Y292" s="56"/>
      <c r="Z292" s="56"/>
      <c r="AA292" s="57"/>
    </row>
    <row r="293" spans="22:27">
      <c r="V293" s="54"/>
      <c r="Y293" s="56"/>
      <c r="Z293" s="56"/>
      <c r="AA293" s="57"/>
    </row>
    <row r="294" spans="22:27">
      <c r="V294" s="54"/>
      <c r="Y294" s="56"/>
      <c r="Z294" s="56"/>
      <c r="AA294" s="57"/>
    </row>
    <row r="295" spans="22:27">
      <c r="V295" s="54"/>
      <c r="Y295" s="56"/>
      <c r="Z295" s="56"/>
      <c r="AA295" s="57"/>
    </row>
    <row r="296" spans="22:27">
      <c r="V296" s="54"/>
      <c r="Y296" s="56"/>
      <c r="Z296" s="56"/>
      <c r="AA296" s="57"/>
    </row>
    <row r="297" spans="22:27">
      <c r="V297" s="54"/>
      <c r="Y297" s="56"/>
      <c r="Z297" s="56"/>
      <c r="AA297" s="57"/>
    </row>
    <row r="298" spans="22:27">
      <c r="V298" s="54"/>
      <c r="Y298" s="56"/>
      <c r="Z298" s="56"/>
      <c r="AA298" s="57"/>
    </row>
    <row r="299" spans="22:27">
      <c r="V299" s="54"/>
      <c r="Y299" s="56"/>
      <c r="Z299" s="56"/>
      <c r="AA299" s="57"/>
    </row>
    <row r="300" spans="22:27">
      <c r="V300" s="54"/>
      <c r="Y300" s="56"/>
      <c r="Z300" s="56"/>
      <c r="AA300" s="57"/>
    </row>
    <row r="301" spans="22:27">
      <c r="V301" s="54"/>
      <c r="Y301" s="56"/>
      <c r="Z301" s="56"/>
      <c r="AA301" s="57"/>
    </row>
    <row r="302" spans="22:27">
      <c r="V302" s="54"/>
      <c r="Y302" s="56"/>
      <c r="Z302" s="56"/>
      <c r="AA302" s="57"/>
    </row>
    <row r="303" spans="22:27">
      <c r="V303" s="54"/>
      <c r="Y303" s="56"/>
      <c r="Z303" s="56"/>
      <c r="AA303" s="57"/>
    </row>
    <row r="304" spans="22:27">
      <c r="V304" s="54"/>
      <c r="Y304" s="56"/>
      <c r="Z304" s="56"/>
      <c r="AA304" s="57"/>
    </row>
    <row r="305" spans="22:27">
      <c r="V305" s="54"/>
      <c r="Y305" s="56"/>
      <c r="Z305" s="56"/>
      <c r="AA305" s="57"/>
    </row>
    <row r="306" spans="22:27">
      <c r="V306" s="54"/>
      <c r="Y306" s="56"/>
      <c r="Z306" s="56"/>
      <c r="AA306" s="57"/>
    </row>
    <row r="307" spans="22:27">
      <c r="V307" s="54"/>
      <c r="Y307" s="56"/>
      <c r="Z307" s="56"/>
      <c r="AA307" s="57"/>
    </row>
    <row r="308" spans="22:27">
      <c r="V308" s="54"/>
      <c r="Y308" s="56"/>
      <c r="Z308" s="56"/>
      <c r="AA308" s="57"/>
    </row>
    <row r="309" spans="22:27">
      <c r="V309" s="54"/>
      <c r="Y309" s="56"/>
      <c r="Z309" s="56"/>
      <c r="AA309" s="57"/>
    </row>
    <row r="310" spans="22:27">
      <c r="V310" s="54"/>
      <c r="Y310" s="56"/>
      <c r="Z310" s="56"/>
      <c r="AA310" s="57"/>
    </row>
    <row r="311" spans="22:27">
      <c r="V311" s="54"/>
      <c r="Y311" s="56"/>
      <c r="Z311" s="56"/>
      <c r="AA311" s="57"/>
    </row>
    <row r="312" spans="22:27">
      <c r="V312" s="54"/>
      <c r="Y312" s="56"/>
      <c r="Z312" s="56"/>
      <c r="AA312" s="57"/>
    </row>
    <row r="313" spans="22:27">
      <c r="V313" s="54"/>
      <c r="Y313" s="56"/>
      <c r="Z313" s="56"/>
      <c r="AA313" s="57"/>
    </row>
    <row r="314" spans="22:27">
      <c r="V314" s="54"/>
      <c r="Y314" s="56"/>
      <c r="Z314" s="56"/>
      <c r="AA314" s="57"/>
    </row>
    <row r="315" spans="22:27">
      <c r="V315" s="54"/>
      <c r="Y315" s="56"/>
      <c r="Z315" s="56"/>
      <c r="AA315" s="57"/>
    </row>
    <row r="316" spans="22:27">
      <c r="V316" s="54"/>
      <c r="Y316" s="56"/>
      <c r="Z316" s="56"/>
      <c r="AA316" s="57"/>
    </row>
    <row r="317" spans="22:27">
      <c r="V317" s="54"/>
      <c r="Y317" s="56"/>
      <c r="Z317" s="56"/>
      <c r="AA317" s="57"/>
    </row>
    <row r="318" spans="22:27">
      <c r="V318" s="54"/>
      <c r="Y318" s="56"/>
      <c r="Z318" s="56"/>
      <c r="AA318" s="57"/>
    </row>
    <row r="319" spans="22:27">
      <c r="V319" s="54"/>
      <c r="Y319" s="56"/>
      <c r="Z319" s="56"/>
      <c r="AA319" s="57"/>
    </row>
    <row r="320" spans="22:27">
      <c r="V320" s="54"/>
      <c r="Y320" s="56"/>
      <c r="Z320" s="56"/>
      <c r="AA320" s="57"/>
    </row>
    <row r="321" spans="22:27">
      <c r="V321" s="54"/>
      <c r="Y321" s="56"/>
      <c r="Z321" s="56"/>
      <c r="AA321" s="57"/>
    </row>
    <row r="322" spans="22:27">
      <c r="V322" s="54"/>
      <c r="Y322" s="56"/>
      <c r="Z322" s="56"/>
      <c r="AA322" s="57"/>
    </row>
    <row r="323" spans="22:27">
      <c r="V323" s="54"/>
      <c r="Y323" s="56"/>
      <c r="Z323" s="56"/>
      <c r="AA323" s="57"/>
    </row>
    <row r="324" spans="22:27">
      <c r="V324" s="54"/>
      <c r="Y324" s="56"/>
      <c r="Z324" s="56"/>
      <c r="AA324" s="57"/>
    </row>
    <row r="325" spans="22:27">
      <c r="V325" s="54"/>
      <c r="Y325" s="56"/>
      <c r="Z325" s="56"/>
      <c r="AA325" s="57"/>
    </row>
    <row r="326" spans="22:27">
      <c r="V326" s="54"/>
      <c r="Y326" s="56"/>
      <c r="Z326" s="56"/>
      <c r="AA326" s="57"/>
    </row>
    <row r="327" spans="22:27">
      <c r="V327" s="54"/>
      <c r="Y327" s="56"/>
      <c r="Z327" s="56"/>
      <c r="AA327" s="57"/>
    </row>
    <row r="328" spans="22:27">
      <c r="V328" s="54"/>
      <c r="Y328" s="56"/>
      <c r="Z328" s="56"/>
      <c r="AA328" s="57"/>
    </row>
    <row r="329" spans="22:27">
      <c r="V329" s="54"/>
      <c r="Y329" s="56"/>
      <c r="Z329" s="56"/>
      <c r="AA329" s="57"/>
    </row>
    <row r="330" spans="22:27">
      <c r="V330" s="54"/>
      <c r="Y330" s="56"/>
      <c r="Z330" s="56"/>
      <c r="AA330" s="57"/>
    </row>
    <row r="331" spans="22:27">
      <c r="V331" s="54"/>
      <c r="Y331" s="56"/>
      <c r="Z331" s="56"/>
      <c r="AA331" s="57"/>
    </row>
    <row r="332" spans="22:27">
      <c r="V332" s="54"/>
      <c r="Y332" s="56"/>
      <c r="Z332" s="56"/>
      <c r="AA332" s="57"/>
    </row>
    <row r="333" spans="22:27">
      <c r="V333" s="54"/>
      <c r="Y333" s="56"/>
      <c r="Z333" s="56"/>
      <c r="AA333" s="57"/>
    </row>
    <row r="334" spans="22:27">
      <c r="V334" s="54"/>
      <c r="Y334" s="56"/>
      <c r="Z334" s="56"/>
      <c r="AA334" s="57"/>
    </row>
    <row r="335" spans="22:27">
      <c r="V335" s="54"/>
      <c r="Y335" s="56"/>
      <c r="Z335" s="56"/>
      <c r="AA335" s="57"/>
    </row>
    <row r="336" spans="22:27">
      <c r="V336" s="54"/>
      <c r="Y336" s="56"/>
      <c r="Z336" s="56"/>
      <c r="AA336" s="57"/>
    </row>
    <row r="337" spans="22:27">
      <c r="V337" s="54"/>
      <c r="Y337" s="56"/>
      <c r="Z337" s="56"/>
      <c r="AA337" s="57"/>
    </row>
    <row r="338" spans="22:27">
      <c r="V338" s="54"/>
      <c r="Y338" s="56"/>
      <c r="Z338" s="56"/>
      <c r="AA338" s="57"/>
    </row>
    <row r="339" spans="22:27">
      <c r="V339" s="54"/>
      <c r="Y339" s="56"/>
      <c r="Z339" s="56"/>
      <c r="AA339" s="57"/>
    </row>
    <row r="340" spans="22:27">
      <c r="V340" s="54"/>
      <c r="Y340" s="56"/>
      <c r="Z340" s="56"/>
      <c r="AA340" s="57"/>
    </row>
    <row r="341" spans="22:27">
      <c r="V341" s="54"/>
      <c r="Y341" s="56"/>
      <c r="Z341" s="56"/>
      <c r="AA341" s="57"/>
    </row>
    <row r="342" spans="22:27">
      <c r="V342" s="54"/>
      <c r="Y342" s="56"/>
      <c r="Z342" s="56"/>
      <c r="AA342" s="57"/>
    </row>
    <row r="343" spans="22:27">
      <c r="V343" s="54"/>
      <c r="Y343" s="56"/>
      <c r="Z343" s="56"/>
      <c r="AA343" s="57"/>
    </row>
    <row r="344" spans="22:27">
      <c r="V344" s="54"/>
      <c r="Y344" s="56"/>
      <c r="Z344" s="56"/>
      <c r="AA344" s="57"/>
    </row>
    <row r="345" spans="22:27">
      <c r="V345" s="54"/>
      <c r="Y345" s="56"/>
      <c r="Z345" s="56"/>
      <c r="AA345" s="57"/>
    </row>
    <row r="346" spans="22:27">
      <c r="V346" s="54"/>
      <c r="Y346" s="56"/>
      <c r="Z346" s="56"/>
      <c r="AA346" s="57"/>
    </row>
    <row r="347" spans="22:27">
      <c r="V347" s="54"/>
      <c r="Y347" s="56"/>
      <c r="Z347" s="56"/>
      <c r="AA347" s="57"/>
    </row>
    <row r="348" spans="22:27">
      <c r="V348" s="54"/>
      <c r="Y348" s="56"/>
      <c r="Z348" s="56"/>
      <c r="AA348" s="57"/>
    </row>
    <row r="349" spans="22:27">
      <c r="V349" s="54"/>
      <c r="Y349" s="56"/>
      <c r="Z349" s="56"/>
      <c r="AA349" s="57"/>
    </row>
    <row r="350" spans="22:27">
      <c r="V350" s="54"/>
      <c r="Y350" s="56"/>
      <c r="Z350" s="56"/>
      <c r="AA350" s="57"/>
    </row>
    <row r="351" spans="22:27">
      <c r="V351" s="54"/>
      <c r="Y351" s="56"/>
      <c r="Z351" s="56"/>
      <c r="AA351" s="57"/>
    </row>
    <row r="352" spans="22:27">
      <c r="V352" s="54"/>
      <c r="Y352" s="56"/>
      <c r="Z352" s="56"/>
      <c r="AA352" s="57"/>
    </row>
    <row r="353" spans="22:27">
      <c r="V353" s="54"/>
      <c r="Y353" s="56"/>
      <c r="Z353" s="56"/>
      <c r="AA353" s="57"/>
    </row>
    <row r="354" spans="22:27">
      <c r="V354" s="54"/>
      <c r="Y354" s="56"/>
      <c r="Z354" s="56"/>
      <c r="AA354" s="57"/>
    </row>
    <row r="355" spans="22:27">
      <c r="V355" s="54"/>
      <c r="Y355" s="56"/>
      <c r="Z355" s="56"/>
      <c r="AA355" s="57"/>
    </row>
    <row r="356" spans="22:27">
      <c r="V356" s="54"/>
      <c r="Y356" s="56"/>
      <c r="Z356" s="56"/>
      <c r="AA356" s="57"/>
    </row>
    <row r="357" spans="22:27">
      <c r="V357" s="54"/>
      <c r="Y357" s="56"/>
      <c r="Z357" s="56"/>
      <c r="AA357" s="57"/>
    </row>
    <row r="358" spans="22:27">
      <c r="V358" s="54"/>
      <c r="Y358" s="56"/>
      <c r="Z358" s="56"/>
      <c r="AA358" s="57"/>
    </row>
    <row r="359" spans="22:27">
      <c r="V359" s="54"/>
      <c r="Y359" s="56"/>
      <c r="Z359" s="56"/>
      <c r="AA359" s="57"/>
    </row>
    <row r="360" spans="22:27">
      <c r="V360" s="54"/>
      <c r="Y360" s="56"/>
      <c r="Z360" s="56"/>
      <c r="AA360" s="57"/>
    </row>
    <row r="361" spans="22:27">
      <c r="V361" s="54"/>
      <c r="Y361" s="56"/>
      <c r="Z361" s="56"/>
      <c r="AA361" s="57"/>
    </row>
    <row r="362" spans="22:27">
      <c r="V362" s="54"/>
      <c r="Y362" s="56"/>
      <c r="Z362" s="56"/>
      <c r="AA362" s="57"/>
    </row>
    <row r="363" spans="22:27">
      <c r="V363" s="54"/>
      <c r="Y363" s="56"/>
      <c r="Z363" s="56"/>
      <c r="AA363" s="57"/>
    </row>
    <row r="364" spans="22:27">
      <c r="V364" s="54"/>
      <c r="Y364" s="56"/>
      <c r="Z364" s="56"/>
      <c r="AA364" s="57"/>
    </row>
    <row r="365" spans="22:27">
      <c r="V365" s="54"/>
      <c r="Y365" s="56"/>
      <c r="Z365" s="56"/>
      <c r="AA365" s="57"/>
    </row>
    <row r="366" spans="22:27">
      <c r="V366" s="54"/>
      <c r="Y366" s="56"/>
      <c r="Z366" s="56"/>
      <c r="AA366" s="57"/>
    </row>
    <row r="367" spans="22:27">
      <c r="V367" s="54"/>
      <c r="Y367" s="56"/>
      <c r="Z367" s="56"/>
      <c r="AA367" s="57"/>
    </row>
    <row r="368" spans="22:27">
      <c r="V368" s="54"/>
      <c r="Y368" s="56"/>
      <c r="Z368" s="56"/>
      <c r="AA368" s="57"/>
    </row>
    <row r="369" spans="22:27">
      <c r="V369" s="54"/>
      <c r="Y369" s="56"/>
      <c r="Z369" s="56"/>
      <c r="AA369" s="57"/>
    </row>
    <row r="370" spans="22:27">
      <c r="V370" s="54"/>
      <c r="Y370" s="56"/>
      <c r="Z370" s="56"/>
      <c r="AA370" s="57"/>
    </row>
    <row r="371" spans="22:27">
      <c r="V371" s="54"/>
      <c r="Y371" s="56"/>
      <c r="Z371" s="56"/>
      <c r="AA371" s="57"/>
    </row>
    <row r="372" spans="22:27">
      <c r="V372" s="54"/>
      <c r="Y372" s="56"/>
      <c r="Z372" s="56"/>
      <c r="AA372" s="57"/>
    </row>
    <row r="373" spans="22:27">
      <c r="V373" s="54"/>
      <c r="Y373" s="56"/>
      <c r="Z373" s="56"/>
      <c r="AA373" s="57"/>
    </row>
    <row r="374" spans="22:27">
      <c r="V374" s="54"/>
      <c r="Y374" s="56"/>
      <c r="Z374" s="56"/>
      <c r="AA374" s="57"/>
    </row>
    <row r="375" spans="22:27">
      <c r="V375" s="54"/>
      <c r="Y375" s="56"/>
      <c r="Z375" s="56"/>
      <c r="AA375" s="57"/>
    </row>
    <row r="376" spans="22:27">
      <c r="V376" s="54"/>
      <c r="Y376" s="56"/>
      <c r="Z376" s="56"/>
      <c r="AA376" s="57"/>
    </row>
    <row r="377" spans="22:27">
      <c r="V377" s="54"/>
      <c r="Y377" s="56"/>
      <c r="Z377" s="56"/>
      <c r="AA377" s="57"/>
    </row>
    <row r="378" spans="22:27">
      <c r="V378" s="54"/>
      <c r="Y378" s="56"/>
      <c r="Z378" s="56"/>
      <c r="AA378" s="57"/>
    </row>
    <row r="379" spans="22:27">
      <c r="V379" s="54"/>
      <c r="Y379" s="56"/>
      <c r="Z379" s="56"/>
      <c r="AA379" s="57"/>
    </row>
    <row r="380" spans="22:27">
      <c r="V380" s="54"/>
      <c r="Y380" s="56"/>
      <c r="Z380" s="56"/>
      <c r="AA380" s="57"/>
    </row>
    <row r="381" spans="22:27">
      <c r="V381" s="54"/>
      <c r="Y381" s="56"/>
      <c r="Z381" s="56"/>
      <c r="AA381" s="57"/>
    </row>
    <row r="382" spans="22:27">
      <c r="V382" s="54"/>
      <c r="Y382" s="56"/>
      <c r="Z382" s="56"/>
      <c r="AA382" s="57"/>
    </row>
    <row r="383" spans="22:27">
      <c r="V383" s="54"/>
      <c r="Y383" s="56"/>
      <c r="Z383" s="56"/>
      <c r="AA383" s="57"/>
    </row>
    <row r="384" spans="22:27">
      <c r="V384" s="54"/>
      <c r="Y384" s="56"/>
      <c r="Z384" s="56"/>
      <c r="AA384" s="57"/>
    </row>
    <row r="385" spans="22:27">
      <c r="V385" s="54"/>
      <c r="Y385" s="56"/>
      <c r="Z385" s="56"/>
      <c r="AA385" s="57"/>
    </row>
    <row r="386" spans="22:27">
      <c r="V386" s="54"/>
      <c r="Y386" s="56"/>
      <c r="Z386" s="56"/>
      <c r="AA386" s="57"/>
    </row>
    <row r="387" spans="22:27">
      <c r="V387" s="54"/>
      <c r="Y387" s="56"/>
      <c r="Z387" s="56"/>
      <c r="AA387" s="57"/>
    </row>
    <row r="388" spans="22:27">
      <c r="V388" s="54"/>
      <c r="Y388" s="56"/>
      <c r="Z388" s="56"/>
      <c r="AA388" s="57"/>
    </row>
    <row r="389" spans="22:27">
      <c r="V389" s="54"/>
      <c r="Y389" s="56"/>
      <c r="Z389" s="56"/>
      <c r="AA389" s="57"/>
    </row>
    <row r="390" spans="22:27">
      <c r="V390" s="54"/>
      <c r="Y390" s="56"/>
      <c r="Z390" s="56"/>
      <c r="AA390" s="57"/>
    </row>
    <row r="391" spans="22:27">
      <c r="V391" s="54"/>
      <c r="Y391" s="56"/>
      <c r="Z391" s="56"/>
      <c r="AA391" s="57"/>
    </row>
    <row r="392" spans="22:27">
      <c r="V392" s="54"/>
      <c r="Y392" s="56"/>
      <c r="Z392" s="56"/>
      <c r="AA392" s="57"/>
    </row>
    <row r="393" spans="22:27">
      <c r="V393" s="54"/>
      <c r="Y393" s="56"/>
      <c r="Z393" s="56"/>
      <c r="AA393" s="57"/>
    </row>
    <row r="394" spans="22:27">
      <c r="V394" s="54"/>
      <c r="Y394" s="56"/>
      <c r="Z394" s="56"/>
      <c r="AA394" s="57"/>
    </row>
    <row r="395" spans="22:27">
      <c r="V395" s="54"/>
      <c r="Y395" s="56"/>
      <c r="Z395" s="56"/>
      <c r="AA395" s="57"/>
    </row>
    <row r="396" spans="22:27">
      <c r="V396" s="54"/>
      <c r="Y396" s="56"/>
      <c r="Z396" s="56"/>
      <c r="AA396" s="57"/>
    </row>
    <row r="397" spans="22:27">
      <c r="V397" s="54"/>
      <c r="Y397" s="56"/>
      <c r="Z397" s="56"/>
      <c r="AA397" s="57"/>
    </row>
    <row r="398" spans="22:27">
      <c r="V398" s="54"/>
      <c r="Y398" s="56"/>
      <c r="Z398" s="56"/>
      <c r="AA398" s="57"/>
    </row>
    <row r="399" spans="22:27">
      <c r="V399" s="54"/>
      <c r="Y399" s="56"/>
      <c r="Z399" s="56"/>
      <c r="AA399" s="57"/>
    </row>
    <row r="400" spans="22:27">
      <c r="V400" s="54"/>
      <c r="Y400" s="56"/>
      <c r="Z400" s="56"/>
      <c r="AA400" s="57"/>
    </row>
    <row r="405" spans="10:16">
      <c r="J405" s="58"/>
      <c r="K405" s="58"/>
      <c r="L405" s="58"/>
      <c r="M405" s="58"/>
      <c r="N405" s="58"/>
      <c r="O405" s="58"/>
      <c r="P405" s="58"/>
    </row>
    <row r="406" spans="10:16">
      <c r="J406" s="58"/>
      <c r="K406" s="58"/>
      <c r="L406" s="58"/>
      <c r="M406" s="58"/>
      <c r="N406" s="58"/>
      <c r="O406" s="58"/>
      <c r="P406" s="58"/>
    </row>
    <row r="407" spans="10:16">
      <c r="J407" s="58"/>
      <c r="K407" s="58"/>
      <c r="L407" s="58"/>
      <c r="M407" s="58"/>
      <c r="N407" s="58"/>
      <c r="O407" s="58"/>
      <c r="P407" s="58"/>
    </row>
    <row r="408" spans="10:16">
      <c r="J408" s="58"/>
      <c r="K408" s="58"/>
      <c r="L408" s="58"/>
      <c r="M408" s="58"/>
      <c r="N408" s="58"/>
      <c r="O408" s="58"/>
      <c r="P408" s="58"/>
    </row>
    <row r="409" spans="10:16">
      <c r="J409" s="58"/>
      <c r="K409" s="58"/>
      <c r="L409" s="58"/>
      <c r="M409" s="58"/>
      <c r="N409" s="58"/>
      <c r="O409" s="58"/>
      <c r="P409" s="58"/>
    </row>
    <row r="410" spans="10:16">
      <c r="J410" s="58"/>
      <c r="K410" s="58"/>
      <c r="L410" s="58"/>
      <c r="M410" s="58"/>
      <c r="N410" s="58"/>
      <c r="O410" s="58"/>
      <c r="P410" s="58"/>
    </row>
    <row r="411" spans="10:16">
      <c r="J411" s="58"/>
      <c r="K411" s="58"/>
      <c r="L411" s="58"/>
      <c r="M411" s="58"/>
      <c r="N411" s="58"/>
      <c r="O411" s="58"/>
      <c r="P411" s="58"/>
    </row>
    <row r="412" spans="10:16">
      <c r="J412" s="58"/>
      <c r="K412" s="58"/>
      <c r="L412" s="58"/>
      <c r="M412" s="58"/>
      <c r="N412" s="58"/>
      <c r="O412" s="58"/>
      <c r="P412" s="58"/>
    </row>
    <row r="413" spans="10:16">
      <c r="J413" s="58"/>
      <c r="K413" s="58"/>
      <c r="L413" s="58"/>
      <c r="M413" s="58"/>
      <c r="N413" s="58"/>
      <c r="O413" s="58"/>
      <c r="P413" s="58"/>
    </row>
    <row r="414" spans="10:16">
      <c r="J414" s="58"/>
      <c r="K414" s="58"/>
      <c r="L414" s="58"/>
      <c r="M414" s="58"/>
      <c r="N414" s="58"/>
      <c r="O414" s="58"/>
      <c r="P414" s="58"/>
    </row>
    <row r="415" spans="10:16">
      <c r="J415" s="58"/>
      <c r="K415" s="58"/>
      <c r="L415" s="58"/>
      <c r="M415" s="58"/>
      <c r="N415" s="58"/>
      <c r="O415" s="58"/>
      <c r="P415" s="58"/>
    </row>
    <row r="416" spans="10:16">
      <c r="J416" s="58"/>
      <c r="K416" s="58"/>
      <c r="L416" s="58"/>
      <c r="M416" s="58"/>
      <c r="N416" s="58"/>
      <c r="O416" s="58"/>
      <c r="P416" s="58"/>
    </row>
    <row r="417" spans="10:16">
      <c r="J417" s="58"/>
      <c r="K417" s="58"/>
      <c r="L417" s="58"/>
      <c r="M417" s="58"/>
      <c r="N417" s="58"/>
      <c r="O417" s="58"/>
      <c r="P417" s="58"/>
    </row>
    <row r="418" spans="10:16">
      <c r="J418" s="58"/>
      <c r="K418" s="58"/>
      <c r="L418" s="58"/>
      <c r="M418" s="58"/>
      <c r="N418" s="58"/>
      <c r="O418" s="58"/>
      <c r="P418" s="58"/>
    </row>
    <row r="419" spans="10:16">
      <c r="J419" s="58"/>
      <c r="K419" s="58"/>
      <c r="L419" s="58"/>
      <c r="M419" s="58"/>
      <c r="N419" s="58"/>
      <c r="O419" s="58"/>
      <c r="P419" s="58"/>
    </row>
    <row r="420" spans="10:16">
      <c r="J420" s="58"/>
      <c r="K420" s="58"/>
      <c r="L420" s="58"/>
      <c r="M420" s="58"/>
      <c r="N420" s="58"/>
      <c r="O420" s="58"/>
      <c r="P420" s="58"/>
    </row>
    <row r="421" spans="10:16">
      <c r="J421" s="58"/>
      <c r="K421" s="58"/>
      <c r="L421" s="58"/>
      <c r="M421" s="58"/>
      <c r="N421" s="58"/>
      <c r="O421" s="58"/>
      <c r="P421" s="58"/>
    </row>
    <row r="422" spans="10:16">
      <c r="J422" s="58"/>
      <c r="K422" s="58"/>
      <c r="L422" s="58"/>
      <c r="M422" s="58"/>
      <c r="N422" s="58"/>
      <c r="O422" s="58"/>
      <c r="P422" s="58"/>
    </row>
    <row r="423" spans="10:16">
      <c r="J423" s="58"/>
      <c r="K423" s="58"/>
      <c r="L423" s="58"/>
      <c r="M423" s="58"/>
      <c r="N423" s="58"/>
      <c r="O423" s="58"/>
      <c r="P423" s="58"/>
    </row>
    <row r="424" spans="10:16">
      <c r="J424" s="58"/>
      <c r="K424" s="58"/>
      <c r="L424" s="58"/>
      <c r="M424" s="58"/>
      <c r="N424" s="58"/>
      <c r="O424" s="58"/>
      <c r="P424" s="58"/>
    </row>
    <row r="425" spans="10:16">
      <c r="J425" s="58"/>
      <c r="K425" s="58"/>
      <c r="L425" s="58"/>
      <c r="M425" s="58"/>
      <c r="N425" s="58"/>
      <c r="O425" s="58"/>
      <c r="P425" s="58"/>
    </row>
    <row r="426" spans="10:16">
      <c r="J426" s="58"/>
      <c r="K426" s="58"/>
      <c r="L426" s="58"/>
      <c r="M426" s="58"/>
      <c r="N426" s="58"/>
      <c r="O426" s="58"/>
      <c r="P426" s="58"/>
    </row>
    <row r="427" spans="10:16">
      <c r="J427" s="58"/>
      <c r="K427" s="58"/>
      <c r="L427" s="58"/>
      <c r="M427" s="58"/>
      <c r="N427" s="58"/>
      <c r="O427" s="58"/>
      <c r="P427" s="58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1:AG405"/>
  <sheetViews>
    <sheetView showGridLines="0" showRowColHeaders="0" zoomScaleNormal="100" workbookViewId="0"/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5" customWidth="1"/>
    <col min="23" max="264" width="11.42578125" style="55"/>
    <col min="265" max="265" width="4.42578125" style="55" customWidth="1"/>
    <col min="266" max="266" width="13.28515625" style="55" customWidth="1"/>
    <col min="267" max="271" width="11.42578125" style="55"/>
    <col min="272" max="272" width="4.7109375" style="55" customWidth="1"/>
    <col min="273" max="520" width="11.42578125" style="55"/>
    <col min="521" max="521" width="4.42578125" style="55" customWidth="1"/>
    <col min="522" max="522" width="13.28515625" style="55" customWidth="1"/>
    <col min="523" max="527" width="11.42578125" style="55"/>
    <col min="528" max="528" width="4.7109375" style="55" customWidth="1"/>
    <col min="529" max="776" width="11.42578125" style="55"/>
    <col min="777" max="777" width="4.42578125" style="55" customWidth="1"/>
    <col min="778" max="778" width="13.28515625" style="55" customWidth="1"/>
    <col min="779" max="783" width="11.42578125" style="55"/>
    <col min="784" max="784" width="4.7109375" style="55" customWidth="1"/>
    <col min="785" max="1032" width="11.42578125" style="55"/>
    <col min="1033" max="1033" width="4.42578125" style="55" customWidth="1"/>
    <col min="1034" max="1034" width="13.28515625" style="55" customWidth="1"/>
    <col min="1035" max="1039" width="11.42578125" style="55"/>
    <col min="1040" max="1040" width="4.7109375" style="55" customWidth="1"/>
    <col min="1041" max="1288" width="11.42578125" style="55"/>
    <col min="1289" max="1289" width="4.42578125" style="55" customWidth="1"/>
    <col min="1290" max="1290" width="13.28515625" style="55" customWidth="1"/>
    <col min="1291" max="1295" width="11.42578125" style="55"/>
    <col min="1296" max="1296" width="4.7109375" style="55" customWidth="1"/>
    <col min="1297" max="1544" width="11.42578125" style="55"/>
    <col min="1545" max="1545" width="4.42578125" style="55" customWidth="1"/>
    <col min="1546" max="1546" width="13.28515625" style="55" customWidth="1"/>
    <col min="1547" max="1551" width="11.42578125" style="55"/>
    <col min="1552" max="1552" width="4.7109375" style="55" customWidth="1"/>
    <col min="1553" max="1800" width="11.42578125" style="55"/>
    <col min="1801" max="1801" width="4.42578125" style="55" customWidth="1"/>
    <col min="1802" max="1802" width="13.28515625" style="55" customWidth="1"/>
    <col min="1803" max="1807" width="11.42578125" style="55"/>
    <col min="1808" max="1808" width="4.7109375" style="55" customWidth="1"/>
    <col min="1809" max="2056" width="11.42578125" style="55"/>
    <col min="2057" max="2057" width="4.42578125" style="55" customWidth="1"/>
    <col min="2058" max="2058" width="13.28515625" style="55" customWidth="1"/>
    <col min="2059" max="2063" width="11.42578125" style="55"/>
    <col min="2064" max="2064" width="4.7109375" style="55" customWidth="1"/>
    <col min="2065" max="2312" width="11.42578125" style="55"/>
    <col min="2313" max="2313" width="4.42578125" style="55" customWidth="1"/>
    <col min="2314" max="2314" width="13.28515625" style="55" customWidth="1"/>
    <col min="2315" max="2319" width="11.42578125" style="55"/>
    <col min="2320" max="2320" width="4.7109375" style="55" customWidth="1"/>
    <col min="2321" max="2568" width="11.42578125" style="55"/>
    <col min="2569" max="2569" width="4.42578125" style="55" customWidth="1"/>
    <col min="2570" max="2570" width="13.28515625" style="55" customWidth="1"/>
    <col min="2571" max="2575" width="11.42578125" style="55"/>
    <col min="2576" max="2576" width="4.7109375" style="55" customWidth="1"/>
    <col min="2577" max="2824" width="11.42578125" style="55"/>
    <col min="2825" max="2825" width="4.42578125" style="55" customWidth="1"/>
    <col min="2826" max="2826" width="13.28515625" style="55" customWidth="1"/>
    <col min="2827" max="2831" width="11.42578125" style="55"/>
    <col min="2832" max="2832" width="4.7109375" style="55" customWidth="1"/>
    <col min="2833" max="3080" width="11.42578125" style="55"/>
    <col min="3081" max="3081" width="4.42578125" style="55" customWidth="1"/>
    <col min="3082" max="3082" width="13.28515625" style="55" customWidth="1"/>
    <col min="3083" max="3087" width="11.42578125" style="55"/>
    <col min="3088" max="3088" width="4.7109375" style="55" customWidth="1"/>
    <col min="3089" max="3336" width="11.42578125" style="55"/>
    <col min="3337" max="3337" width="4.42578125" style="55" customWidth="1"/>
    <col min="3338" max="3338" width="13.28515625" style="55" customWidth="1"/>
    <col min="3339" max="3343" width="11.42578125" style="55"/>
    <col min="3344" max="3344" width="4.7109375" style="55" customWidth="1"/>
    <col min="3345" max="3592" width="11.42578125" style="55"/>
    <col min="3593" max="3593" width="4.42578125" style="55" customWidth="1"/>
    <col min="3594" max="3594" width="13.28515625" style="55" customWidth="1"/>
    <col min="3595" max="3599" width="11.42578125" style="55"/>
    <col min="3600" max="3600" width="4.7109375" style="55" customWidth="1"/>
    <col min="3601" max="3848" width="11.42578125" style="55"/>
    <col min="3849" max="3849" width="4.42578125" style="55" customWidth="1"/>
    <col min="3850" max="3850" width="13.28515625" style="55" customWidth="1"/>
    <col min="3851" max="3855" width="11.42578125" style="55"/>
    <col min="3856" max="3856" width="4.7109375" style="55" customWidth="1"/>
    <col min="3857" max="4104" width="11.42578125" style="55"/>
    <col min="4105" max="4105" width="4.42578125" style="55" customWidth="1"/>
    <col min="4106" max="4106" width="13.28515625" style="55" customWidth="1"/>
    <col min="4107" max="4111" width="11.42578125" style="55"/>
    <col min="4112" max="4112" width="4.7109375" style="55" customWidth="1"/>
    <col min="4113" max="4360" width="11.42578125" style="55"/>
    <col min="4361" max="4361" width="4.42578125" style="55" customWidth="1"/>
    <col min="4362" max="4362" width="13.28515625" style="55" customWidth="1"/>
    <col min="4363" max="4367" width="11.42578125" style="55"/>
    <col min="4368" max="4368" width="4.7109375" style="55" customWidth="1"/>
    <col min="4369" max="4616" width="11.42578125" style="55"/>
    <col min="4617" max="4617" width="4.42578125" style="55" customWidth="1"/>
    <col min="4618" max="4618" width="13.28515625" style="55" customWidth="1"/>
    <col min="4619" max="4623" width="11.42578125" style="55"/>
    <col min="4624" max="4624" width="4.7109375" style="55" customWidth="1"/>
    <col min="4625" max="4872" width="11.42578125" style="55"/>
    <col min="4873" max="4873" width="4.42578125" style="55" customWidth="1"/>
    <col min="4874" max="4874" width="13.28515625" style="55" customWidth="1"/>
    <col min="4875" max="4879" width="11.42578125" style="55"/>
    <col min="4880" max="4880" width="4.7109375" style="55" customWidth="1"/>
    <col min="4881" max="5128" width="11.42578125" style="55"/>
    <col min="5129" max="5129" width="4.42578125" style="55" customWidth="1"/>
    <col min="5130" max="5130" width="13.28515625" style="55" customWidth="1"/>
    <col min="5131" max="5135" width="11.42578125" style="55"/>
    <col min="5136" max="5136" width="4.7109375" style="55" customWidth="1"/>
    <col min="5137" max="5384" width="11.42578125" style="55"/>
    <col min="5385" max="5385" width="4.42578125" style="55" customWidth="1"/>
    <col min="5386" max="5386" width="13.28515625" style="55" customWidth="1"/>
    <col min="5387" max="5391" width="11.42578125" style="55"/>
    <col min="5392" max="5392" width="4.7109375" style="55" customWidth="1"/>
    <col min="5393" max="5640" width="11.42578125" style="55"/>
    <col min="5641" max="5641" width="4.42578125" style="55" customWidth="1"/>
    <col min="5642" max="5642" width="13.28515625" style="55" customWidth="1"/>
    <col min="5643" max="5647" width="11.42578125" style="55"/>
    <col min="5648" max="5648" width="4.7109375" style="55" customWidth="1"/>
    <col min="5649" max="5896" width="11.42578125" style="55"/>
    <col min="5897" max="5897" width="4.42578125" style="55" customWidth="1"/>
    <col min="5898" max="5898" width="13.28515625" style="55" customWidth="1"/>
    <col min="5899" max="5903" width="11.42578125" style="55"/>
    <col min="5904" max="5904" width="4.7109375" style="55" customWidth="1"/>
    <col min="5905" max="6152" width="11.42578125" style="55"/>
    <col min="6153" max="6153" width="4.42578125" style="55" customWidth="1"/>
    <col min="6154" max="6154" width="13.28515625" style="55" customWidth="1"/>
    <col min="6155" max="6159" width="11.42578125" style="55"/>
    <col min="6160" max="6160" width="4.7109375" style="55" customWidth="1"/>
    <col min="6161" max="6408" width="11.42578125" style="55"/>
    <col min="6409" max="6409" width="4.42578125" style="55" customWidth="1"/>
    <col min="6410" max="6410" width="13.28515625" style="55" customWidth="1"/>
    <col min="6411" max="6415" width="11.42578125" style="55"/>
    <col min="6416" max="6416" width="4.7109375" style="55" customWidth="1"/>
    <col min="6417" max="6664" width="11.42578125" style="55"/>
    <col min="6665" max="6665" width="4.42578125" style="55" customWidth="1"/>
    <col min="6666" max="6666" width="13.28515625" style="55" customWidth="1"/>
    <col min="6667" max="6671" width="11.42578125" style="55"/>
    <col min="6672" max="6672" width="4.7109375" style="55" customWidth="1"/>
    <col min="6673" max="6920" width="11.42578125" style="55"/>
    <col min="6921" max="6921" width="4.42578125" style="55" customWidth="1"/>
    <col min="6922" max="6922" width="13.28515625" style="55" customWidth="1"/>
    <col min="6923" max="6927" width="11.42578125" style="55"/>
    <col min="6928" max="6928" width="4.7109375" style="55" customWidth="1"/>
    <col min="6929" max="7176" width="11.42578125" style="55"/>
    <col min="7177" max="7177" width="4.42578125" style="55" customWidth="1"/>
    <col min="7178" max="7178" width="13.28515625" style="55" customWidth="1"/>
    <col min="7179" max="7183" width="11.42578125" style="55"/>
    <col min="7184" max="7184" width="4.7109375" style="55" customWidth="1"/>
    <col min="7185" max="7432" width="11.42578125" style="55"/>
    <col min="7433" max="7433" width="4.42578125" style="55" customWidth="1"/>
    <col min="7434" max="7434" width="13.28515625" style="55" customWidth="1"/>
    <col min="7435" max="7439" width="11.42578125" style="55"/>
    <col min="7440" max="7440" width="4.7109375" style="55" customWidth="1"/>
    <col min="7441" max="7688" width="11.42578125" style="55"/>
    <col min="7689" max="7689" width="4.42578125" style="55" customWidth="1"/>
    <col min="7690" max="7690" width="13.28515625" style="55" customWidth="1"/>
    <col min="7691" max="7695" width="11.42578125" style="55"/>
    <col min="7696" max="7696" width="4.7109375" style="55" customWidth="1"/>
    <col min="7697" max="7944" width="11.42578125" style="55"/>
    <col min="7945" max="7945" width="4.42578125" style="55" customWidth="1"/>
    <col min="7946" max="7946" width="13.28515625" style="55" customWidth="1"/>
    <col min="7947" max="7951" width="11.42578125" style="55"/>
    <col min="7952" max="7952" width="4.7109375" style="55" customWidth="1"/>
    <col min="7953" max="8200" width="11.42578125" style="55"/>
    <col min="8201" max="8201" width="4.42578125" style="55" customWidth="1"/>
    <col min="8202" max="8202" width="13.28515625" style="55" customWidth="1"/>
    <col min="8203" max="8207" width="11.42578125" style="55"/>
    <col min="8208" max="8208" width="4.7109375" style="55" customWidth="1"/>
    <col min="8209" max="8456" width="11.42578125" style="55"/>
    <col min="8457" max="8457" width="4.42578125" style="55" customWidth="1"/>
    <col min="8458" max="8458" width="13.28515625" style="55" customWidth="1"/>
    <col min="8459" max="8463" width="11.42578125" style="55"/>
    <col min="8464" max="8464" width="4.7109375" style="55" customWidth="1"/>
    <col min="8465" max="8712" width="11.42578125" style="55"/>
    <col min="8713" max="8713" width="4.42578125" style="55" customWidth="1"/>
    <col min="8714" max="8714" width="13.28515625" style="55" customWidth="1"/>
    <col min="8715" max="8719" width="11.42578125" style="55"/>
    <col min="8720" max="8720" width="4.7109375" style="55" customWidth="1"/>
    <col min="8721" max="8968" width="11.42578125" style="55"/>
    <col min="8969" max="8969" width="4.42578125" style="55" customWidth="1"/>
    <col min="8970" max="8970" width="13.28515625" style="55" customWidth="1"/>
    <col min="8971" max="8975" width="11.42578125" style="55"/>
    <col min="8976" max="8976" width="4.7109375" style="55" customWidth="1"/>
    <col min="8977" max="9224" width="11.42578125" style="55"/>
    <col min="9225" max="9225" width="4.42578125" style="55" customWidth="1"/>
    <col min="9226" max="9226" width="13.28515625" style="55" customWidth="1"/>
    <col min="9227" max="9231" width="11.42578125" style="55"/>
    <col min="9232" max="9232" width="4.7109375" style="55" customWidth="1"/>
    <col min="9233" max="9480" width="11.42578125" style="55"/>
    <col min="9481" max="9481" width="4.42578125" style="55" customWidth="1"/>
    <col min="9482" max="9482" width="13.28515625" style="55" customWidth="1"/>
    <col min="9483" max="9487" width="11.42578125" style="55"/>
    <col min="9488" max="9488" width="4.7109375" style="55" customWidth="1"/>
    <col min="9489" max="9736" width="11.42578125" style="55"/>
    <col min="9737" max="9737" width="4.42578125" style="55" customWidth="1"/>
    <col min="9738" max="9738" width="13.28515625" style="55" customWidth="1"/>
    <col min="9739" max="9743" width="11.42578125" style="55"/>
    <col min="9744" max="9744" width="4.7109375" style="55" customWidth="1"/>
    <col min="9745" max="9992" width="11.42578125" style="55"/>
    <col min="9993" max="9993" width="4.42578125" style="55" customWidth="1"/>
    <col min="9994" max="9994" width="13.28515625" style="55" customWidth="1"/>
    <col min="9995" max="9999" width="11.42578125" style="55"/>
    <col min="10000" max="10000" width="4.7109375" style="55" customWidth="1"/>
    <col min="10001" max="10248" width="11.42578125" style="55"/>
    <col min="10249" max="10249" width="4.42578125" style="55" customWidth="1"/>
    <col min="10250" max="10250" width="13.28515625" style="55" customWidth="1"/>
    <col min="10251" max="10255" width="11.42578125" style="55"/>
    <col min="10256" max="10256" width="4.7109375" style="55" customWidth="1"/>
    <col min="10257" max="10504" width="11.42578125" style="55"/>
    <col min="10505" max="10505" width="4.42578125" style="55" customWidth="1"/>
    <col min="10506" max="10506" width="13.28515625" style="55" customWidth="1"/>
    <col min="10507" max="10511" width="11.42578125" style="55"/>
    <col min="10512" max="10512" width="4.7109375" style="55" customWidth="1"/>
    <col min="10513" max="10760" width="11.42578125" style="55"/>
    <col min="10761" max="10761" width="4.42578125" style="55" customWidth="1"/>
    <col min="10762" max="10762" width="13.28515625" style="55" customWidth="1"/>
    <col min="10763" max="10767" width="11.42578125" style="55"/>
    <col min="10768" max="10768" width="4.7109375" style="55" customWidth="1"/>
    <col min="10769" max="11016" width="11.42578125" style="55"/>
    <col min="11017" max="11017" width="4.42578125" style="55" customWidth="1"/>
    <col min="11018" max="11018" width="13.28515625" style="55" customWidth="1"/>
    <col min="11019" max="11023" width="11.42578125" style="55"/>
    <col min="11024" max="11024" width="4.7109375" style="55" customWidth="1"/>
    <col min="11025" max="11272" width="11.42578125" style="55"/>
    <col min="11273" max="11273" width="4.42578125" style="55" customWidth="1"/>
    <col min="11274" max="11274" width="13.28515625" style="55" customWidth="1"/>
    <col min="11275" max="11279" width="11.42578125" style="55"/>
    <col min="11280" max="11280" width="4.7109375" style="55" customWidth="1"/>
    <col min="11281" max="11528" width="11.42578125" style="55"/>
    <col min="11529" max="11529" width="4.42578125" style="55" customWidth="1"/>
    <col min="11530" max="11530" width="13.28515625" style="55" customWidth="1"/>
    <col min="11531" max="11535" width="11.42578125" style="55"/>
    <col min="11536" max="11536" width="4.7109375" style="55" customWidth="1"/>
    <col min="11537" max="11784" width="11.42578125" style="55"/>
    <col min="11785" max="11785" width="4.42578125" style="55" customWidth="1"/>
    <col min="11786" max="11786" width="13.28515625" style="55" customWidth="1"/>
    <col min="11787" max="11791" width="11.42578125" style="55"/>
    <col min="11792" max="11792" width="4.7109375" style="55" customWidth="1"/>
    <col min="11793" max="12040" width="11.42578125" style="55"/>
    <col min="12041" max="12041" width="4.42578125" style="55" customWidth="1"/>
    <col min="12042" max="12042" width="13.28515625" style="55" customWidth="1"/>
    <col min="12043" max="12047" width="11.42578125" style="55"/>
    <col min="12048" max="12048" width="4.7109375" style="55" customWidth="1"/>
    <col min="12049" max="12296" width="11.42578125" style="55"/>
    <col min="12297" max="12297" width="4.42578125" style="55" customWidth="1"/>
    <col min="12298" max="12298" width="13.28515625" style="55" customWidth="1"/>
    <col min="12299" max="12303" width="11.42578125" style="55"/>
    <col min="12304" max="12304" width="4.7109375" style="55" customWidth="1"/>
    <col min="12305" max="12552" width="11.42578125" style="55"/>
    <col min="12553" max="12553" width="4.42578125" style="55" customWidth="1"/>
    <col min="12554" max="12554" width="13.28515625" style="55" customWidth="1"/>
    <col min="12555" max="12559" width="11.42578125" style="55"/>
    <col min="12560" max="12560" width="4.7109375" style="55" customWidth="1"/>
    <col min="12561" max="12808" width="11.42578125" style="55"/>
    <col min="12809" max="12809" width="4.42578125" style="55" customWidth="1"/>
    <col min="12810" max="12810" width="13.28515625" style="55" customWidth="1"/>
    <col min="12811" max="12815" width="11.42578125" style="55"/>
    <col min="12816" max="12816" width="4.7109375" style="55" customWidth="1"/>
    <col min="12817" max="13064" width="11.42578125" style="55"/>
    <col min="13065" max="13065" width="4.42578125" style="55" customWidth="1"/>
    <col min="13066" max="13066" width="13.28515625" style="55" customWidth="1"/>
    <col min="13067" max="13071" width="11.42578125" style="55"/>
    <col min="13072" max="13072" width="4.7109375" style="55" customWidth="1"/>
    <col min="13073" max="13320" width="11.42578125" style="55"/>
    <col min="13321" max="13321" width="4.42578125" style="55" customWidth="1"/>
    <col min="13322" max="13322" width="13.28515625" style="55" customWidth="1"/>
    <col min="13323" max="13327" width="11.42578125" style="55"/>
    <col min="13328" max="13328" width="4.7109375" style="55" customWidth="1"/>
    <col min="13329" max="13576" width="11.42578125" style="55"/>
    <col min="13577" max="13577" width="4.42578125" style="55" customWidth="1"/>
    <col min="13578" max="13578" width="13.28515625" style="55" customWidth="1"/>
    <col min="13579" max="13583" width="11.42578125" style="55"/>
    <col min="13584" max="13584" width="4.7109375" style="55" customWidth="1"/>
    <col min="13585" max="13832" width="11.42578125" style="55"/>
    <col min="13833" max="13833" width="4.42578125" style="55" customWidth="1"/>
    <col min="13834" max="13834" width="13.28515625" style="55" customWidth="1"/>
    <col min="13835" max="13839" width="11.42578125" style="55"/>
    <col min="13840" max="13840" width="4.7109375" style="55" customWidth="1"/>
    <col min="13841" max="14088" width="11.42578125" style="55"/>
    <col min="14089" max="14089" width="4.42578125" style="55" customWidth="1"/>
    <col min="14090" max="14090" width="13.28515625" style="55" customWidth="1"/>
    <col min="14091" max="14095" width="11.42578125" style="55"/>
    <col min="14096" max="14096" width="4.7109375" style="55" customWidth="1"/>
    <col min="14097" max="14344" width="11.42578125" style="55"/>
    <col min="14345" max="14345" width="4.42578125" style="55" customWidth="1"/>
    <col min="14346" max="14346" width="13.28515625" style="55" customWidth="1"/>
    <col min="14347" max="14351" width="11.42578125" style="55"/>
    <col min="14352" max="14352" width="4.7109375" style="55" customWidth="1"/>
    <col min="14353" max="14600" width="11.42578125" style="55"/>
    <col min="14601" max="14601" width="4.42578125" style="55" customWidth="1"/>
    <col min="14602" max="14602" width="13.28515625" style="55" customWidth="1"/>
    <col min="14603" max="14607" width="11.42578125" style="55"/>
    <col min="14608" max="14608" width="4.7109375" style="55" customWidth="1"/>
    <col min="14609" max="14856" width="11.42578125" style="55"/>
    <col min="14857" max="14857" width="4.42578125" style="55" customWidth="1"/>
    <col min="14858" max="14858" width="13.28515625" style="55" customWidth="1"/>
    <col min="14859" max="14863" width="11.42578125" style="55"/>
    <col min="14864" max="14864" width="4.7109375" style="55" customWidth="1"/>
    <col min="14865" max="15112" width="11.42578125" style="55"/>
    <col min="15113" max="15113" width="4.42578125" style="55" customWidth="1"/>
    <col min="15114" max="15114" width="13.28515625" style="55" customWidth="1"/>
    <col min="15115" max="15119" width="11.42578125" style="55"/>
    <col min="15120" max="15120" width="4.7109375" style="55" customWidth="1"/>
    <col min="15121" max="15368" width="11.42578125" style="55"/>
    <col min="15369" max="15369" width="4.42578125" style="55" customWidth="1"/>
    <col min="15370" max="15370" width="13.28515625" style="55" customWidth="1"/>
    <col min="15371" max="15375" width="11.42578125" style="55"/>
    <col min="15376" max="15376" width="4.7109375" style="55" customWidth="1"/>
    <col min="15377" max="15624" width="11.42578125" style="55"/>
    <col min="15625" max="15625" width="4.42578125" style="55" customWidth="1"/>
    <col min="15626" max="15626" width="13.28515625" style="55" customWidth="1"/>
    <col min="15627" max="15631" width="11.42578125" style="55"/>
    <col min="15632" max="15632" width="4.7109375" style="55" customWidth="1"/>
    <col min="15633" max="15880" width="11.42578125" style="55"/>
    <col min="15881" max="15881" width="4.42578125" style="55" customWidth="1"/>
    <col min="15882" max="15882" width="13.28515625" style="55" customWidth="1"/>
    <col min="15883" max="15887" width="11.42578125" style="55"/>
    <col min="15888" max="15888" width="4.7109375" style="55" customWidth="1"/>
    <col min="15889" max="16136" width="11.42578125" style="55"/>
    <col min="16137" max="16137" width="4.42578125" style="55" customWidth="1"/>
    <col min="16138" max="16138" width="13.28515625" style="55" customWidth="1"/>
    <col min="16139" max="16143" width="11.42578125" style="55"/>
    <col min="16144" max="16144" width="4.7109375" style="55" customWidth="1"/>
    <col min="16145" max="16384" width="11.42578125" style="55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2" t="s">
        <v>1</v>
      </c>
    </row>
    <row r="3" spans="1:33" s="50" customFormat="1">
      <c r="A3"/>
      <c r="B3"/>
      <c r="C3"/>
      <c r="D3" s="112" t="str">
        <f>Indice!E3</f>
        <v>Julio 2022</v>
      </c>
    </row>
    <row r="4" spans="1:33" s="50" customFormat="1" ht="20.100000000000001" customHeight="1">
      <c r="A4"/>
      <c r="B4" s="102" t="s">
        <v>67</v>
      </c>
      <c r="C4"/>
      <c r="D4"/>
    </row>
    <row r="5" spans="1:33" s="50" customFormat="1">
      <c r="A5"/>
      <c r="B5"/>
      <c r="C5"/>
      <c r="D5"/>
      <c r="G5" s="52"/>
      <c r="H5" s="53"/>
      <c r="I5" s="53"/>
      <c r="J5" s="53"/>
      <c r="K5" s="53"/>
      <c r="L5" s="53"/>
    </row>
    <row r="6" spans="1:33" s="50" customFormat="1">
      <c r="A6"/>
      <c r="B6"/>
      <c r="C6"/>
      <c r="D6"/>
      <c r="AB6" s="54"/>
      <c r="AC6" s="54"/>
      <c r="AD6" s="54"/>
      <c r="AE6" s="54"/>
      <c r="AF6" s="54"/>
      <c r="AG6" s="54"/>
    </row>
    <row r="7" spans="1:33">
      <c r="B7" s="117" t="s">
        <v>41</v>
      </c>
      <c r="D7" s="4"/>
      <c r="F7" s="55"/>
      <c r="G7" s="55"/>
      <c r="H7" s="55"/>
      <c r="I7" s="55"/>
      <c r="J7" s="55"/>
      <c r="K7" s="55"/>
      <c r="L7" s="55"/>
      <c r="M7" s="55"/>
      <c r="N7" s="68"/>
      <c r="AB7" s="65"/>
      <c r="AC7" s="65"/>
      <c r="AD7" s="65"/>
      <c r="AE7" s="65"/>
      <c r="AF7" s="65"/>
      <c r="AG7" s="65"/>
    </row>
    <row r="8" spans="1:33">
      <c r="B8" s="43"/>
      <c r="D8" s="4"/>
      <c r="F8" s="55"/>
      <c r="G8" s="55"/>
      <c r="H8" s="55"/>
      <c r="I8" s="55"/>
      <c r="J8" s="55"/>
      <c r="K8" s="55"/>
      <c r="L8" s="55"/>
      <c r="M8" s="55"/>
      <c r="N8" s="133"/>
      <c r="P8" s="63"/>
      <c r="Q8" s="145"/>
      <c r="R8" s="146"/>
      <c r="S8" s="146"/>
      <c r="T8" s="146"/>
      <c r="U8" s="146"/>
      <c r="X8" s="146"/>
      <c r="Y8" s="146"/>
      <c r="Z8" s="146"/>
      <c r="AB8" s="65"/>
      <c r="AC8" s="65"/>
      <c r="AD8" s="65"/>
      <c r="AE8" s="65"/>
      <c r="AF8" s="65"/>
      <c r="AG8" s="65"/>
    </row>
    <row r="9" spans="1:33">
      <c r="B9" s="43"/>
      <c r="D9" s="4"/>
      <c r="F9" s="55"/>
      <c r="G9" s="55"/>
      <c r="H9" s="55"/>
      <c r="I9" s="55"/>
      <c r="J9" s="55"/>
      <c r="K9" s="55"/>
      <c r="L9" s="55"/>
      <c r="M9" s="55"/>
      <c r="N9" s="69"/>
      <c r="O9" s="60"/>
      <c r="P9" s="64"/>
      <c r="Q9" s="147"/>
      <c r="R9" s="147"/>
      <c r="S9" s="147"/>
      <c r="T9" s="147"/>
      <c r="U9" s="147"/>
      <c r="V9" s="148"/>
      <c r="X9" s="65"/>
      <c r="Y9" s="65"/>
      <c r="Z9" s="65"/>
      <c r="AB9" s="65"/>
      <c r="AC9" s="65"/>
      <c r="AD9" s="65"/>
      <c r="AE9" s="65"/>
      <c r="AF9" s="65"/>
      <c r="AG9" s="65"/>
    </row>
    <row r="10" spans="1:33">
      <c r="D10" s="4"/>
      <c r="F10" s="55"/>
      <c r="G10" s="55"/>
      <c r="H10" s="55"/>
      <c r="I10" s="55"/>
      <c r="J10" s="55"/>
      <c r="K10" s="55"/>
      <c r="L10" s="55"/>
      <c r="M10" s="55"/>
      <c r="N10" s="69"/>
      <c r="O10" s="60"/>
      <c r="P10" s="64"/>
      <c r="Q10" s="147"/>
      <c r="R10" s="147"/>
      <c r="S10" s="147"/>
      <c r="T10" s="147"/>
      <c r="U10" s="147"/>
      <c r="V10" s="148"/>
      <c r="X10" s="65"/>
      <c r="Y10" s="65"/>
      <c r="Z10" s="65"/>
      <c r="AB10" s="65"/>
      <c r="AC10" s="65"/>
      <c r="AD10" s="65"/>
      <c r="AE10" s="65"/>
      <c r="AF10" s="65"/>
      <c r="AG10" s="65"/>
    </row>
    <row r="11" spans="1:33">
      <c r="D11" s="4"/>
      <c r="F11" s="55"/>
      <c r="G11" s="55"/>
      <c r="H11" s="55"/>
      <c r="I11" s="55"/>
      <c r="J11" s="55"/>
      <c r="K11" s="55"/>
      <c r="L11" s="55"/>
      <c r="M11" s="55"/>
      <c r="N11" s="69"/>
      <c r="O11" s="60"/>
      <c r="P11" s="64"/>
      <c r="Q11" s="147"/>
      <c r="R11" s="147"/>
      <c r="S11" s="147"/>
      <c r="T11" s="147"/>
      <c r="U11" s="147"/>
      <c r="V11" s="148"/>
      <c r="X11" s="65"/>
      <c r="Y11" s="65"/>
      <c r="Z11" s="65"/>
      <c r="AB11" s="65"/>
      <c r="AC11" s="65"/>
      <c r="AD11" s="65"/>
      <c r="AE11" s="65"/>
      <c r="AF11" s="65"/>
      <c r="AG11" s="65"/>
    </row>
    <row r="12" spans="1:33">
      <c r="D12" s="4"/>
      <c r="F12" s="55"/>
      <c r="G12" s="55"/>
      <c r="H12" s="55"/>
      <c r="I12" s="55"/>
      <c r="J12" s="55"/>
      <c r="K12" s="55"/>
      <c r="L12" s="55"/>
      <c r="M12" s="55"/>
      <c r="N12" s="69"/>
      <c r="O12" s="60"/>
      <c r="P12" s="64"/>
      <c r="Q12" s="147"/>
      <c r="R12" s="147"/>
      <c r="S12" s="147"/>
      <c r="T12" s="147"/>
      <c r="U12" s="147"/>
      <c r="V12" s="148"/>
      <c r="X12" s="65"/>
      <c r="Y12" s="65"/>
      <c r="Z12" s="65"/>
      <c r="AB12" s="65"/>
      <c r="AC12" s="65"/>
      <c r="AD12" s="65"/>
      <c r="AE12" s="65"/>
      <c r="AF12" s="65"/>
      <c r="AG12" s="65"/>
    </row>
    <row r="13" spans="1:33">
      <c r="D13" s="4"/>
      <c r="F13" s="55"/>
      <c r="G13" s="55"/>
      <c r="H13" s="55"/>
      <c r="I13" s="55"/>
      <c r="J13" s="55"/>
      <c r="K13" s="55"/>
      <c r="L13" s="55"/>
      <c r="M13" s="55"/>
      <c r="N13" s="69"/>
      <c r="O13" s="60"/>
      <c r="P13" s="64"/>
      <c r="Q13" s="147"/>
      <c r="R13" s="147"/>
      <c r="S13" s="147"/>
      <c r="T13" s="147"/>
      <c r="U13" s="147"/>
      <c r="V13" s="148"/>
      <c r="X13" s="65"/>
      <c r="Y13" s="65"/>
      <c r="Z13" s="65"/>
      <c r="AB13" s="65"/>
      <c r="AC13" s="65"/>
      <c r="AD13" s="65"/>
      <c r="AE13" s="65"/>
      <c r="AF13" s="65"/>
      <c r="AG13" s="65"/>
    </row>
    <row r="14" spans="1:33">
      <c r="D14" s="4"/>
      <c r="F14" s="55"/>
      <c r="G14" s="55"/>
      <c r="H14" s="55"/>
      <c r="I14" s="55"/>
      <c r="J14" s="55"/>
      <c r="K14" s="55"/>
      <c r="L14" s="55"/>
      <c r="M14" s="55"/>
      <c r="N14" s="69"/>
      <c r="O14" s="60"/>
      <c r="P14" s="64"/>
      <c r="Q14" s="147"/>
      <c r="R14" s="147"/>
      <c r="S14" s="147"/>
      <c r="T14" s="147"/>
      <c r="U14" s="147"/>
      <c r="V14" s="148"/>
      <c r="X14" s="65"/>
      <c r="Y14" s="65"/>
      <c r="Z14" s="65"/>
      <c r="AB14" s="65"/>
      <c r="AC14" s="65"/>
      <c r="AD14" s="65"/>
      <c r="AE14" s="65"/>
      <c r="AF14" s="65"/>
      <c r="AG14" s="65"/>
    </row>
    <row r="15" spans="1:33">
      <c r="D15" s="4"/>
      <c r="F15" s="55"/>
      <c r="G15" s="55"/>
      <c r="H15" s="55"/>
      <c r="I15" s="55"/>
      <c r="J15" s="55"/>
      <c r="K15" s="55"/>
      <c r="L15" s="55"/>
      <c r="M15" s="55"/>
      <c r="N15" s="69"/>
      <c r="O15" s="60"/>
      <c r="P15" s="64"/>
      <c r="Q15" s="147"/>
      <c r="R15" s="147"/>
      <c r="S15" s="147"/>
      <c r="T15" s="147"/>
      <c r="U15" s="147"/>
      <c r="V15" s="148"/>
      <c r="X15" s="65"/>
      <c r="Y15" s="65"/>
      <c r="Z15" s="65"/>
      <c r="AB15" s="65"/>
      <c r="AC15" s="65"/>
      <c r="AD15" s="65"/>
      <c r="AE15" s="65"/>
      <c r="AF15" s="65"/>
      <c r="AG15" s="65"/>
    </row>
    <row r="16" spans="1:33">
      <c r="D16" s="4"/>
      <c r="F16" s="55"/>
      <c r="G16" s="55"/>
      <c r="H16" s="55"/>
      <c r="I16" s="55"/>
      <c r="J16" s="55"/>
      <c r="K16" s="55"/>
      <c r="L16" s="55"/>
      <c r="M16" s="55"/>
      <c r="N16" s="69"/>
      <c r="O16" s="60"/>
      <c r="P16" s="64"/>
      <c r="Q16" s="147"/>
      <c r="R16" s="147"/>
      <c r="S16" s="147"/>
      <c r="T16" s="147"/>
      <c r="U16" s="147"/>
      <c r="V16" s="148"/>
      <c r="X16" s="65"/>
      <c r="Y16" s="65"/>
      <c r="Z16" s="65"/>
      <c r="AB16" s="65"/>
      <c r="AC16" s="65"/>
      <c r="AD16" s="65"/>
      <c r="AE16" s="65"/>
      <c r="AF16" s="65"/>
      <c r="AG16" s="65"/>
    </row>
    <row r="17" spans="4:33">
      <c r="D17" s="4"/>
      <c r="F17" s="55"/>
      <c r="G17" s="55"/>
      <c r="H17" s="55"/>
      <c r="I17" s="55"/>
      <c r="J17" s="55"/>
      <c r="K17" s="55"/>
      <c r="L17" s="55"/>
      <c r="M17" s="55"/>
      <c r="N17" s="69"/>
      <c r="O17" s="60"/>
      <c r="P17" s="64"/>
      <c r="Q17" s="147"/>
      <c r="R17" s="147"/>
      <c r="S17" s="147"/>
      <c r="T17" s="147"/>
      <c r="U17" s="147"/>
      <c r="V17" s="148"/>
      <c r="X17" s="65"/>
      <c r="Y17" s="65"/>
      <c r="Z17" s="65"/>
      <c r="AB17" s="65"/>
      <c r="AC17" s="65"/>
      <c r="AD17" s="65"/>
      <c r="AE17" s="65"/>
      <c r="AF17" s="65"/>
      <c r="AG17" s="65"/>
    </row>
    <row r="18" spans="4:33">
      <c r="D18" s="4"/>
      <c r="F18" s="55"/>
      <c r="G18" s="55"/>
      <c r="H18" s="55"/>
      <c r="I18" s="55"/>
      <c r="J18" s="55"/>
      <c r="K18" s="55"/>
      <c r="L18" s="55"/>
      <c r="M18" s="55"/>
      <c r="N18" s="69"/>
      <c r="O18" s="60"/>
      <c r="P18" s="64"/>
      <c r="Q18" s="147"/>
      <c r="R18" s="147"/>
      <c r="S18" s="147"/>
      <c r="T18" s="147"/>
      <c r="U18" s="147"/>
      <c r="V18" s="148"/>
      <c r="X18" s="65"/>
      <c r="Y18" s="65"/>
      <c r="Z18" s="65"/>
      <c r="AB18" s="65"/>
      <c r="AC18" s="65"/>
      <c r="AD18" s="65"/>
      <c r="AE18" s="65"/>
      <c r="AF18" s="65"/>
      <c r="AG18" s="65"/>
    </row>
    <row r="19" spans="4:33" ht="11.25" customHeight="1">
      <c r="D19" s="4"/>
      <c r="F19" s="55"/>
      <c r="G19" s="55"/>
      <c r="H19" s="55"/>
      <c r="I19" s="55"/>
      <c r="J19" s="55"/>
      <c r="K19" s="55"/>
      <c r="L19" s="55"/>
      <c r="M19" s="55"/>
      <c r="N19" s="69"/>
      <c r="O19" s="60"/>
      <c r="P19" s="64"/>
      <c r="Q19" s="147"/>
      <c r="R19" s="147"/>
      <c r="S19" s="147"/>
      <c r="T19" s="147"/>
      <c r="U19" s="147"/>
      <c r="V19" s="148"/>
      <c r="X19" s="65"/>
      <c r="Y19" s="65"/>
      <c r="Z19" s="65"/>
      <c r="AB19" s="65"/>
      <c r="AC19" s="65"/>
      <c r="AD19" s="65"/>
      <c r="AE19" s="65"/>
      <c r="AF19" s="65"/>
      <c r="AG19" s="65"/>
    </row>
    <row r="20" spans="4:33">
      <c r="D20" s="4"/>
      <c r="F20" s="55"/>
      <c r="G20" s="55"/>
      <c r="H20" s="55"/>
      <c r="I20" s="55"/>
      <c r="J20" s="55"/>
      <c r="K20" s="55"/>
      <c r="L20" s="55"/>
      <c r="M20" s="55"/>
      <c r="N20" s="69"/>
      <c r="O20" s="60"/>
      <c r="P20" s="64"/>
      <c r="Q20" s="147"/>
      <c r="R20" s="147"/>
      <c r="S20" s="147"/>
      <c r="T20" s="147"/>
      <c r="U20" s="147"/>
      <c r="V20" s="148"/>
      <c r="X20" s="65"/>
      <c r="Y20" s="65"/>
      <c r="Z20" s="65"/>
      <c r="AB20" s="65"/>
      <c r="AC20" s="65"/>
      <c r="AD20" s="65"/>
      <c r="AE20" s="65"/>
      <c r="AF20" s="65"/>
      <c r="AG20" s="65"/>
    </row>
    <row r="21" spans="4:33">
      <c r="D21" s="4"/>
      <c r="F21" s="55"/>
      <c r="G21" s="55"/>
      <c r="H21" s="55"/>
      <c r="I21" s="55"/>
      <c r="J21" s="55"/>
      <c r="K21" s="55"/>
      <c r="L21" s="55"/>
      <c r="M21" s="55"/>
      <c r="N21" s="69"/>
      <c r="O21" s="60"/>
      <c r="P21" s="64"/>
      <c r="Q21" s="147"/>
      <c r="R21" s="147"/>
      <c r="S21" s="147"/>
      <c r="T21" s="147"/>
      <c r="U21" s="147"/>
      <c r="V21" s="148"/>
      <c r="X21" s="65"/>
      <c r="Y21" s="65"/>
      <c r="Z21" s="65"/>
      <c r="AB21" s="65"/>
      <c r="AC21" s="65"/>
      <c r="AD21" s="65"/>
      <c r="AE21" s="65"/>
      <c r="AF21" s="65"/>
      <c r="AG21" s="65"/>
    </row>
    <row r="22" spans="4:33">
      <c r="D22" s="41"/>
      <c r="F22" s="55"/>
      <c r="G22" s="55"/>
      <c r="H22" s="55"/>
      <c r="I22" s="55"/>
      <c r="J22" s="55"/>
      <c r="K22" s="55"/>
      <c r="L22" s="55"/>
      <c r="M22" s="55"/>
      <c r="N22" s="69"/>
      <c r="O22" s="60"/>
      <c r="P22" s="64"/>
      <c r="Q22" s="147"/>
      <c r="R22" s="147"/>
      <c r="S22" s="147"/>
      <c r="T22" s="147"/>
      <c r="U22" s="147"/>
      <c r="V22" s="148"/>
      <c r="X22" s="65"/>
      <c r="Y22" s="65"/>
      <c r="Z22" s="65"/>
      <c r="AB22" s="65"/>
      <c r="AC22" s="65"/>
      <c r="AD22" s="65"/>
      <c r="AE22" s="65"/>
      <c r="AF22" s="65"/>
      <c r="AG22" s="65"/>
    </row>
    <row r="23" spans="4:33">
      <c r="E23" s="55"/>
      <c r="F23" s="55"/>
      <c r="G23" s="55"/>
      <c r="H23" s="55"/>
      <c r="I23" s="55"/>
      <c r="J23" s="55"/>
      <c r="K23" s="55"/>
      <c r="L23" s="55"/>
      <c r="M23" s="55"/>
      <c r="N23" s="69"/>
      <c r="O23" s="61"/>
      <c r="P23" s="64"/>
      <c r="Q23" s="147"/>
      <c r="R23" s="147"/>
      <c r="S23" s="147"/>
      <c r="T23" s="147"/>
      <c r="U23" s="147"/>
      <c r="V23" s="148"/>
      <c r="X23" s="65"/>
      <c r="Y23" s="65"/>
      <c r="Z23" s="65"/>
      <c r="AB23" s="65"/>
      <c r="AC23" s="65"/>
      <c r="AD23" s="65"/>
      <c r="AE23" s="65"/>
      <c r="AF23" s="65"/>
      <c r="AG23" s="65"/>
    </row>
    <row r="24" spans="4:33">
      <c r="F24" s="55"/>
      <c r="G24" s="55"/>
      <c r="H24" s="55"/>
      <c r="I24" s="55"/>
      <c r="J24" s="55"/>
      <c r="K24" s="55"/>
      <c r="L24" s="55"/>
      <c r="M24" s="55"/>
      <c r="N24" s="70"/>
      <c r="O24" s="61"/>
      <c r="P24" s="64"/>
      <c r="Q24" s="147"/>
      <c r="R24" s="147"/>
      <c r="S24" s="147"/>
      <c r="T24" s="147"/>
      <c r="U24" s="147"/>
      <c r="V24" s="148"/>
      <c r="X24" s="65"/>
      <c r="Y24" s="65"/>
      <c r="Z24" s="65"/>
      <c r="AB24" s="65"/>
      <c r="AC24" s="65"/>
      <c r="AD24" s="65"/>
      <c r="AE24" s="65"/>
      <c r="AF24" s="65"/>
      <c r="AG24" s="65"/>
    </row>
    <row r="25" spans="4:33">
      <c r="F25" s="55"/>
      <c r="G25" s="55"/>
      <c r="H25" s="55"/>
      <c r="I25" s="55"/>
      <c r="J25" s="55"/>
      <c r="K25" s="55"/>
      <c r="L25" s="55"/>
      <c r="M25" s="55"/>
      <c r="N25" s="69"/>
      <c r="O25" s="60"/>
      <c r="P25" s="64"/>
      <c r="Q25" s="147"/>
      <c r="R25" s="147"/>
      <c r="S25" s="147"/>
      <c r="T25" s="147"/>
      <c r="U25" s="147"/>
      <c r="V25" s="148"/>
      <c r="X25" s="65"/>
      <c r="Y25" s="65"/>
      <c r="Z25" s="65"/>
      <c r="AB25" s="65"/>
      <c r="AC25" s="65"/>
      <c r="AD25" s="65"/>
      <c r="AE25" s="65"/>
      <c r="AF25" s="65"/>
      <c r="AG25" s="65"/>
    </row>
    <row r="26" spans="4:33">
      <c r="F26" s="55"/>
      <c r="G26" s="55"/>
      <c r="H26" s="55"/>
      <c r="I26" s="55"/>
      <c r="J26" s="55"/>
      <c r="K26" s="55"/>
      <c r="L26" s="55"/>
      <c r="M26" s="55"/>
      <c r="N26" s="69"/>
      <c r="O26" s="60"/>
      <c r="P26" s="64"/>
      <c r="Q26" s="147"/>
      <c r="R26" s="147"/>
      <c r="S26" s="147"/>
      <c r="T26" s="147"/>
      <c r="U26" s="147"/>
      <c r="V26" s="148"/>
      <c r="X26" s="65"/>
      <c r="Y26" s="65"/>
      <c r="Z26" s="65"/>
      <c r="AB26" s="65"/>
      <c r="AC26" s="65"/>
      <c r="AD26" s="65"/>
      <c r="AE26" s="65"/>
      <c r="AF26" s="65"/>
      <c r="AG26" s="65"/>
    </row>
    <row r="27" spans="4:33">
      <c r="F27" s="55"/>
      <c r="G27" s="55"/>
      <c r="H27" s="55"/>
      <c r="I27" s="55"/>
      <c r="J27" s="55"/>
      <c r="K27" s="55"/>
      <c r="L27" s="55"/>
      <c r="M27" s="55"/>
      <c r="N27" s="69"/>
      <c r="O27" s="60"/>
      <c r="P27" s="64"/>
      <c r="Q27" s="147"/>
      <c r="R27" s="147"/>
      <c r="S27" s="147"/>
      <c r="T27" s="147"/>
      <c r="U27" s="147"/>
      <c r="V27" s="148"/>
      <c r="X27" s="65"/>
      <c r="Y27" s="65"/>
      <c r="Z27" s="65"/>
      <c r="AB27" s="65"/>
      <c r="AC27" s="65"/>
      <c r="AD27" s="65"/>
      <c r="AE27" s="65"/>
      <c r="AF27" s="65"/>
      <c r="AG27" s="65"/>
    </row>
    <row r="28" spans="4:33">
      <c r="F28" s="55"/>
      <c r="G28" s="55"/>
      <c r="H28" s="55"/>
      <c r="I28" s="55"/>
      <c r="J28" s="55"/>
      <c r="K28" s="55"/>
      <c r="L28" s="55"/>
      <c r="M28" s="55"/>
      <c r="N28" s="69"/>
      <c r="O28" s="60"/>
      <c r="P28" s="64"/>
      <c r="Q28" s="147"/>
      <c r="R28" s="147"/>
      <c r="S28" s="147"/>
      <c r="T28" s="147"/>
      <c r="U28" s="147"/>
      <c r="V28" s="148"/>
      <c r="X28" s="65"/>
      <c r="Y28" s="65"/>
      <c r="Z28" s="65"/>
      <c r="AB28" s="65"/>
      <c r="AC28" s="65"/>
      <c r="AD28" s="65"/>
      <c r="AE28" s="65"/>
      <c r="AF28" s="65"/>
      <c r="AG28" s="65"/>
    </row>
    <row r="29" spans="4:33">
      <c r="F29" s="55"/>
      <c r="G29" s="55"/>
      <c r="H29" s="55"/>
      <c r="I29" s="55"/>
      <c r="J29" s="55"/>
      <c r="K29" s="55"/>
      <c r="L29" s="55"/>
      <c r="M29" s="55"/>
      <c r="N29" s="69"/>
      <c r="O29" s="60"/>
      <c r="P29" s="64"/>
      <c r="Q29" s="147"/>
      <c r="R29" s="147"/>
      <c r="S29" s="147"/>
      <c r="T29" s="147"/>
      <c r="U29" s="147"/>
      <c r="V29" s="148"/>
      <c r="X29" s="65"/>
      <c r="Y29" s="65"/>
      <c r="Z29" s="65"/>
      <c r="AB29" s="65"/>
      <c r="AC29" s="65"/>
      <c r="AD29" s="65"/>
      <c r="AE29" s="65"/>
      <c r="AF29" s="65"/>
      <c r="AG29" s="65"/>
    </row>
    <row r="30" spans="4:33">
      <c r="E30" s="67"/>
      <c r="F30" s="55"/>
      <c r="G30" s="55"/>
      <c r="H30" s="55"/>
      <c r="I30" s="55"/>
      <c r="J30" s="55"/>
      <c r="K30" s="55"/>
      <c r="L30" s="55"/>
      <c r="M30" s="55"/>
      <c r="N30" s="69"/>
      <c r="O30" s="60"/>
      <c r="P30" s="64"/>
      <c r="Q30" s="147"/>
      <c r="R30" s="147"/>
      <c r="S30" s="147"/>
      <c r="T30" s="147"/>
      <c r="U30" s="147"/>
      <c r="V30" s="148"/>
      <c r="X30" s="65"/>
      <c r="Y30" s="65"/>
      <c r="Z30" s="65"/>
      <c r="AA30" s="65"/>
      <c r="AB30" s="65"/>
      <c r="AC30" s="65"/>
      <c r="AD30" s="65"/>
      <c r="AE30" s="65"/>
      <c r="AF30" s="65"/>
      <c r="AG30" s="65"/>
    </row>
    <row r="31" spans="4:33">
      <c r="F31" s="55"/>
      <c r="G31" s="55"/>
      <c r="H31" s="55"/>
      <c r="I31" s="55"/>
      <c r="J31" s="55"/>
      <c r="K31" s="55"/>
      <c r="L31" s="55"/>
      <c r="M31" s="55"/>
      <c r="N31" s="69"/>
      <c r="O31" s="60"/>
      <c r="P31" s="64"/>
      <c r="Q31" s="147"/>
      <c r="R31" s="147"/>
      <c r="S31" s="147"/>
      <c r="T31" s="147"/>
      <c r="U31" s="147"/>
      <c r="V31" s="148"/>
      <c r="X31" s="65"/>
      <c r="Y31" s="65"/>
      <c r="Z31" s="65"/>
      <c r="AA31" s="65"/>
      <c r="AB31" s="65"/>
      <c r="AC31" s="65"/>
      <c r="AD31" s="65"/>
      <c r="AE31" s="65"/>
      <c r="AF31" s="65"/>
      <c r="AG31" s="65"/>
    </row>
    <row r="32" spans="4:33">
      <c r="F32" s="55"/>
      <c r="G32" s="55"/>
      <c r="H32" s="55"/>
      <c r="I32" s="55"/>
      <c r="J32" s="55"/>
      <c r="K32" s="55"/>
      <c r="L32" s="55"/>
      <c r="M32" s="55"/>
      <c r="N32" s="69"/>
      <c r="O32" s="60"/>
      <c r="P32" s="64"/>
      <c r="Q32" s="147"/>
      <c r="R32" s="147"/>
      <c r="S32" s="147"/>
      <c r="T32" s="147"/>
      <c r="U32" s="147"/>
      <c r="V32" s="148"/>
      <c r="X32" s="65"/>
      <c r="Y32" s="65"/>
      <c r="Z32" s="65"/>
      <c r="AA32" s="65"/>
      <c r="AB32" s="65"/>
      <c r="AC32" s="65"/>
      <c r="AD32" s="65"/>
      <c r="AE32" s="65"/>
      <c r="AF32" s="65"/>
      <c r="AG32" s="65"/>
    </row>
    <row r="33" spans="4:33">
      <c r="E33" s="54"/>
      <c r="F33" s="55"/>
      <c r="G33" s="55"/>
      <c r="H33" s="55"/>
      <c r="I33" s="55"/>
      <c r="J33" s="55"/>
      <c r="K33" s="55"/>
      <c r="L33" s="55"/>
      <c r="M33" s="55"/>
      <c r="N33" s="69"/>
      <c r="O33" s="60"/>
      <c r="P33" s="64"/>
      <c r="Q33" s="147"/>
      <c r="R33" s="147"/>
      <c r="S33" s="147"/>
      <c r="T33" s="147"/>
      <c r="U33" s="147"/>
      <c r="V33" s="148"/>
      <c r="X33" s="65"/>
      <c r="Y33" s="65"/>
      <c r="Z33" s="65"/>
      <c r="AA33" s="65"/>
      <c r="AB33" s="65"/>
      <c r="AC33" s="65"/>
      <c r="AD33" s="65"/>
      <c r="AE33" s="65"/>
      <c r="AF33" s="65"/>
      <c r="AG33" s="65"/>
    </row>
    <row r="34" spans="4:33">
      <c r="E34" s="54"/>
      <c r="F34" s="55"/>
      <c r="G34" s="55"/>
      <c r="H34" s="55"/>
      <c r="I34" s="55"/>
      <c r="J34" s="55"/>
      <c r="K34" s="55"/>
      <c r="L34" s="55"/>
      <c r="M34" s="55"/>
      <c r="N34" s="69"/>
      <c r="O34" s="60"/>
      <c r="P34" s="64"/>
      <c r="Q34" s="147"/>
      <c r="R34" s="147"/>
      <c r="S34" s="147"/>
      <c r="T34" s="147"/>
      <c r="U34" s="147"/>
      <c r="V34" s="148"/>
      <c r="X34" s="65"/>
      <c r="Y34" s="65"/>
      <c r="Z34" s="65"/>
      <c r="AA34" s="65"/>
      <c r="AB34" s="65"/>
      <c r="AC34" s="65"/>
      <c r="AD34" s="65"/>
      <c r="AE34" s="65"/>
      <c r="AF34" s="65"/>
      <c r="AG34" s="65"/>
    </row>
    <row r="35" spans="4:33">
      <c r="E35" s="54"/>
      <c r="F35" s="55"/>
      <c r="G35" s="55"/>
      <c r="H35" s="55"/>
      <c r="I35" s="55"/>
      <c r="J35" s="55"/>
      <c r="K35" s="55"/>
      <c r="L35" s="55"/>
      <c r="M35" s="55"/>
      <c r="N35" s="69"/>
      <c r="O35" s="60"/>
      <c r="P35" s="64"/>
      <c r="Q35" s="147"/>
      <c r="R35" s="147"/>
      <c r="S35" s="147"/>
      <c r="T35" s="147"/>
      <c r="U35" s="147"/>
      <c r="V35" s="148"/>
      <c r="X35" s="65"/>
      <c r="Y35" s="65"/>
      <c r="Z35" s="65"/>
      <c r="AA35" s="65"/>
      <c r="AB35" s="65"/>
      <c r="AC35" s="65"/>
      <c r="AD35" s="65"/>
      <c r="AE35" s="65"/>
      <c r="AF35" s="65"/>
      <c r="AG35" s="65"/>
    </row>
    <row r="36" spans="4:33">
      <c r="E36" s="54"/>
      <c r="F36" s="55"/>
      <c r="G36" s="55"/>
      <c r="H36" s="55"/>
      <c r="I36" s="55"/>
      <c r="J36" s="55"/>
      <c r="K36" s="55"/>
      <c r="L36" s="55"/>
      <c r="M36" s="55"/>
      <c r="N36" s="69"/>
      <c r="O36" s="60"/>
      <c r="P36" s="64"/>
      <c r="Q36" s="147"/>
      <c r="R36" s="147"/>
      <c r="S36" s="147"/>
      <c r="T36" s="147"/>
      <c r="U36" s="147"/>
      <c r="V36" s="148"/>
      <c r="X36" s="65"/>
      <c r="Y36" s="65"/>
      <c r="Z36" s="65"/>
      <c r="AA36" s="65"/>
      <c r="AB36" s="65"/>
      <c r="AC36" s="65"/>
      <c r="AD36" s="65"/>
      <c r="AE36" s="65"/>
      <c r="AF36" s="65"/>
      <c r="AG36" s="65"/>
    </row>
    <row r="37" spans="4:33">
      <c r="E37" s="54"/>
      <c r="F37" s="55"/>
      <c r="G37" s="55"/>
      <c r="H37" s="55"/>
      <c r="I37" s="55"/>
      <c r="J37" s="55"/>
      <c r="K37" s="55"/>
      <c r="L37" s="55"/>
      <c r="M37" s="55"/>
      <c r="N37" s="69"/>
      <c r="O37" s="60"/>
      <c r="P37" s="64"/>
      <c r="Q37" s="147"/>
      <c r="R37" s="147"/>
      <c r="S37" s="147"/>
      <c r="T37" s="147"/>
      <c r="U37" s="147"/>
      <c r="V37" s="148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4:33">
      <c r="E38" s="54"/>
      <c r="F38" s="55"/>
      <c r="G38" s="55"/>
      <c r="H38" s="55"/>
      <c r="I38" s="55"/>
      <c r="J38" s="55"/>
      <c r="K38" s="55"/>
      <c r="L38" s="55"/>
      <c r="M38" s="55"/>
      <c r="N38" s="69"/>
      <c r="O38" s="60"/>
      <c r="P38" s="64"/>
      <c r="Q38" s="147"/>
      <c r="R38" s="147"/>
      <c r="S38" s="147"/>
      <c r="T38" s="147"/>
      <c r="U38" s="147"/>
      <c r="V38" s="148"/>
      <c r="X38" s="65"/>
      <c r="Y38" s="65"/>
      <c r="Z38" s="65"/>
      <c r="AA38" s="65"/>
      <c r="AB38" s="65"/>
      <c r="AC38" s="65"/>
      <c r="AD38" s="65"/>
      <c r="AE38" s="65"/>
      <c r="AF38" s="65"/>
      <c r="AG38" s="65"/>
    </row>
    <row r="39" spans="4:33">
      <c r="D39" s="41"/>
      <c r="E39" s="54"/>
      <c r="F39" s="55"/>
      <c r="G39" s="55"/>
      <c r="H39" s="55"/>
      <c r="I39" s="55"/>
      <c r="J39" s="55"/>
      <c r="K39" s="55"/>
      <c r="L39" s="55"/>
      <c r="M39" s="55"/>
      <c r="N39" s="69"/>
      <c r="O39" s="60"/>
      <c r="P39" s="64"/>
      <c r="Q39" s="147"/>
      <c r="R39" s="147"/>
      <c r="S39" s="147"/>
      <c r="T39" s="147"/>
      <c r="U39" s="147"/>
      <c r="V39" s="148"/>
      <c r="X39" s="65"/>
      <c r="Y39" s="65"/>
      <c r="Z39" s="65"/>
      <c r="AA39" s="65"/>
      <c r="AB39" s="65"/>
      <c r="AC39" s="65"/>
      <c r="AD39" s="65"/>
      <c r="AE39" s="65"/>
      <c r="AF39" s="65"/>
      <c r="AG39" s="65"/>
    </row>
    <row r="40" spans="4:33">
      <c r="E40" s="54"/>
      <c r="F40" s="55"/>
      <c r="G40" s="55"/>
      <c r="H40" s="55"/>
      <c r="I40" s="55"/>
      <c r="J40" s="55"/>
      <c r="K40" s="55"/>
      <c r="L40" s="55"/>
      <c r="M40" s="55"/>
      <c r="N40" s="69"/>
      <c r="O40" s="60"/>
      <c r="P40" s="64"/>
      <c r="Q40" s="147"/>
      <c r="R40" s="147"/>
      <c r="S40" s="147"/>
      <c r="T40" s="147"/>
      <c r="U40" s="147"/>
      <c r="V40" s="148"/>
      <c r="X40" s="65"/>
      <c r="Y40" s="65"/>
      <c r="Z40" s="65"/>
      <c r="AA40" s="65"/>
      <c r="AB40" s="65"/>
      <c r="AC40" s="65"/>
      <c r="AD40" s="65"/>
      <c r="AE40" s="65"/>
      <c r="AF40" s="65"/>
      <c r="AG40" s="65"/>
    </row>
    <row r="41" spans="4:33">
      <c r="E41" s="54"/>
      <c r="F41" s="55"/>
      <c r="G41" s="55"/>
      <c r="H41" s="55"/>
      <c r="I41" s="55"/>
      <c r="J41" s="55"/>
      <c r="K41" s="55"/>
      <c r="L41" s="55"/>
      <c r="M41" s="55"/>
      <c r="N41" s="69"/>
      <c r="O41" s="60"/>
      <c r="P41" s="64"/>
      <c r="Q41" s="147"/>
      <c r="R41" s="147"/>
      <c r="S41" s="147"/>
      <c r="T41" s="147"/>
      <c r="U41" s="147"/>
      <c r="V41" s="148"/>
      <c r="X41" s="65"/>
      <c r="Y41" s="65"/>
      <c r="Z41" s="65"/>
      <c r="AA41" s="65"/>
      <c r="AB41" s="65"/>
      <c r="AC41" s="65"/>
      <c r="AD41" s="65"/>
      <c r="AE41" s="65"/>
      <c r="AF41" s="65"/>
      <c r="AG41" s="65"/>
    </row>
    <row r="42" spans="4:33">
      <c r="E42" s="54"/>
      <c r="F42" s="55"/>
      <c r="G42" s="55"/>
      <c r="H42" s="55"/>
      <c r="I42" s="55"/>
      <c r="J42" s="55"/>
      <c r="K42" s="55"/>
      <c r="L42" s="55"/>
      <c r="M42" s="55"/>
      <c r="N42" s="69"/>
      <c r="O42" s="60"/>
      <c r="P42" s="64"/>
      <c r="Q42" s="147"/>
      <c r="R42" s="147"/>
      <c r="S42" s="147"/>
      <c r="T42" s="147"/>
      <c r="U42" s="147"/>
      <c r="V42" s="148"/>
      <c r="X42" s="65"/>
      <c r="Y42" s="65"/>
      <c r="Z42" s="65"/>
      <c r="AA42" s="65"/>
      <c r="AB42" s="65"/>
      <c r="AC42" s="65"/>
      <c r="AD42" s="65"/>
      <c r="AE42" s="65"/>
      <c r="AF42" s="65"/>
      <c r="AG42" s="65"/>
    </row>
    <row r="43" spans="4:33">
      <c r="E43" s="54"/>
      <c r="F43" s="55"/>
      <c r="G43" s="55"/>
      <c r="H43" s="55"/>
      <c r="I43" s="55"/>
      <c r="J43" s="55"/>
      <c r="K43" s="55"/>
      <c r="L43" s="55"/>
      <c r="M43" s="55"/>
      <c r="N43" s="69"/>
      <c r="O43" s="60"/>
      <c r="P43" s="64"/>
      <c r="Q43" s="147"/>
      <c r="R43" s="147"/>
      <c r="S43" s="147"/>
      <c r="T43" s="147"/>
      <c r="U43" s="147"/>
      <c r="V43" s="148"/>
      <c r="X43" s="65"/>
      <c r="Y43" s="65"/>
      <c r="Z43" s="65"/>
      <c r="AA43" s="65"/>
      <c r="AB43" s="65"/>
      <c r="AC43" s="65"/>
      <c r="AD43" s="65"/>
      <c r="AE43" s="65"/>
      <c r="AF43" s="65"/>
      <c r="AG43" s="65"/>
    </row>
    <row r="44" spans="4:33">
      <c r="E44" s="54"/>
      <c r="F44" s="55"/>
      <c r="G44" s="55"/>
      <c r="H44" s="55"/>
      <c r="I44" s="55"/>
      <c r="J44" s="55"/>
      <c r="K44" s="55"/>
      <c r="L44" s="55"/>
      <c r="M44" s="55"/>
      <c r="N44" s="69"/>
      <c r="O44" s="60"/>
      <c r="P44" s="64"/>
      <c r="Q44" s="147"/>
      <c r="R44" s="147"/>
      <c r="S44" s="147"/>
      <c r="T44" s="147"/>
      <c r="U44" s="147"/>
      <c r="V44" s="148"/>
      <c r="X44" s="65"/>
      <c r="Y44" s="65"/>
      <c r="Z44" s="65"/>
      <c r="AA44" s="65"/>
      <c r="AB44" s="65"/>
      <c r="AC44" s="65"/>
      <c r="AD44" s="65"/>
      <c r="AE44" s="65"/>
      <c r="AF44" s="65"/>
      <c r="AG44" s="65"/>
    </row>
    <row r="45" spans="4:33">
      <c r="E45" s="59"/>
      <c r="F45" s="55"/>
      <c r="G45" s="55"/>
      <c r="H45" s="55"/>
      <c r="I45" s="55"/>
      <c r="J45" s="55"/>
      <c r="K45" s="55"/>
      <c r="L45" s="55"/>
      <c r="M45" s="55"/>
      <c r="N45" s="69"/>
      <c r="O45" s="60"/>
      <c r="P45" s="64"/>
      <c r="Q45" s="147"/>
      <c r="R45" s="147"/>
      <c r="S45" s="147"/>
      <c r="T45" s="147"/>
      <c r="U45" s="147"/>
      <c r="V45" s="148"/>
      <c r="X45" s="65"/>
      <c r="Y45" s="65"/>
      <c r="Z45" s="65"/>
      <c r="AA45" s="65"/>
      <c r="AB45" s="65"/>
      <c r="AC45" s="65"/>
      <c r="AD45" s="65"/>
      <c r="AE45" s="65"/>
      <c r="AF45" s="65"/>
      <c r="AG45" s="65"/>
    </row>
    <row r="46" spans="4:33">
      <c r="E46" s="59"/>
      <c r="F46" s="55"/>
      <c r="G46" s="55"/>
      <c r="H46" s="55"/>
      <c r="I46" s="55"/>
      <c r="J46" s="55"/>
      <c r="K46" s="55"/>
      <c r="L46" s="55"/>
      <c r="M46" s="55"/>
      <c r="N46" s="69"/>
      <c r="O46" s="60"/>
      <c r="P46" s="64"/>
      <c r="Q46" s="147"/>
      <c r="R46" s="147"/>
      <c r="S46" s="147"/>
      <c r="T46" s="147"/>
      <c r="U46" s="147"/>
      <c r="V46" s="148"/>
      <c r="X46" s="65"/>
      <c r="Y46" s="65"/>
      <c r="Z46" s="65"/>
      <c r="AA46" s="65"/>
      <c r="AB46" s="65"/>
      <c r="AC46" s="65"/>
      <c r="AD46" s="65"/>
      <c r="AE46" s="65"/>
      <c r="AF46" s="65"/>
      <c r="AG46" s="65"/>
    </row>
    <row r="47" spans="4:33">
      <c r="E47" s="59"/>
      <c r="F47" s="55"/>
      <c r="G47" s="55"/>
      <c r="H47" s="55"/>
      <c r="I47" s="55"/>
      <c r="J47" s="55"/>
      <c r="K47" s="55"/>
      <c r="L47" s="55"/>
      <c r="M47" s="55"/>
      <c r="N47" s="69"/>
      <c r="O47" s="60"/>
      <c r="P47" s="64"/>
      <c r="Q47" s="147"/>
      <c r="R47" s="147"/>
      <c r="S47" s="147"/>
      <c r="T47" s="147"/>
      <c r="U47" s="147"/>
      <c r="V47" s="148"/>
      <c r="X47" s="65"/>
      <c r="Y47" s="65"/>
      <c r="Z47" s="65"/>
      <c r="AA47" s="65"/>
      <c r="AB47" s="65"/>
      <c r="AC47" s="65"/>
      <c r="AD47" s="65"/>
      <c r="AE47" s="65"/>
      <c r="AF47" s="65"/>
      <c r="AG47" s="65"/>
    </row>
    <row r="48" spans="4:33">
      <c r="E48" s="59"/>
      <c r="F48" s="55"/>
      <c r="G48" s="55"/>
      <c r="H48" s="55"/>
      <c r="I48" s="55"/>
      <c r="J48" s="55"/>
      <c r="K48" s="55"/>
      <c r="L48" s="55"/>
      <c r="M48" s="55"/>
      <c r="N48" s="69"/>
      <c r="O48" s="60"/>
      <c r="P48" s="64"/>
      <c r="Q48" s="147"/>
      <c r="R48" s="147"/>
      <c r="S48" s="147"/>
      <c r="T48" s="147"/>
      <c r="U48" s="147"/>
      <c r="V48" s="148"/>
      <c r="X48" s="65"/>
      <c r="Y48" s="65"/>
      <c r="Z48" s="65"/>
      <c r="AA48" s="65"/>
      <c r="AB48" s="65"/>
      <c r="AC48" s="65"/>
      <c r="AD48" s="65"/>
      <c r="AE48" s="65"/>
      <c r="AF48" s="65"/>
      <c r="AG48" s="65"/>
    </row>
    <row r="49" spans="5:33">
      <c r="E49" s="59"/>
      <c r="F49" s="55"/>
      <c r="G49" s="55"/>
      <c r="H49" s="55"/>
      <c r="I49" s="55"/>
      <c r="J49" s="55"/>
      <c r="K49" s="55"/>
      <c r="L49" s="55"/>
      <c r="M49" s="55"/>
      <c r="N49" s="69"/>
      <c r="O49" s="60"/>
      <c r="P49" s="64"/>
      <c r="Q49" s="147"/>
      <c r="R49" s="147"/>
      <c r="S49" s="147"/>
      <c r="T49" s="147"/>
      <c r="U49" s="147"/>
      <c r="V49" s="148"/>
      <c r="X49" s="65"/>
      <c r="Y49" s="65"/>
      <c r="Z49" s="65"/>
      <c r="AA49" s="65"/>
      <c r="AB49" s="65"/>
      <c r="AC49" s="65"/>
      <c r="AD49" s="65"/>
      <c r="AE49" s="65"/>
      <c r="AF49" s="65"/>
      <c r="AG49" s="65"/>
    </row>
    <row r="50" spans="5:33">
      <c r="E50" s="59"/>
      <c r="F50" s="55"/>
      <c r="G50" s="55"/>
      <c r="H50" s="55"/>
      <c r="I50" s="55"/>
      <c r="J50" s="55"/>
      <c r="K50" s="55"/>
      <c r="L50" s="55"/>
      <c r="M50" s="55"/>
      <c r="N50" s="69"/>
      <c r="O50" s="60"/>
      <c r="P50" s="64"/>
      <c r="Q50" s="147"/>
      <c r="R50" s="147"/>
      <c r="S50" s="147"/>
      <c r="T50" s="147"/>
      <c r="U50" s="147"/>
      <c r="V50" s="148"/>
      <c r="X50" s="65"/>
      <c r="Y50" s="65"/>
      <c r="Z50" s="65"/>
      <c r="AA50" s="65"/>
      <c r="AB50" s="65"/>
      <c r="AC50" s="65"/>
      <c r="AD50" s="65"/>
      <c r="AE50" s="65"/>
      <c r="AF50" s="65"/>
      <c r="AG50" s="65"/>
    </row>
    <row r="51" spans="5:33">
      <c r="E51" s="59"/>
      <c r="F51" s="55"/>
      <c r="G51" s="55"/>
      <c r="H51" s="55"/>
      <c r="I51" s="55"/>
      <c r="J51" s="55"/>
      <c r="K51" s="55"/>
      <c r="L51" s="55"/>
      <c r="M51" s="55"/>
      <c r="N51" s="69"/>
      <c r="O51" s="60"/>
      <c r="P51" s="64"/>
      <c r="Q51" s="147"/>
      <c r="R51" s="147"/>
      <c r="S51" s="147"/>
      <c r="T51" s="147"/>
      <c r="U51" s="147"/>
      <c r="V51" s="148"/>
      <c r="X51" s="65"/>
      <c r="Y51" s="65"/>
      <c r="Z51" s="65"/>
      <c r="AA51" s="65"/>
      <c r="AB51" s="65"/>
      <c r="AC51" s="65"/>
      <c r="AD51" s="65"/>
      <c r="AE51" s="65"/>
      <c r="AF51" s="65"/>
      <c r="AG51" s="65"/>
    </row>
    <row r="52" spans="5:33">
      <c r="E52" s="54"/>
      <c r="F52" s="55"/>
      <c r="G52" s="55"/>
      <c r="H52" s="55"/>
      <c r="I52" s="55"/>
      <c r="J52" s="55"/>
      <c r="K52" s="55"/>
      <c r="L52" s="55"/>
      <c r="M52" s="55"/>
      <c r="N52" s="69"/>
      <c r="O52" s="60"/>
      <c r="P52" s="64"/>
      <c r="Q52" s="147"/>
      <c r="R52" s="147"/>
      <c r="S52" s="147"/>
      <c r="T52" s="147"/>
      <c r="U52" s="147"/>
      <c r="V52" s="148"/>
      <c r="X52" s="65"/>
      <c r="Y52" s="65"/>
      <c r="Z52" s="65"/>
      <c r="AA52" s="65"/>
      <c r="AB52" s="65"/>
      <c r="AC52" s="65"/>
      <c r="AD52" s="65"/>
      <c r="AE52" s="65"/>
      <c r="AF52" s="65"/>
      <c r="AG52" s="65"/>
    </row>
    <row r="53" spans="5:33">
      <c r="E53" s="54"/>
      <c r="F53" s="55"/>
      <c r="G53" s="55"/>
      <c r="H53" s="55"/>
      <c r="I53" s="55"/>
      <c r="J53" s="55"/>
      <c r="K53" s="55"/>
      <c r="L53" s="55"/>
      <c r="M53" s="55"/>
      <c r="N53" s="69"/>
      <c r="O53" s="60"/>
      <c r="P53" s="64"/>
      <c r="Q53" s="147"/>
      <c r="R53" s="147"/>
      <c r="S53" s="147"/>
      <c r="T53" s="147"/>
      <c r="U53" s="147"/>
      <c r="V53" s="148"/>
      <c r="X53" s="65"/>
      <c r="Y53" s="65"/>
      <c r="Z53" s="65"/>
      <c r="AA53" s="65"/>
      <c r="AB53" s="65"/>
      <c r="AC53" s="65"/>
      <c r="AD53" s="65"/>
      <c r="AE53" s="65"/>
      <c r="AF53" s="65"/>
      <c r="AG53" s="65"/>
    </row>
    <row r="54" spans="5:33">
      <c r="E54" s="54"/>
      <c r="F54" s="55"/>
      <c r="G54" s="55"/>
      <c r="H54" s="55"/>
      <c r="I54" s="55"/>
      <c r="J54" s="55"/>
      <c r="K54" s="55"/>
      <c r="L54" s="55"/>
      <c r="M54" s="55"/>
      <c r="N54" s="69"/>
      <c r="O54" s="61">
        <v>42217</v>
      </c>
      <c r="P54" s="64"/>
      <c r="Q54" s="147"/>
      <c r="R54" s="147"/>
      <c r="S54" s="147"/>
      <c r="T54" s="147"/>
      <c r="U54" s="147"/>
      <c r="V54" s="148"/>
      <c r="X54" s="65"/>
      <c r="Y54" s="65"/>
      <c r="Z54" s="65"/>
      <c r="AA54" s="65"/>
      <c r="AB54" s="65"/>
    </row>
    <row r="55" spans="5:33">
      <c r="E55" s="54"/>
      <c r="F55" s="55"/>
      <c r="G55" s="55"/>
      <c r="H55" s="55"/>
      <c r="I55" s="55"/>
      <c r="J55" s="55"/>
      <c r="K55" s="55"/>
      <c r="L55" s="55"/>
      <c r="M55" s="55"/>
      <c r="N55" s="69"/>
      <c r="O55" s="61"/>
      <c r="P55" s="64"/>
      <c r="Q55" s="147"/>
      <c r="R55" s="147"/>
      <c r="S55" s="147"/>
      <c r="T55" s="147"/>
      <c r="U55" s="147"/>
      <c r="V55" s="148"/>
      <c r="X55" s="65"/>
      <c r="Y55" s="65"/>
      <c r="Z55" s="65"/>
      <c r="AA55" s="65"/>
      <c r="AB55" s="65"/>
    </row>
    <row r="56" spans="5:33">
      <c r="E56" s="54"/>
      <c r="F56" s="55"/>
      <c r="G56" s="55"/>
      <c r="H56" s="55"/>
      <c r="I56" s="55"/>
      <c r="J56" s="55"/>
      <c r="K56" s="55"/>
      <c r="L56" s="55"/>
      <c r="M56" s="55"/>
      <c r="N56" s="69"/>
      <c r="O56" s="60"/>
      <c r="P56" s="64"/>
      <c r="Q56" s="147"/>
      <c r="R56" s="147"/>
      <c r="S56" s="147"/>
      <c r="T56" s="147"/>
      <c r="U56" s="147"/>
      <c r="V56" s="148"/>
      <c r="X56" s="65"/>
      <c r="Y56" s="65"/>
      <c r="Z56" s="65"/>
      <c r="AA56" s="65"/>
      <c r="AB56" s="65"/>
    </row>
    <row r="57" spans="5:33">
      <c r="E57" s="66"/>
      <c r="F57" s="55"/>
      <c r="G57" s="55"/>
      <c r="H57" s="55"/>
      <c r="I57" s="55"/>
      <c r="J57" s="55"/>
      <c r="K57" s="55"/>
      <c r="L57" s="55"/>
      <c r="M57" s="55"/>
      <c r="N57" s="69"/>
      <c r="O57" s="60"/>
      <c r="P57" s="64"/>
      <c r="Q57" s="147"/>
      <c r="R57" s="147"/>
      <c r="S57" s="147"/>
      <c r="T57" s="147"/>
      <c r="U57" s="147"/>
      <c r="V57" s="148"/>
      <c r="X57" s="65"/>
      <c r="Y57" s="65"/>
      <c r="Z57" s="65"/>
      <c r="AA57" s="65"/>
      <c r="AB57" s="65"/>
    </row>
    <row r="58" spans="5:33">
      <c r="E58" s="66"/>
      <c r="F58" s="55"/>
      <c r="G58" s="55"/>
      <c r="H58" s="55"/>
      <c r="I58" s="55"/>
      <c r="J58" s="55"/>
      <c r="K58" s="55"/>
      <c r="L58" s="55"/>
      <c r="M58" s="55"/>
      <c r="N58" s="69"/>
      <c r="O58" s="60"/>
      <c r="P58" s="64"/>
      <c r="Q58" s="147"/>
      <c r="R58" s="147"/>
      <c r="S58" s="147"/>
      <c r="T58" s="147"/>
      <c r="U58" s="147"/>
      <c r="V58" s="148"/>
      <c r="X58" s="65"/>
      <c r="Y58" s="65"/>
      <c r="Z58" s="65"/>
      <c r="AA58" s="65"/>
      <c r="AB58" s="65"/>
    </row>
    <row r="59" spans="5:33">
      <c r="E59" s="66"/>
      <c r="F59" s="55"/>
      <c r="G59" s="55"/>
      <c r="H59" s="55"/>
      <c r="I59" s="55"/>
      <c r="J59" s="55"/>
      <c r="K59" s="55"/>
      <c r="L59" s="55"/>
      <c r="M59" s="55"/>
      <c r="N59" s="69"/>
      <c r="O59" s="60"/>
      <c r="P59" s="64"/>
      <c r="Q59" s="147"/>
      <c r="R59" s="147"/>
      <c r="S59" s="147"/>
      <c r="T59" s="147"/>
      <c r="U59" s="147"/>
      <c r="V59" s="148"/>
      <c r="X59" s="65"/>
      <c r="Y59" s="65"/>
      <c r="Z59" s="65"/>
      <c r="AA59" s="65"/>
      <c r="AB59" s="65"/>
    </row>
    <row r="60" spans="5:33">
      <c r="E60" s="66"/>
      <c r="F60" s="55"/>
      <c r="G60" s="55"/>
      <c r="H60" s="55"/>
      <c r="I60" s="55"/>
      <c r="J60" s="55"/>
      <c r="K60" s="55"/>
      <c r="L60" s="55"/>
      <c r="M60" s="55"/>
      <c r="N60" s="69"/>
      <c r="O60" s="60"/>
      <c r="P60" s="64"/>
      <c r="Q60" s="147"/>
      <c r="R60" s="147"/>
      <c r="S60" s="147"/>
      <c r="T60" s="147"/>
      <c r="U60" s="147"/>
      <c r="V60" s="148"/>
      <c r="X60" s="65"/>
      <c r="Y60" s="65"/>
      <c r="Z60" s="65"/>
      <c r="AB60" s="65"/>
    </row>
    <row r="61" spans="5:33">
      <c r="E61" s="66"/>
      <c r="F61" s="55"/>
      <c r="G61" s="55"/>
      <c r="H61" s="55"/>
      <c r="I61" s="55"/>
      <c r="J61" s="55"/>
      <c r="K61" s="55"/>
      <c r="L61" s="55"/>
      <c r="M61" s="55"/>
      <c r="N61" s="69"/>
      <c r="O61" s="60"/>
      <c r="P61" s="64"/>
      <c r="Q61" s="147"/>
      <c r="R61" s="147"/>
      <c r="S61" s="147"/>
      <c r="T61" s="147"/>
      <c r="U61" s="147"/>
      <c r="V61" s="148"/>
      <c r="X61" s="65"/>
      <c r="Y61" s="65"/>
      <c r="Z61" s="65"/>
    </row>
    <row r="62" spans="5:33">
      <c r="E62" s="66"/>
      <c r="F62" s="55"/>
      <c r="G62" s="55"/>
      <c r="H62" s="55"/>
      <c r="I62" s="55"/>
      <c r="J62" s="55"/>
      <c r="K62" s="55"/>
      <c r="L62" s="55"/>
      <c r="M62" s="55"/>
      <c r="N62" s="69"/>
      <c r="O62" s="60"/>
      <c r="P62" s="64"/>
      <c r="Q62" s="147"/>
      <c r="R62" s="147"/>
      <c r="S62" s="147"/>
      <c r="T62" s="147"/>
      <c r="U62" s="147"/>
      <c r="V62" s="148"/>
      <c r="X62" s="65"/>
      <c r="Y62" s="65"/>
      <c r="Z62" s="65"/>
    </row>
    <row r="63" spans="5:33">
      <c r="E63" s="66"/>
      <c r="F63" s="55"/>
      <c r="G63" s="55"/>
      <c r="H63" s="55"/>
      <c r="I63" s="55"/>
      <c r="J63" s="55"/>
      <c r="K63" s="55"/>
      <c r="L63" s="55"/>
      <c r="M63" s="55"/>
      <c r="N63" s="69"/>
      <c r="O63" s="60"/>
      <c r="P63" s="64"/>
      <c r="Q63" s="147"/>
      <c r="R63" s="147"/>
      <c r="S63" s="147"/>
      <c r="T63" s="147"/>
      <c r="U63" s="147"/>
      <c r="V63" s="148"/>
      <c r="X63" s="65"/>
      <c r="Y63" s="65"/>
      <c r="Z63" s="65"/>
    </row>
    <row r="64" spans="5:33">
      <c r="E64" s="66"/>
      <c r="F64" s="55"/>
      <c r="G64" s="55"/>
      <c r="H64" s="55"/>
      <c r="I64" s="55"/>
      <c r="J64" s="55"/>
      <c r="K64" s="55"/>
      <c r="L64" s="55"/>
      <c r="M64" s="55"/>
      <c r="N64" s="69">
        <f>'Data 3'!I60-'Data 3'!I59</f>
        <v>-35.083117926258886</v>
      </c>
      <c r="O64" s="62">
        <f>'Data 3'!I60-'Data 3'!I48</f>
        <v>-38.433008007882478</v>
      </c>
      <c r="P64" s="64"/>
      <c r="Q64" s="147"/>
      <c r="R64" s="147"/>
      <c r="S64" s="147"/>
      <c r="T64" s="147"/>
      <c r="U64" s="147"/>
      <c r="V64" s="148"/>
      <c r="X64" s="65"/>
      <c r="Y64" s="65"/>
      <c r="Z64" s="65"/>
    </row>
    <row r="65" spans="5:26">
      <c r="E65" s="66"/>
      <c r="F65" s="55"/>
      <c r="G65" s="55"/>
      <c r="H65" s="55"/>
      <c r="I65" s="55"/>
      <c r="J65" s="55"/>
      <c r="K65" s="55"/>
      <c r="L65" s="55"/>
      <c r="M65" s="55"/>
      <c r="N65" s="69"/>
      <c r="O65" s="60"/>
      <c r="P65" s="64"/>
      <c r="Q65" s="147"/>
      <c r="R65" s="147"/>
      <c r="S65" s="147"/>
      <c r="T65" s="147"/>
      <c r="U65" s="147"/>
      <c r="V65" s="148"/>
      <c r="X65" s="65"/>
      <c r="Y65" s="65"/>
      <c r="Z65" s="65"/>
    </row>
    <row r="66" spans="5:26">
      <c r="E66" s="66"/>
      <c r="F66" s="55"/>
      <c r="G66" s="55"/>
      <c r="H66" s="55"/>
      <c r="I66" s="55"/>
      <c r="J66" s="55"/>
      <c r="K66" s="55"/>
      <c r="L66" s="55"/>
      <c r="M66" s="55"/>
      <c r="N66" s="69"/>
      <c r="O66" s="60"/>
      <c r="P66" s="64"/>
      <c r="Q66" s="147"/>
      <c r="R66" s="147"/>
      <c r="S66" s="147"/>
      <c r="T66" s="147"/>
      <c r="U66" s="147"/>
      <c r="V66" s="148"/>
      <c r="X66" s="65"/>
      <c r="Y66" s="65"/>
      <c r="Z66" s="65"/>
    </row>
    <row r="67" spans="5:26">
      <c r="E67" s="66"/>
      <c r="F67" s="55"/>
      <c r="G67" s="55"/>
      <c r="H67" s="55"/>
      <c r="I67" s="55"/>
      <c r="J67" s="55"/>
      <c r="K67" s="55"/>
      <c r="L67" s="55"/>
      <c r="M67" s="55"/>
      <c r="N67" s="69"/>
      <c r="O67" s="60"/>
      <c r="P67" s="64"/>
      <c r="Q67" s="147"/>
      <c r="R67" s="147"/>
      <c r="S67" s="147"/>
      <c r="T67" s="147"/>
      <c r="U67" s="147"/>
      <c r="V67" s="148"/>
      <c r="X67" s="65"/>
      <c r="Y67" s="65"/>
      <c r="Z67" s="65"/>
    </row>
    <row r="68" spans="5:26">
      <c r="E68" s="66"/>
      <c r="F68" s="55"/>
      <c r="G68" s="55"/>
      <c r="H68" s="55"/>
      <c r="I68" s="55"/>
      <c r="J68" s="55"/>
      <c r="K68" s="55"/>
      <c r="L68" s="55"/>
      <c r="M68" s="55"/>
      <c r="N68" s="69"/>
      <c r="O68" s="60"/>
      <c r="P68" s="64"/>
      <c r="Q68" s="147"/>
      <c r="R68" s="147"/>
      <c r="S68" s="147"/>
      <c r="T68" s="147"/>
      <c r="U68" s="147"/>
      <c r="V68" s="148"/>
      <c r="X68" s="65"/>
      <c r="Y68" s="65"/>
      <c r="Z68" s="65"/>
    </row>
    <row r="69" spans="5:26">
      <c r="F69" s="55"/>
      <c r="G69" s="55"/>
      <c r="H69" s="55"/>
      <c r="I69" s="55"/>
      <c r="J69" s="55"/>
      <c r="K69" s="55"/>
      <c r="L69" s="55"/>
      <c r="M69" s="55"/>
      <c r="N69" s="71"/>
      <c r="O69" s="60"/>
      <c r="P69" s="64"/>
      <c r="Q69" s="147"/>
      <c r="R69" s="147"/>
      <c r="S69" s="147"/>
      <c r="T69" s="147"/>
      <c r="U69" s="147"/>
      <c r="V69" s="148"/>
      <c r="X69" s="65"/>
      <c r="Y69" s="65"/>
      <c r="Z69" s="65"/>
    </row>
    <row r="70" spans="5:26">
      <c r="O70" s="60"/>
      <c r="P70" s="64"/>
      <c r="Q70" s="147"/>
      <c r="R70" s="147"/>
      <c r="S70" s="147"/>
      <c r="T70" s="147"/>
      <c r="U70" s="147"/>
      <c r="V70" s="148"/>
      <c r="X70" s="65"/>
      <c r="Y70" s="65"/>
      <c r="Z70" s="65"/>
    </row>
    <row r="71" spans="5:26">
      <c r="O71" s="60"/>
      <c r="P71" s="64"/>
      <c r="Q71" s="147"/>
      <c r="R71" s="147"/>
      <c r="S71" s="147"/>
      <c r="T71" s="147"/>
      <c r="U71" s="147"/>
      <c r="V71" s="148"/>
      <c r="X71" s="65"/>
      <c r="Y71" s="65"/>
      <c r="Z71" s="65"/>
    </row>
    <row r="72" spans="5:26">
      <c r="O72" s="60"/>
      <c r="P72" s="64"/>
      <c r="Q72" s="147"/>
      <c r="R72" s="147"/>
      <c r="S72" s="147"/>
      <c r="T72" s="147"/>
      <c r="U72" s="147"/>
      <c r="V72" s="148"/>
      <c r="X72" s="65"/>
      <c r="Y72" s="65"/>
      <c r="Z72" s="65"/>
    </row>
    <row r="73" spans="5:26">
      <c r="O73" s="60"/>
      <c r="P73" s="64"/>
      <c r="Q73" s="147"/>
      <c r="R73" s="147"/>
      <c r="S73" s="147"/>
      <c r="T73" s="147"/>
      <c r="U73" s="147"/>
      <c r="V73" s="148"/>
      <c r="X73" s="65"/>
      <c r="Y73" s="65"/>
      <c r="Z73" s="65"/>
    </row>
    <row r="74" spans="5:26">
      <c r="O74" s="60"/>
      <c r="P74" s="64"/>
      <c r="Q74" s="147"/>
      <c r="R74" s="147"/>
      <c r="S74" s="147"/>
      <c r="T74" s="147"/>
      <c r="U74" s="147"/>
      <c r="V74" s="148"/>
      <c r="X74" s="65"/>
      <c r="Y74" s="65"/>
      <c r="Z74" s="65"/>
    </row>
    <row r="75" spans="5:26">
      <c r="O75" s="60"/>
      <c r="P75" s="64"/>
      <c r="Q75" s="147"/>
      <c r="R75" s="147"/>
      <c r="S75" s="147"/>
      <c r="T75" s="147"/>
      <c r="U75" s="147"/>
      <c r="V75" s="148"/>
      <c r="X75" s="65"/>
      <c r="Y75" s="65"/>
      <c r="Z75" s="65"/>
    </row>
    <row r="76" spans="5:26">
      <c r="O76" s="60"/>
      <c r="P76" s="64"/>
      <c r="Q76" s="147"/>
      <c r="R76" s="147"/>
      <c r="S76" s="147"/>
      <c r="T76" s="147"/>
      <c r="U76" s="147"/>
      <c r="V76" s="148"/>
      <c r="X76" s="65"/>
      <c r="Y76" s="65"/>
      <c r="Z76" s="65"/>
    </row>
    <row r="77" spans="5:26">
      <c r="O77" s="60"/>
      <c r="P77" s="64"/>
      <c r="Q77" s="147"/>
      <c r="R77" s="147"/>
      <c r="S77" s="147"/>
      <c r="T77" s="147"/>
      <c r="U77" s="147"/>
      <c r="V77" s="148"/>
      <c r="X77" s="65"/>
      <c r="Y77" s="65"/>
      <c r="Z77" s="65"/>
    </row>
    <row r="78" spans="5:26">
      <c r="O78" s="60"/>
      <c r="P78" s="64"/>
      <c r="Q78" s="147"/>
      <c r="R78" s="147"/>
      <c r="S78" s="147"/>
      <c r="T78" s="147"/>
      <c r="U78" s="147"/>
      <c r="V78" s="148"/>
      <c r="X78" s="65"/>
      <c r="Y78" s="65"/>
      <c r="Z78" s="65"/>
    </row>
    <row r="79" spans="5:26">
      <c r="O79" s="60"/>
      <c r="P79" s="64"/>
      <c r="Q79" s="147"/>
      <c r="R79" s="147"/>
      <c r="S79" s="147"/>
      <c r="T79" s="147"/>
      <c r="U79" s="147"/>
      <c r="V79" s="148"/>
      <c r="X79" s="65"/>
      <c r="Y79" s="65"/>
      <c r="Z79" s="65"/>
    </row>
    <row r="80" spans="5:26">
      <c r="O80" s="60"/>
      <c r="P80" s="64"/>
      <c r="Q80" s="147"/>
      <c r="R80" s="147"/>
      <c r="S80" s="147"/>
      <c r="T80" s="147"/>
      <c r="U80" s="147"/>
      <c r="V80" s="148"/>
      <c r="X80" s="65"/>
      <c r="Y80" s="65"/>
      <c r="Z80" s="65"/>
    </row>
    <row r="81" spans="15:26">
      <c r="O81" s="60"/>
      <c r="P81" s="64"/>
      <c r="Q81" s="147"/>
      <c r="R81" s="147"/>
      <c r="S81" s="147"/>
      <c r="T81" s="147"/>
      <c r="U81" s="147"/>
      <c r="V81" s="148"/>
      <c r="X81" s="65"/>
      <c r="Y81" s="65"/>
      <c r="Z81" s="65"/>
    </row>
    <row r="82" spans="15:26">
      <c r="O82" s="60"/>
      <c r="P82" s="64"/>
      <c r="Q82" s="147"/>
      <c r="R82" s="147"/>
      <c r="S82" s="147"/>
      <c r="T82" s="147"/>
      <c r="U82" s="147"/>
      <c r="V82" s="148"/>
      <c r="X82" s="65"/>
      <c r="Y82" s="65"/>
      <c r="Z82" s="65"/>
    </row>
    <row r="83" spans="15:26">
      <c r="O83" s="60"/>
      <c r="P83" s="64"/>
      <c r="Q83" s="147"/>
      <c r="R83" s="147"/>
      <c r="S83" s="147"/>
      <c r="T83" s="147"/>
      <c r="U83" s="147"/>
      <c r="V83" s="148"/>
      <c r="X83" s="65"/>
      <c r="Y83" s="65"/>
      <c r="Z83" s="65"/>
    </row>
    <row r="84" spans="15:26">
      <c r="O84" s="61"/>
      <c r="P84" s="64"/>
      <c r="Q84" s="147"/>
      <c r="R84" s="147"/>
      <c r="S84" s="147"/>
      <c r="T84" s="147"/>
      <c r="U84" s="147"/>
      <c r="V84" s="148"/>
      <c r="X84" s="65"/>
      <c r="Y84" s="65"/>
      <c r="Z84" s="65"/>
    </row>
    <row r="85" spans="15:26">
      <c r="O85" s="61">
        <v>42248</v>
      </c>
      <c r="P85" s="64"/>
      <c r="Q85" s="147"/>
      <c r="R85" s="147"/>
      <c r="S85" s="147"/>
      <c r="T85" s="147"/>
      <c r="U85" s="147"/>
      <c r="V85" s="148"/>
      <c r="X85" s="65"/>
      <c r="Y85" s="65"/>
      <c r="Z85" s="65"/>
    </row>
    <row r="86" spans="15:26">
      <c r="O86" s="60"/>
      <c r="P86" s="64"/>
      <c r="Q86" s="147"/>
      <c r="R86" s="147"/>
      <c r="S86" s="147"/>
      <c r="T86" s="147"/>
      <c r="U86" s="147"/>
      <c r="V86" s="148"/>
      <c r="X86" s="65"/>
      <c r="Y86" s="65"/>
      <c r="Z86" s="65"/>
    </row>
    <row r="87" spans="15:26">
      <c r="O87" s="60"/>
      <c r="P87" s="64"/>
      <c r="Q87" s="147"/>
      <c r="R87" s="147"/>
      <c r="S87" s="147"/>
      <c r="T87" s="147"/>
      <c r="U87" s="147"/>
      <c r="V87" s="148"/>
      <c r="X87" s="65"/>
      <c r="Y87" s="65"/>
      <c r="Z87" s="65"/>
    </row>
    <row r="88" spans="15:26">
      <c r="O88" s="60"/>
      <c r="P88" s="64"/>
      <c r="Q88" s="147"/>
      <c r="R88" s="147"/>
      <c r="S88" s="147"/>
      <c r="T88" s="147"/>
      <c r="U88" s="147"/>
      <c r="V88" s="148"/>
      <c r="X88" s="65"/>
      <c r="Y88" s="65"/>
      <c r="Z88" s="65"/>
    </row>
    <row r="89" spans="15:26">
      <c r="O89" s="60"/>
      <c r="P89" s="64"/>
      <c r="Q89" s="147"/>
      <c r="R89" s="147"/>
      <c r="S89" s="147"/>
      <c r="T89" s="147"/>
      <c r="U89" s="147"/>
      <c r="V89" s="148"/>
      <c r="X89" s="65"/>
      <c r="Y89" s="65"/>
      <c r="Z89" s="65"/>
    </row>
    <row r="90" spans="15:26">
      <c r="O90" s="60"/>
      <c r="P90" s="64"/>
      <c r="Q90" s="147"/>
      <c r="R90" s="147"/>
      <c r="S90" s="147"/>
      <c r="T90" s="147"/>
      <c r="U90" s="147"/>
      <c r="V90" s="148"/>
      <c r="X90" s="65"/>
      <c r="Y90" s="65"/>
      <c r="Z90" s="65"/>
    </row>
    <row r="91" spans="15:26">
      <c r="O91" s="60"/>
      <c r="P91" s="64"/>
      <c r="Q91" s="147"/>
      <c r="R91" s="147"/>
      <c r="S91" s="147"/>
      <c r="T91" s="147"/>
      <c r="U91" s="147"/>
      <c r="V91" s="148"/>
      <c r="X91" s="65"/>
      <c r="Y91" s="65"/>
      <c r="Z91" s="65"/>
    </row>
    <row r="92" spans="15:26">
      <c r="O92" s="60"/>
      <c r="P92" s="64"/>
      <c r="Q92" s="147"/>
      <c r="R92" s="147"/>
      <c r="S92" s="147"/>
      <c r="T92" s="147"/>
      <c r="U92" s="147"/>
      <c r="V92" s="148"/>
      <c r="X92" s="65"/>
      <c r="Y92" s="65"/>
      <c r="Z92" s="65"/>
    </row>
    <row r="93" spans="15:26">
      <c r="O93" s="60"/>
      <c r="P93" s="64"/>
      <c r="Q93" s="147"/>
      <c r="R93" s="147"/>
      <c r="S93" s="147"/>
      <c r="T93" s="147"/>
      <c r="U93" s="147"/>
      <c r="V93" s="148"/>
      <c r="X93" s="65"/>
      <c r="Y93" s="65"/>
      <c r="Z93" s="65"/>
    </row>
    <row r="94" spans="15:26">
      <c r="O94" s="60"/>
      <c r="P94" s="64"/>
      <c r="Q94" s="147"/>
      <c r="R94" s="147"/>
      <c r="S94" s="147"/>
      <c r="T94" s="147"/>
      <c r="U94" s="147"/>
      <c r="V94" s="148"/>
      <c r="X94" s="65"/>
      <c r="Y94" s="65"/>
      <c r="Z94" s="65"/>
    </row>
    <row r="95" spans="15:26">
      <c r="O95" s="60"/>
      <c r="P95" s="64"/>
      <c r="Q95" s="147"/>
      <c r="R95" s="147"/>
      <c r="S95" s="147"/>
      <c r="T95" s="147"/>
      <c r="U95" s="147"/>
      <c r="V95" s="148"/>
      <c r="X95" s="65"/>
      <c r="Y95" s="65"/>
      <c r="Z95" s="65"/>
    </row>
    <row r="96" spans="15:26">
      <c r="O96" s="60"/>
      <c r="P96" s="64"/>
      <c r="Q96" s="147"/>
      <c r="R96" s="147"/>
      <c r="S96" s="147"/>
      <c r="T96" s="147"/>
      <c r="U96" s="147"/>
      <c r="V96" s="148"/>
      <c r="X96" s="65"/>
      <c r="Y96" s="65"/>
      <c r="Z96" s="65"/>
    </row>
    <row r="97" spans="15:26">
      <c r="O97" s="60"/>
      <c r="P97" s="64"/>
      <c r="Q97" s="147"/>
      <c r="R97" s="147"/>
      <c r="S97" s="147"/>
      <c r="T97" s="147"/>
      <c r="U97" s="147"/>
      <c r="V97" s="148"/>
      <c r="X97" s="65"/>
      <c r="Y97" s="65"/>
      <c r="Z97" s="65"/>
    </row>
    <row r="98" spans="15:26">
      <c r="O98" s="60"/>
      <c r="P98" s="64"/>
      <c r="Q98" s="147"/>
      <c r="R98" s="147"/>
      <c r="S98" s="147"/>
      <c r="T98" s="147"/>
      <c r="U98" s="147"/>
      <c r="V98" s="148"/>
      <c r="X98" s="65"/>
      <c r="Y98" s="65"/>
      <c r="Z98" s="65"/>
    </row>
    <row r="99" spans="15:26">
      <c r="O99" s="60"/>
      <c r="P99" s="64"/>
      <c r="Q99" s="147"/>
      <c r="R99" s="147"/>
      <c r="S99" s="147"/>
      <c r="T99" s="147"/>
      <c r="U99" s="147"/>
      <c r="V99" s="148"/>
      <c r="X99" s="65"/>
      <c r="Y99" s="65"/>
      <c r="Z99" s="65"/>
    </row>
    <row r="100" spans="15:26">
      <c r="O100" s="60"/>
      <c r="P100" s="64"/>
      <c r="Q100" s="147"/>
      <c r="R100" s="147"/>
      <c r="S100" s="147"/>
      <c r="T100" s="147"/>
      <c r="U100" s="147"/>
      <c r="V100" s="148"/>
      <c r="X100" s="65"/>
      <c r="Y100" s="65"/>
      <c r="Z100" s="65"/>
    </row>
    <row r="101" spans="15:26">
      <c r="O101" s="60"/>
      <c r="P101" s="64"/>
      <c r="Q101" s="147"/>
      <c r="R101" s="147"/>
      <c r="S101" s="147"/>
      <c r="T101" s="147"/>
      <c r="U101" s="147"/>
      <c r="V101" s="148"/>
      <c r="X101" s="65"/>
      <c r="Y101" s="65"/>
      <c r="Z101" s="65"/>
    </row>
    <row r="102" spans="15:26">
      <c r="O102" s="60"/>
      <c r="P102" s="64"/>
      <c r="Q102" s="147"/>
      <c r="R102" s="147"/>
      <c r="S102" s="147"/>
      <c r="T102" s="147"/>
      <c r="U102" s="147"/>
      <c r="V102" s="148"/>
      <c r="X102" s="65"/>
      <c r="Y102" s="65"/>
      <c r="Z102" s="65"/>
    </row>
    <row r="103" spans="15:26">
      <c r="O103" s="60"/>
      <c r="P103" s="64"/>
      <c r="Q103" s="147"/>
      <c r="R103" s="147"/>
      <c r="S103" s="147"/>
      <c r="T103" s="147"/>
      <c r="U103" s="147"/>
      <c r="V103" s="148"/>
      <c r="X103" s="65"/>
      <c r="Y103" s="65"/>
      <c r="Z103" s="65"/>
    </row>
    <row r="104" spans="15:26">
      <c r="O104" s="60"/>
      <c r="P104" s="64"/>
      <c r="Q104" s="147"/>
      <c r="R104" s="147"/>
      <c r="S104" s="147"/>
      <c r="T104" s="147"/>
      <c r="U104" s="147"/>
      <c r="V104" s="148"/>
      <c r="X104" s="65"/>
      <c r="Y104" s="65"/>
      <c r="Z104" s="65"/>
    </row>
    <row r="105" spans="15:26">
      <c r="O105" s="60"/>
      <c r="P105" s="64"/>
      <c r="Q105" s="147"/>
      <c r="R105" s="147"/>
      <c r="S105" s="147"/>
      <c r="T105" s="147"/>
      <c r="U105" s="147"/>
      <c r="V105" s="148"/>
      <c r="X105" s="65"/>
      <c r="Y105" s="65"/>
      <c r="Z105" s="65"/>
    </row>
    <row r="106" spans="15:26">
      <c r="O106" s="60"/>
      <c r="P106" s="64"/>
      <c r="Q106" s="147"/>
      <c r="R106" s="147"/>
      <c r="S106" s="147"/>
      <c r="T106" s="147"/>
      <c r="U106" s="147"/>
      <c r="V106" s="148"/>
      <c r="X106" s="65"/>
      <c r="Y106" s="65"/>
      <c r="Z106" s="65"/>
    </row>
    <row r="107" spans="15:26">
      <c r="O107" s="60"/>
      <c r="P107" s="64"/>
      <c r="Q107" s="147"/>
      <c r="R107" s="147"/>
      <c r="S107" s="147"/>
      <c r="T107" s="147"/>
      <c r="U107" s="147"/>
      <c r="V107" s="148"/>
      <c r="X107" s="65"/>
      <c r="Y107" s="65"/>
      <c r="Z107" s="65"/>
    </row>
    <row r="108" spans="15:26">
      <c r="O108" s="60"/>
      <c r="P108" s="64"/>
      <c r="Q108" s="147"/>
      <c r="R108" s="147"/>
      <c r="S108" s="147"/>
      <c r="T108" s="147"/>
      <c r="U108" s="147"/>
      <c r="V108" s="148"/>
      <c r="X108" s="65"/>
      <c r="Y108" s="65"/>
      <c r="Z108" s="65"/>
    </row>
    <row r="109" spans="15:26">
      <c r="O109" s="60"/>
      <c r="P109" s="64"/>
      <c r="Q109" s="147"/>
      <c r="R109" s="147"/>
      <c r="S109" s="147"/>
      <c r="T109" s="147"/>
      <c r="U109" s="147"/>
      <c r="V109" s="148"/>
      <c r="X109" s="65"/>
      <c r="Y109" s="65"/>
      <c r="Z109" s="65"/>
    </row>
    <row r="110" spans="15:26">
      <c r="O110" s="60"/>
      <c r="P110" s="64"/>
      <c r="Q110" s="147"/>
      <c r="R110" s="147"/>
      <c r="S110" s="147"/>
      <c r="T110" s="147"/>
      <c r="U110" s="147"/>
      <c r="V110" s="148"/>
      <c r="X110" s="65"/>
      <c r="Y110" s="65"/>
      <c r="Z110" s="65"/>
    </row>
    <row r="111" spans="15:26">
      <c r="O111" s="60"/>
      <c r="P111" s="64"/>
      <c r="Q111" s="147"/>
      <c r="R111" s="147"/>
      <c r="S111" s="147"/>
      <c r="T111" s="147"/>
      <c r="U111" s="147"/>
      <c r="V111" s="148"/>
      <c r="X111" s="65"/>
      <c r="Y111" s="65"/>
      <c r="Z111" s="65"/>
    </row>
    <row r="112" spans="15:26">
      <c r="O112" s="60"/>
      <c r="P112" s="64"/>
      <c r="Q112" s="147"/>
      <c r="R112" s="147"/>
      <c r="S112" s="147"/>
      <c r="T112" s="147"/>
      <c r="U112" s="147"/>
      <c r="V112" s="148"/>
      <c r="X112" s="65"/>
      <c r="Y112" s="65"/>
      <c r="Z112" s="65"/>
    </row>
    <row r="113" spans="15:26">
      <c r="O113" s="60"/>
      <c r="P113" s="64"/>
      <c r="Q113" s="147"/>
      <c r="R113" s="147"/>
      <c r="S113" s="147"/>
      <c r="T113" s="147"/>
      <c r="U113" s="147"/>
      <c r="V113" s="148"/>
      <c r="X113" s="65"/>
      <c r="Y113" s="65"/>
      <c r="Z113" s="65"/>
    </row>
    <row r="114" spans="15:26">
      <c r="O114" s="60"/>
      <c r="P114" s="64"/>
      <c r="Q114" s="147"/>
      <c r="R114" s="147"/>
      <c r="S114" s="147"/>
      <c r="T114" s="147"/>
      <c r="U114" s="147"/>
      <c r="V114" s="148"/>
      <c r="X114" s="65"/>
      <c r="Y114" s="65"/>
      <c r="Z114" s="65"/>
    </row>
    <row r="115" spans="15:26">
      <c r="O115" s="61">
        <v>42278</v>
      </c>
      <c r="P115" s="64"/>
      <c r="Q115" s="147"/>
      <c r="R115" s="147"/>
      <c r="S115" s="147"/>
      <c r="T115" s="147"/>
      <c r="U115" s="147"/>
      <c r="V115" s="148"/>
      <c r="X115" s="65"/>
      <c r="Y115" s="65"/>
      <c r="Z115" s="65"/>
    </row>
    <row r="116" spans="15:26">
      <c r="O116" s="61"/>
      <c r="P116" s="64"/>
      <c r="Q116" s="147"/>
      <c r="R116" s="147"/>
      <c r="S116" s="147"/>
      <c r="T116" s="147"/>
      <c r="U116" s="147"/>
      <c r="V116" s="148"/>
      <c r="X116" s="65"/>
      <c r="Y116" s="65"/>
      <c r="Z116" s="65"/>
    </row>
    <row r="117" spans="15:26">
      <c r="O117" s="60"/>
      <c r="P117" s="64"/>
      <c r="Q117" s="147"/>
      <c r="R117" s="147"/>
      <c r="S117" s="147"/>
      <c r="T117" s="147"/>
      <c r="U117" s="147"/>
      <c r="V117" s="148"/>
      <c r="X117" s="65"/>
      <c r="Y117" s="65"/>
      <c r="Z117" s="65"/>
    </row>
    <row r="118" spans="15:26">
      <c r="O118" s="60"/>
      <c r="P118" s="64"/>
      <c r="Q118" s="147"/>
      <c r="R118" s="147"/>
      <c r="S118" s="147"/>
      <c r="T118" s="147"/>
      <c r="U118" s="147"/>
      <c r="V118" s="148"/>
      <c r="X118" s="65"/>
      <c r="Y118" s="65"/>
      <c r="Z118" s="65"/>
    </row>
    <row r="119" spans="15:26">
      <c r="O119" s="60"/>
      <c r="P119" s="64"/>
      <c r="Q119" s="147"/>
      <c r="R119" s="147"/>
      <c r="S119" s="147"/>
      <c r="T119" s="147"/>
      <c r="U119" s="147"/>
      <c r="V119" s="148"/>
      <c r="X119" s="65"/>
      <c r="Y119" s="65"/>
      <c r="Z119" s="65"/>
    </row>
    <row r="120" spans="15:26">
      <c r="O120" s="60"/>
      <c r="P120" s="64"/>
      <c r="Q120" s="147"/>
      <c r="R120" s="147"/>
      <c r="S120" s="147"/>
      <c r="T120" s="147"/>
      <c r="U120" s="147"/>
      <c r="V120" s="148"/>
      <c r="X120" s="65"/>
      <c r="Y120" s="65"/>
      <c r="Z120" s="65"/>
    </row>
    <row r="121" spans="15:26">
      <c r="O121" s="60"/>
      <c r="P121" s="64"/>
      <c r="Q121" s="147"/>
      <c r="R121" s="147"/>
      <c r="S121" s="147"/>
      <c r="T121" s="147"/>
      <c r="U121" s="147"/>
      <c r="V121" s="148"/>
      <c r="X121" s="65"/>
      <c r="Y121" s="65"/>
      <c r="Z121" s="65"/>
    </row>
    <row r="122" spans="15:26">
      <c r="O122" s="60"/>
      <c r="P122" s="64"/>
      <c r="Q122" s="147"/>
      <c r="R122" s="147"/>
      <c r="S122" s="147"/>
      <c r="T122" s="147"/>
      <c r="U122" s="147"/>
      <c r="V122" s="148"/>
      <c r="X122" s="65"/>
      <c r="Y122" s="65"/>
      <c r="Z122" s="65"/>
    </row>
    <row r="123" spans="15:26">
      <c r="O123" s="60"/>
      <c r="P123" s="64"/>
      <c r="Q123" s="147"/>
      <c r="R123" s="147"/>
      <c r="S123" s="147"/>
      <c r="T123" s="147"/>
      <c r="U123" s="147"/>
      <c r="V123" s="148"/>
      <c r="X123" s="65"/>
      <c r="Y123" s="65"/>
      <c r="Z123" s="65"/>
    </row>
    <row r="124" spans="15:26">
      <c r="O124" s="60"/>
      <c r="P124" s="64"/>
      <c r="Q124" s="147"/>
      <c r="R124" s="147"/>
      <c r="S124" s="147"/>
      <c r="T124" s="147"/>
      <c r="U124" s="147"/>
      <c r="V124" s="148"/>
      <c r="X124" s="65"/>
      <c r="Y124" s="65"/>
      <c r="Z124" s="65"/>
    </row>
    <row r="125" spans="15:26">
      <c r="O125" s="60"/>
      <c r="P125" s="64"/>
      <c r="Q125" s="147"/>
      <c r="R125" s="147"/>
      <c r="S125" s="147"/>
      <c r="T125" s="147"/>
      <c r="U125" s="147"/>
      <c r="V125" s="148"/>
      <c r="X125" s="65"/>
      <c r="Y125" s="65"/>
      <c r="Z125" s="65"/>
    </row>
    <row r="126" spans="15:26">
      <c r="O126" s="60"/>
      <c r="P126" s="64"/>
      <c r="Q126" s="147"/>
      <c r="R126" s="147"/>
      <c r="S126" s="147"/>
      <c r="T126" s="147"/>
      <c r="U126" s="147"/>
      <c r="V126" s="148"/>
      <c r="X126" s="65"/>
      <c r="Y126" s="65"/>
      <c r="Z126" s="65"/>
    </row>
    <row r="127" spans="15:26">
      <c r="O127" s="60"/>
      <c r="P127" s="64"/>
      <c r="Q127" s="147"/>
      <c r="R127" s="147"/>
      <c r="S127" s="147"/>
      <c r="T127" s="147"/>
      <c r="U127" s="147"/>
      <c r="V127" s="148"/>
      <c r="X127" s="65"/>
      <c r="Y127" s="65"/>
      <c r="Z127" s="65"/>
    </row>
    <row r="128" spans="15:26">
      <c r="O128" s="60"/>
      <c r="P128" s="64"/>
      <c r="Q128" s="147"/>
      <c r="R128" s="147"/>
      <c r="S128" s="147"/>
      <c r="T128" s="147"/>
      <c r="U128" s="147"/>
      <c r="V128" s="148"/>
      <c r="X128" s="65"/>
      <c r="Y128" s="65"/>
      <c r="Z128" s="65"/>
    </row>
    <row r="129" spans="15:26">
      <c r="O129" s="60"/>
      <c r="P129" s="64"/>
      <c r="Q129" s="147"/>
      <c r="R129" s="147"/>
      <c r="S129" s="147"/>
      <c r="T129" s="147"/>
      <c r="U129" s="147"/>
      <c r="V129" s="148"/>
      <c r="X129" s="65"/>
      <c r="Y129" s="65"/>
      <c r="Z129" s="65"/>
    </row>
    <row r="130" spans="15:26">
      <c r="O130" s="60"/>
      <c r="P130" s="64"/>
      <c r="Q130" s="147"/>
      <c r="R130" s="147"/>
      <c r="S130" s="147"/>
      <c r="T130" s="147"/>
      <c r="U130" s="147"/>
      <c r="V130" s="148"/>
      <c r="X130" s="65"/>
      <c r="Y130" s="65"/>
      <c r="Z130" s="65"/>
    </row>
    <row r="131" spans="15:26">
      <c r="O131" s="60"/>
      <c r="P131" s="64"/>
      <c r="Q131" s="147"/>
      <c r="R131" s="147"/>
      <c r="S131" s="147"/>
      <c r="T131" s="147"/>
      <c r="U131" s="147"/>
      <c r="V131" s="148"/>
      <c r="X131" s="65"/>
      <c r="Y131" s="65"/>
      <c r="Z131" s="65"/>
    </row>
    <row r="132" spans="15:26">
      <c r="O132" s="60"/>
      <c r="P132" s="64"/>
      <c r="Q132" s="147"/>
      <c r="R132" s="147"/>
      <c r="S132" s="147"/>
      <c r="T132" s="147"/>
      <c r="U132" s="147"/>
      <c r="V132" s="148"/>
      <c r="X132" s="65"/>
      <c r="Y132" s="65"/>
      <c r="Z132" s="65"/>
    </row>
    <row r="133" spans="15:26">
      <c r="O133" s="60"/>
      <c r="P133" s="64"/>
      <c r="Q133" s="147"/>
      <c r="R133" s="147"/>
      <c r="S133" s="147"/>
      <c r="T133" s="147"/>
      <c r="U133" s="147"/>
      <c r="V133" s="148"/>
      <c r="X133" s="65"/>
      <c r="Y133" s="65"/>
      <c r="Z133" s="65"/>
    </row>
    <row r="134" spans="15:26">
      <c r="O134" s="60"/>
      <c r="P134" s="64"/>
      <c r="Q134" s="147"/>
      <c r="R134" s="147"/>
      <c r="S134" s="147"/>
      <c r="T134" s="147"/>
      <c r="U134" s="147"/>
      <c r="V134" s="148"/>
      <c r="X134" s="65"/>
      <c r="Y134" s="65"/>
      <c r="Z134" s="65"/>
    </row>
    <row r="135" spans="15:26">
      <c r="O135" s="60"/>
      <c r="P135" s="64"/>
      <c r="Q135" s="147"/>
      <c r="R135" s="147"/>
      <c r="S135" s="147"/>
      <c r="T135" s="147"/>
      <c r="U135" s="147"/>
      <c r="V135" s="148"/>
      <c r="X135" s="65"/>
      <c r="Y135" s="65"/>
      <c r="Z135" s="65"/>
    </row>
    <row r="136" spans="15:26">
      <c r="O136" s="60"/>
      <c r="P136" s="64"/>
      <c r="Q136" s="147"/>
      <c r="R136" s="147"/>
      <c r="S136" s="147"/>
      <c r="T136" s="147"/>
      <c r="U136" s="147"/>
      <c r="V136" s="148"/>
      <c r="X136" s="65"/>
      <c r="Y136" s="65"/>
      <c r="Z136" s="65"/>
    </row>
    <row r="137" spans="15:26">
      <c r="O137" s="60"/>
      <c r="P137" s="64"/>
      <c r="Q137" s="147"/>
      <c r="R137" s="147"/>
      <c r="S137" s="147"/>
      <c r="T137" s="147"/>
      <c r="U137" s="147"/>
      <c r="V137" s="148"/>
      <c r="X137" s="65"/>
      <c r="Y137" s="65"/>
      <c r="Z137" s="65"/>
    </row>
    <row r="138" spans="15:26">
      <c r="O138" s="60"/>
      <c r="P138" s="64"/>
      <c r="Q138" s="147"/>
      <c r="R138" s="147"/>
      <c r="S138" s="147"/>
      <c r="T138" s="147"/>
      <c r="U138" s="147"/>
      <c r="V138" s="148"/>
      <c r="X138" s="65"/>
      <c r="Y138" s="65"/>
      <c r="Z138" s="65"/>
    </row>
    <row r="139" spans="15:26">
      <c r="O139" s="60"/>
      <c r="P139" s="64"/>
      <c r="Q139" s="147"/>
      <c r="R139" s="147"/>
      <c r="S139" s="147"/>
      <c r="T139" s="147"/>
      <c r="U139" s="147"/>
      <c r="V139" s="148"/>
      <c r="X139" s="65"/>
      <c r="Y139" s="65"/>
      <c r="Z139" s="65"/>
    </row>
    <row r="140" spans="15:26">
      <c r="O140" s="60"/>
      <c r="P140" s="64"/>
      <c r="Q140" s="147"/>
      <c r="R140" s="147"/>
      <c r="S140" s="147"/>
      <c r="T140" s="147"/>
      <c r="U140" s="147"/>
      <c r="V140" s="148"/>
      <c r="X140" s="65"/>
      <c r="Y140" s="65"/>
      <c r="Z140" s="65"/>
    </row>
    <row r="141" spans="15:26">
      <c r="O141" s="60"/>
      <c r="P141" s="64"/>
      <c r="Q141" s="147"/>
      <c r="R141" s="147"/>
      <c r="S141" s="147"/>
      <c r="T141" s="147"/>
      <c r="U141" s="147"/>
      <c r="V141" s="148"/>
      <c r="X141" s="65"/>
      <c r="Y141" s="65"/>
      <c r="Z141" s="65"/>
    </row>
    <row r="142" spans="15:26">
      <c r="O142" s="60"/>
      <c r="P142" s="64"/>
      <c r="Q142" s="147"/>
      <c r="R142" s="147"/>
      <c r="S142" s="147"/>
      <c r="T142" s="147"/>
      <c r="U142" s="147"/>
      <c r="V142" s="148"/>
      <c r="X142" s="65"/>
      <c r="Y142" s="65"/>
      <c r="Z142" s="65"/>
    </row>
    <row r="143" spans="15:26">
      <c r="O143" s="60"/>
      <c r="P143" s="64"/>
      <c r="Q143" s="147"/>
      <c r="R143" s="147"/>
      <c r="S143" s="147"/>
      <c r="T143" s="147"/>
      <c r="U143" s="147"/>
      <c r="V143" s="148"/>
      <c r="X143" s="65"/>
      <c r="Y143" s="65"/>
      <c r="Z143" s="65"/>
    </row>
    <row r="144" spans="15:26">
      <c r="O144" s="60"/>
      <c r="P144" s="64"/>
      <c r="Q144" s="147"/>
      <c r="R144" s="147"/>
      <c r="S144" s="147"/>
      <c r="T144" s="147"/>
      <c r="U144" s="147"/>
      <c r="V144" s="148"/>
      <c r="X144" s="65"/>
      <c r="Y144" s="65"/>
      <c r="Z144" s="65"/>
    </row>
    <row r="145" spans="15:26">
      <c r="O145" s="60"/>
      <c r="P145" s="64"/>
      <c r="Q145" s="147"/>
      <c r="R145" s="147"/>
      <c r="S145" s="147"/>
      <c r="T145" s="147"/>
      <c r="U145" s="147"/>
      <c r="V145" s="148"/>
      <c r="X145" s="65"/>
      <c r="Y145" s="65"/>
      <c r="Z145" s="65"/>
    </row>
    <row r="146" spans="15:26">
      <c r="O146" s="61">
        <v>42309</v>
      </c>
      <c r="P146" s="64"/>
      <c r="Q146" s="147"/>
      <c r="R146" s="147"/>
      <c r="S146" s="147"/>
      <c r="T146" s="147"/>
      <c r="U146" s="147"/>
      <c r="V146" s="148"/>
      <c r="X146" s="65"/>
      <c r="Y146" s="65"/>
      <c r="Z146" s="65"/>
    </row>
    <row r="147" spans="15:26">
      <c r="O147" s="61"/>
      <c r="P147" s="64"/>
      <c r="Q147" s="147"/>
      <c r="R147" s="147"/>
      <c r="S147" s="147"/>
      <c r="T147" s="147"/>
      <c r="U147" s="147"/>
      <c r="V147" s="148"/>
      <c r="X147" s="65"/>
      <c r="Y147" s="65"/>
      <c r="Z147" s="65"/>
    </row>
    <row r="148" spans="15:26">
      <c r="O148" s="60"/>
      <c r="P148" s="64"/>
      <c r="Q148" s="147"/>
      <c r="R148" s="147"/>
      <c r="S148" s="147"/>
      <c r="T148" s="147"/>
      <c r="U148" s="147"/>
      <c r="V148" s="148"/>
      <c r="X148" s="65"/>
      <c r="Y148" s="65"/>
      <c r="Z148" s="65"/>
    </row>
    <row r="149" spans="15:26">
      <c r="O149" s="60"/>
      <c r="P149" s="64"/>
      <c r="Q149" s="147"/>
      <c r="R149" s="147"/>
      <c r="S149" s="147"/>
      <c r="T149" s="147"/>
      <c r="U149" s="147"/>
      <c r="V149" s="148"/>
      <c r="X149" s="65"/>
      <c r="Y149" s="65"/>
      <c r="Z149" s="65"/>
    </row>
    <row r="150" spans="15:26">
      <c r="O150" s="60"/>
      <c r="P150" s="64"/>
      <c r="Q150" s="147"/>
      <c r="R150" s="147"/>
      <c r="S150" s="147"/>
      <c r="T150" s="147"/>
      <c r="U150" s="147"/>
      <c r="V150" s="148"/>
      <c r="X150" s="65"/>
      <c r="Y150" s="65"/>
      <c r="Z150" s="65"/>
    </row>
    <row r="151" spans="15:26">
      <c r="O151" s="60"/>
      <c r="P151" s="64"/>
      <c r="Q151" s="147"/>
      <c r="R151" s="147"/>
      <c r="S151" s="147"/>
      <c r="T151" s="147"/>
      <c r="U151" s="147"/>
      <c r="V151" s="148"/>
      <c r="X151" s="65"/>
      <c r="Y151" s="65"/>
      <c r="Z151" s="65"/>
    </row>
    <row r="152" spans="15:26">
      <c r="O152" s="60"/>
      <c r="P152" s="64"/>
      <c r="Q152" s="147"/>
      <c r="R152" s="147"/>
      <c r="S152" s="147"/>
      <c r="T152" s="147"/>
      <c r="U152" s="147"/>
      <c r="V152" s="148"/>
      <c r="X152" s="65"/>
      <c r="Y152" s="65"/>
      <c r="Z152" s="65"/>
    </row>
    <row r="153" spans="15:26">
      <c r="O153" s="60"/>
      <c r="P153" s="64"/>
      <c r="Q153" s="147"/>
      <c r="R153" s="147"/>
      <c r="S153" s="147"/>
      <c r="T153" s="147"/>
      <c r="U153" s="147"/>
      <c r="V153" s="148"/>
      <c r="X153" s="65"/>
      <c r="Y153" s="65"/>
      <c r="Z153" s="65"/>
    </row>
    <row r="154" spans="15:26">
      <c r="O154" s="60"/>
      <c r="P154" s="64"/>
      <c r="Q154" s="147"/>
      <c r="R154" s="147"/>
      <c r="S154" s="147"/>
      <c r="T154" s="147"/>
      <c r="U154" s="147"/>
      <c r="V154" s="148"/>
      <c r="X154" s="65"/>
      <c r="Y154" s="65"/>
      <c r="Z154" s="65"/>
    </row>
    <row r="155" spans="15:26">
      <c r="O155" s="60"/>
      <c r="P155" s="64"/>
      <c r="Q155" s="147"/>
      <c r="R155" s="147"/>
      <c r="S155" s="147"/>
      <c r="T155" s="147"/>
      <c r="U155" s="147"/>
      <c r="V155" s="148"/>
      <c r="X155" s="65"/>
      <c r="Y155" s="65"/>
      <c r="Z155" s="65"/>
    </row>
    <row r="156" spans="15:26">
      <c r="O156" s="60"/>
      <c r="P156" s="64"/>
      <c r="Q156" s="147"/>
      <c r="R156" s="147"/>
      <c r="S156" s="147"/>
      <c r="T156" s="147"/>
      <c r="U156" s="147"/>
      <c r="V156" s="148"/>
      <c r="X156" s="65"/>
      <c r="Y156" s="65"/>
      <c r="Z156" s="65"/>
    </row>
    <row r="157" spans="15:26">
      <c r="O157" s="60"/>
      <c r="P157" s="64"/>
      <c r="Q157" s="147"/>
      <c r="R157" s="147"/>
      <c r="S157" s="147"/>
      <c r="T157" s="147"/>
      <c r="U157" s="147"/>
      <c r="V157" s="148"/>
      <c r="X157" s="65"/>
      <c r="Y157" s="65"/>
      <c r="Z157" s="65"/>
    </row>
    <row r="158" spans="15:26">
      <c r="O158" s="60"/>
      <c r="P158" s="64"/>
      <c r="Q158" s="147"/>
      <c r="R158" s="147"/>
      <c r="S158" s="147"/>
      <c r="T158" s="147"/>
      <c r="U158" s="147"/>
      <c r="V158" s="148"/>
      <c r="X158" s="65"/>
      <c r="Y158" s="65"/>
      <c r="Z158" s="65"/>
    </row>
    <row r="159" spans="15:26">
      <c r="O159" s="60"/>
      <c r="P159" s="64"/>
      <c r="Q159" s="147"/>
      <c r="R159" s="147"/>
      <c r="S159" s="147"/>
      <c r="T159" s="147"/>
      <c r="U159" s="147"/>
      <c r="V159" s="148"/>
      <c r="X159" s="65"/>
      <c r="Y159" s="65"/>
      <c r="Z159" s="65"/>
    </row>
    <row r="160" spans="15:26">
      <c r="O160" s="60"/>
      <c r="P160" s="64"/>
      <c r="Q160" s="147"/>
      <c r="R160" s="147"/>
      <c r="S160" s="147"/>
      <c r="T160" s="147"/>
      <c r="U160" s="147"/>
      <c r="V160" s="148"/>
      <c r="X160" s="65"/>
      <c r="Y160" s="65"/>
      <c r="Z160" s="65"/>
    </row>
    <row r="161" spans="15:26">
      <c r="O161" s="60"/>
      <c r="P161" s="64"/>
      <c r="Q161" s="147"/>
      <c r="R161" s="147"/>
      <c r="S161" s="147"/>
      <c r="T161" s="147"/>
      <c r="U161" s="147"/>
      <c r="V161" s="148"/>
      <c r="X161" s="65"/>
      <c r="Y161" s="65"/>
      <c r="Z161" s="65"/>
    </row>
    <row r="162" spans="15:26">
      <c r="O162" s="60"/>
      <c r="P162" s="64"/>
      <c r="Q162" s="147"/>
      <c r="R162" s="147"/>
      <c r="S162" s="147"/>
      <c r="T162" s="147"/>
      <c r="U162" s="147"/>
      <c r="V162" s="148"/>
      <c r="X162" s="65"/>
      <c r="Y162" s="65"/>
      <c r="Z162" s="65"/>
    </row>
    <row r="163" spans="15:26">
      <c r="O163" s="60"/>
      <c r="P163" s="64"/>
      <c r="Q163" s="147"/>
      <c r="R163" s="147"/>
      <c r="S163" s="147"/>
      <c r="T163" s="147"/>
      <c r="U163" s="147"/>
      <c r="V163" s="148"/>
      <c r="X163" s="65"/>
      <c r="Y163" s="65"/>
      <c r="Z163" s="65"/>
    </row>
    <row r="164" spans="15:26">
      <c r="O164" s="60"/>
      <c r="P164" s="64"/>
      <c r="Q164" s="147"/>
      <c r="R164" s="147"/>
      <c r="S164" s="147"/>
      <c r="T164" s="147"/>
      <c r="U164" s="147"/>
      <c r="V164" s="148"/>
      <c r="X164" s="65"/>
      <c r="Y164" s="65"/>
      <c r="Z164" s="65"/>
    </row>
    <row r="165" spans="15:26">
      <c r="O165" s="60"/>
      <c r="P165" s="64"/>
      <c r="Q165" s="147"/>
      <c r="R165" s="147"/>
      <c r="S165" s="147"/>
      <c r="T165" s="147"/>
      <c r="U165" s="147"/>
      <c r="V165" s="148"/>
      <c r="X165" s="65"/>
      <c r="Y165" s="65"/>
      <c r="Z165" s="65"/>
    </row>
    <row r="166" spans="15:26">
      <c r="O166" s="60"/>
      <c r="P166" s="64"/>
      <c r="Q166" s="147"/>
      <c r="R166" s="147"/>
      <c r="S166" s="147"/>
      <c r="T166" s="147"/>
      <c r="U166" s="147"/>
      <c r="V166" s="148"/>
      <c r="X166" s="65"/>
      <c r="Y166" s="65"/>
      <c r="Z166" s="65"/>
    </row>
    <row r="167" spans="15:26">
      <c r="O167" s="60"/>
      <c r="P167" s="64"/>
      <c r="Q167" s="147"/>
      <c r="R167" s="147"/>
      <c r="S167" s="147"/>
      <c r="T167" s="147"/>
      <c r="U167" s="147"/>
      <c r="V167" s="148"/>
      <c r="X167" s="65"/>
      <c r="Y167" s="65"/>
      <c r="Z167" s="65"/>
    </row>
    <row r="168" spans="15:26">
      <c r="O168" s="60"/>
      <c r="P168" s="64"/>
      <c r="Q168" s="147"/>
      <c r="R168" s="147"/>
      <c r="S168" s="147"/>
      <c r="T168" s="147"/>
      <c r="U168" s="147"/>
      <c r="V168" s="148"/>
      <c r="X168" s="65"/>
      <c r="Y168" s="65"/>
      <c r="Z168" s="65"/>
    </row>
    <row r="169" spans="15:26">
      <c r="O169" s="60"/>
      <c r="P169" s="64"/>
      <c r="Q169" s="147"/>
      <c r="R169" s="147"/>
      <c r="S169" s="147"/>
      <c r="T169" s="147"/>
      <c r="U169" s="147"/>
      <c r="V169" s="148"/>
      <c r="X169" s="65"/>
      <c r="Y169" s="65"/>
      <c r="Z169" s="65"/>
    </row>
    <row r="170" spans="15:26">
      <c r="O170" s="60"/>
      <c r="P170" s="64"/>
      <c r="Q170" s="147"/>
      <c r="R170" s="147"/>
      <c r="S170" s="147"/>
      <c r="T170" s="147"/>
      <c r="U170" s="147"/>
      <c r="V170" s="148"/>
      <c r="X170" s="65"/>
      <c r="Y170" s="65"/>
      <c r="Z170" s="65"/>
    </row>
    <row r="171" spans="15:26">
      <c r="O171" s="60"/>
      <c r="P171" s="64"/>
      <c r="Q171" s="147"/>
      <c r="R171" s="147"/>
      <c r="S171" s="147"/>
      <c r="T171" s="147"/>
      <c r="U171" s="147"/>
      <c r="V171" s="148"/>
      <c r="X171" s="65"/>
      <c r="Y171" s="65"/>
      <c r="Z171" s="65"/>
    </row>
    <row r="172" spans="15:26">
      <c r="O172" s="60"/>
      <c r="P172" s="64"/>
      <c r="Q172" s="147"/>
      <c r="R172" s="147"/>
      <c r="S172" s="147"/>
      <c r="T172" s="147"/>
      <c r="U172" s="147"/>
      <c r="V172" s="148"/>
      <c r="X172" s="65"/>
      <c r="Y172" s="65"/>
      <c r="Z172" s="65"/>
    </row>
    <row r="173" spans="15:26">
      <c r="O173" s="60"/>
      <c r="P173" s="64"/>
      <c r="Q173" s="147"/>
      <c r="R173" s="147"/>
      <c r="S173" s="147"/>
      <c r="T173" s="147"/>
      <c r="U173" s="147"/>
      <c r="V173" s="148"/>
      <c r="X173" s="65"/>
      <c r="Y173" s="65"/>
      <c r="Z173" s="65"/>
    </row>
    <row r="174" spans="15:26">
      <c r="O174" s="60"/>
      <c r="P174" s="64"/>
      <c r="Q174" s="147"/>
      <c r="R174" s="147"/>
      <c r="S174" s="147"/>
      <c r="T174" s="147"/>
      <c r="U174" s="147"/>
      <c r="V174" s="148"/>
      <c r="X174" s="65"/>
      <c r="Y174" s="65"/>
      <c r="Z174" s="65"/>
    </row>
    <row r="175" spans="15:26">
      <c r="O175" s="60"/>
      <c r="P175" s="64"/>
      <c r="Q175" s="147"/>
      <c r="R175" s="147"/>
      <c r="S175" s="147"/>
      <c r="T175" s="147"/>
      <c r="U175" s="147"/>
      <c r="V175" s="148"/>
      <c r="X175" s="65"/>
      <c r="Y175" s="65"/>
      <c r="Z175" s="65"/>
    </row>
    <row r="176" spans="15:26">
      <c r="O176" s="61">
        <v>42339</v>
      </c>
      <c r="P176" s="64"/>
      <c r="Q176" s="147"/>
      <c r="R176" s="147"/>
      <c r="S176" s="147"/>
      <c r="T176" s="147"/>
      <c r="U176" s="147"/>
      <c r="V176" s="148"/>
      <c r="X176" s="65"/>
      <c r="Y176" s="65"/>
      <c r="Z176" s="65"/>
    </row>
    <row r="177" spans="15:26">
      <c r="O177" s="61"/>
      <c r="P177" s="64"/>
      <c r="Q177" s="147"/>
      <c r="R177" s="147"/>
      <c r="S177" s="147"/>
      <c r="T177" s="147"/>
      <c r="U177" s="147"/>
      <c r="V177" s="148"/>
      <c r="X177" s="65"/>
      <c r="Y177" s="65"/>
      <c r="Z177" s="65"/>
    </row>
    <row r="178" spans="15:26">
      <c r="O178" s="60"/>
      <c r="P178" s="64"/>
      <c r="Q178" s="147"/>
      <c r="R178" s="147"/>
      <c r="S178" s="147"/>
      <c r="T178" s="147"/>
      <c r="U178" s="147"/>
      <c r="V178" s="148"/>
      <c r="X178" s="65"/>
      <c r="Y178" s="65"/>
      <c r="Z178" s="65"/>
    </row>
    <row r="179" spans="15:26">
      <c r="O179" s="60"/>
      <c r="P179" s="64"/>
      <c r="Q179" s="147"/>
      <c r="R179" s="147"/>
      <c r="S179" s="147"/>
      <c r="T179" s="147"/>
      <c r="U179" s="147"/>
      <c r="V179" s="148"/>
      <c r="X179" s="65"/>
      <c r="Y179" s="65"/>
      <c r="Z179" s="65"/>
    </row>
    <row r="180" spans="15:26">
      <c r="O180" s="60"/>
      <c r="P180" s="64"/>
      <c r="Q180" s="147"/>
      <c r="R180" s="147"/>
      <c r="S180" s="147"/>
      <c r="T180" s="147"/>
      <c r="U180" s="147"/>
      <c r="V180" s="148"/>
      <c r="X180" s="65"/>
      <c r="Y180" s="65"/>
      <c r="Z180" s="65"/>
    </row>
    <row r="181" spans="15:26">
      <c r="O181" s="60"/>
      <c r="P181" s="64"/>
      <c r="Q181" s="147"/>
      <c r="R181" s="147"/>
      <c r="S181" s="147"/>
      <c r="T181" s="147"/>
      <c r="U181" s="147"/>
      <c r="V181" s="148"/>
      <c r="X181" s="65"/>
      <c r="Y181" s="65"/>
      <c r="Z181" s="65"/>
    </row>
    <row r="182" spans="15:26">
      <c r="O182" s="60"/>
      <c r="P182" s="64"/>
      <c r="Q182" s="147"/>
      <c r="R182" s="147"/>
      <c r="S182" s="147"/>
      <c r="T182" s="147"/>
      <c r="U182" s="147"/>
      <c r="V182" s="148"/>
      <c r="X182" s="65"/>
      <c r="Y182" s="65"/>
      <c r="Z182" s="65"/>
    </row>
    <row r="183" spans="15:26">
      <c r="O183" s="60"/>
      <c r="P183" s="64"/>
      <c r="Q183" s="147"/>
      <c r="R183" s="147"/>
      <c r="S183" s="147"/>
      <c r="T183" s="147"/>
      <c r="U183" s="147"/>
      <c r="V183" s="148"/>
      <c r="X183" s="65"/>
      <c r="Y183" s="65"/>
      <c r="Z183" s="65"/>
    </row>
    <row r="184" spans="15:26">
      <c r="O184" s="60"/>
      <c r="P184" s="64"/>
      <c r="Q184" s="147"/>
      <c r="R184" s="147"/>
      <c r="S184" s="147"/>
      <c r="T184" s="147"/>
      <c r="U184" s="147"/>
      <c r="V184" s="148"/>
      <c r="X184" s="65"/>
      <c r="Y184" s="65"/>
      <c r="Z184" s="65"/>
    </row>
    <row r="185" spans="15:26">
      <c r="O185" s="60"/>
      <c r="P185" s="64"/>
      <c r="Q185" s="147"/>
      <c r="R185" s="147"/>
      <c r="S185" s="147"/>
      <c r="T185" s="147"/>
      <c r="U185" s="147"/>
      <c r="V185" s="148"/>
      <c r="X185" s="65"/>
      <c r="Y185" s="65"/>
      <c r="Z185" s="65"/>
    </row>
    <row r="186" spans="15:26">
      <c r="O186" s="60"/>
      <c r="P186" s="64"/>
      <c r="Q186" s="147"/>
      <c r="R186" s="147"/>
      <c r="S186" s="147"/>
      <c r="T186" s="147"/>
      <c r="U186" s="147"/>
      <c r="V186" s="148"/>
      <c r="X186" s="65"/>
      <c r="Y186" s="65"/>
      <c r="Z186" s="65"/>
    </row>
    <row r="187" spans="15:26">
      <c r="O187" s="60"/>
      <c r="P187" s="64"/>
      <c r="Q187" s="147"/>
      <c r="R187" s="147"/>
      <c r="S187" s="147"/>
      <c r="T187" s="147"/>
      <c r="U187" s="147"/>
      <c r="V187" s="148"/>
      <c r="X187" s="65"/>
      <c r="Y187" s="65"/>
      <c r="Z187" s="65"/>
    </row>
    <row r="188" spans="15:26">
      <c r="O188" s="60"/>
      <c r="P188" s="64"/>
      <c r="Q188" s="147"/>
      <c r="R188" s="147"/>
      <c r="S188" s="147"/>
      <c r="T188" s="147"/>
      <c r="U188" s="147"/>
      <c r="V188" s="148"/>
      <c r="X188" s="65"/>
      <c r="Y188" s="65"/>
      <c r="Z188" s="65"/>
    </row>
    <row r="189" spans="15:26">
      <c r="O189" s="60"/>
      <c r="P189" s="64"/>
      <c r="Q189" s="147"/>
      <c r="R189" s="147"/>
      <c r="S189" s="147"/>
      <c r="T189" s="147"/>
      <c r="U189" s="147"/>
      <c r="V189" s="148"/>
      <c r="X189" s="65"/>
      <c r="Y189" s="65"/>
      <c r="Z189" s="65"/>
    </row>
    <row r="190" spans="15:26">
      <c r="O190" s="60"/>
      <c r="P190" s="64"/>
      <c r="Q190" s="147"/>
      <c r="R190" s="147"/>
      <c r="S190" s="147"/>
      <c r="T190" s="147"/>
      <c r="U190" s="147"/>
      <c r="V190" s="148"/>
      <c r="X190" s="65"/>
      <c r="Y190" s="65"/>
      <c r="Z190" s="65"/>
    </row>
    <row r="191" spans="15:26">
      <c r="O191" s="60"/>
      <c r="P191" s="64"/>
      <c r="Q191" s="147"/>
      <c r="R191" s="147"/>
      <c r="S191" s="147"/>
      <c r="T191" s="147"/>
      <c r="U191" s="147"/>
      <c r="V191" s="148"/>
      <c r="X191" s="65"/>
      <c r="Y191" s="65"/>
      <c r="Z191" s="65"/>
    </row>
    <row r="192" spans="15:26">
      <c r="O192" s="60"/>
      <c r="P192" s="64"/>
      <c r="Q192" s="147"/>
      <c r="R192" s="147"/>
      <c r="S192" s="147"/>
      <c r="T192" s="147"/>
      <c r="U192" s="147"/>
      <c r="V192" s="148"/>
      <c r="X192" s="65"/>
      <c r="Y192" s="65"/>
      <c r="Z192" s="65"/>
    </row>
    <row r="193" spans="15:26">
      <c r="O193" s="60"/>
      <c r="P193" s="64"/>
      <c r="Q193" s="147"/>
      <c r="R193" s="147"/>
      <c r="S193" s="147"/>
      <c r="T193" s="147"/>
      <c r="U193" s="147"/>
      <c r="V193" s="148"/>
      <c r="X193" s="65"/>
      <c r="Y193" s="65"/>
      <c r="Z193" s="65"/>
    </row>
    <row r="194" spans="15:26">
      <c r="O194" s="60"/>
      <c r="P194" s="64"/>
      <c r="Q194" s="147"/>
      <c r="R194" s="147"/>
      <c r="S194" s="147"/>
      <c r="T194" s="147"/>
      <c r="U194" s="147"/>
      <c r="V194" s="148"/>
      <c r="X194" s="65"/>
      <c r="Y194" s="65"/>
      <c r="Z194" s="65"/>
    </row>
    <row r="195" spans="15:26">
      <c r="O195" s="60"/>
      <c r="P195" s="64"/>
      <c r="Q195" s="147"/>
      <c r="R195" s="147"/>
      <c r="S195" s="147"/>
      <c r="T195" s="147"/>
      <c r="U195" s="147"/>
      <c r="V195" s="148"/>
      <c r="X195" s="65"/>
      <c r="Y195" s="65"/>
      <c r="Z195" s="65"/>
    </row>
    <row r="196" spans="15:26">
      <c r="O196" s="60"/>
      <c r="P196" s="64"/>
      <c r="Q196" s="147"/>
      <c r="R196" s="147"/>
      <c r="S196" s="147"/>
      <c r="T196" s="147"/>
      <c r="U196" s="147"/>
      <c r="V196" s="148"/>
      <c r="X196" s="65"/>
      <c r="Y196" s="65"/>
      <c r="Z196" s="65"/>
    </row>
    <row r="197" spans="15:26">
      <c r="O197" s="60"/>
      <c r="P197" s="64"/>
      <c r="Q197" s="147"/>
      <c r="R197" s="147"/>
      <c r="S197" s="147"/>
      <c r="T197" s="147"/>
      <c r="U197" s="147"/>
      <c r="V197" s="148"/>
      <c r="X197" s="65"/>
      <c r="Y197" s="65"/>
      <c r="Z197" s="65"/>
    </row>
    <row r="198" spans="15:26">
      <c r="O198" s="60"/>
      <c r="P198" s="64"/>
      <c r="Q198" s="147"/>
      <c r="R198" s="147"/>
      <c r="S198" s="147"/>
      <c r="T198" s="147"/>
      <c r="U198" s="147"/>
      <c r="V198" s="148"/>
      <c r="X198" s="65"/>
      <c r="Y198" s="65"/>
      <c r="Z198" s="65"/>
    </row>
    <row r="199" spans="15:26">
      <c r="O199" s="60"/>
      <c r="P199" s="64"/>
      <c r="Q199" s="147"/>
      <c r="R199" s="147"/>
      <c r="S199" s="147"/>
      <c r="T199" s="147"/>
      <c r="U199" s="147"/>
      <c r="V199" s="148"/>
      <c r="X199" s="65"/>
      <c r="Y199" s="65"/>
      <c r="Z199" s="65"/>
    </row>
    <row r="200" spans="15:26">
      <c r="O200" s="60"/>
      <c r="P200" s="64"/>
      <c r="Q200" s="147"/>
      <c r="R200" s="147"/>
      <c r="S200" s="147"/>
      <c r="T200" s="147"/>
      <c r="U200" s="147"/>
      <c r="V200" s="148"/>
      <c r="X200" s="65"/>
      <c r="Y200" s="65"/>
      <c r="Z200" s="65"/>
    </row>
    <row r="201" spans="15:26">
      <c r="O201" s="60"/>
      <c r="P201" s="64"/>
      <c r="Q201" s="147"/>
      <c r="R201" s="147"/>
      <c r="S201" s="147"/>
      <c r="T201" s="147"/>
      <c r="U201" s="147"/>
      <c r="V201" s="148"/>
      <c r="X201" s="65"/>
      <c r="Y201" s="65"/>
      <c r="Z201" s="65"/>
    </row>
    <row r="202" spans="15:26">
      <c r="O202" s="60"/>
      <c r="P202" s="64"/>
      <c r="Q202" s="147"/>
      <c r="R202" s="147"/>
      <c r="S202" s="147"/>
      <c r="T202" s="147"/>
      <c r="U202" s="147"/>
      <c r="V202" s="148"/>
      <c r="X202" s="65"/>
      <c r="Y202" s="65"/>
      <c r="Z202" s="65"/>
    </row>
    <row r="203" spans="15:26">
      <c r="O203" s="60"/>
      <c r="P203" s="64"/>
      <c r="Q203" s="147"/>
      <c r="R203" s="147"/>
      <c r="S203" s="147"/>
      <c r="T203" s="147"/>
      <c r="U203" s="147"/>
      <c r="V203" s="148"/>
      <c r="X203" s="65"/>
      <c r="Y203" s="65"/>
      <c r="Z203" s="65"/>
    </row>
    <row r="204" spans="15:26">
      <c r="O204" s="60"/>
      <c r="P204" s="64"/>
      <c r="Q204" s="147"/>
      <c r="R204" s="147"/>
      <c r="S204" s="147"/>
      <c r="T204" s="147"/>
      <c r="U204" s="147"/>
      <c r="V204" s="148"/>
      <c r="X204" s="65"/>
      <c r="Y204" s="65"/>
      <c r="Z204" s="65"/>
    </row>
    <row r="205" spans="15:26">
      <c r="O205" s="60"/>
      <c r="P205" s="64"/>
      <c r="Q205" s="147"/>
      <c r="R205" s="147"/>
      <c r="S205" s="147"/>
      <c r="T205" s="147"/>
      <c r="U205" s="147"/>
      <c r="V205" s="148"/>
      <c r="X205" s="65"/>
      <c r="Y205" s="65"/>
      <c r="Z205" s="65"/>
    </row>
    <row r="206" spans="15:26">
      <c r="O206" s="60"/>
      <c r="P206" s="64"/>
      <c r="Q206" s="147"/>
      <c r="R206" s="147"/>
      <c r="S206" s="147"/>
      <c r="T206" s="147"/>
      <c r="U206" s="147"/>
      <c r="V206" s="148"/>
      <c r="X206" s="65"/>
      <c r="Y206" s="65"/>
      <c r="Z206" s="65"/>
    </row>
    <row r="207" spans="15:26">
      <c r="O207" s="61">
        <v>42370</v>
      </c>
      <c r="P207" s="64"/>
      <c r="Q207" s="147"/>
      <c r="R207" s="147"/>
      <c r="S207" s="147"/>
      <c r="T207" s="147"/>
      <c r="U207" s="147"/>
      <c r="V207" s="148"/>
      <c r="X207" s="65"/>
      <c r="Y207" s="65"/>
      <c r="Z207" s="65"/>
    </row>
    <row r="208" spans="15:26">
      <c r="O208" s="61"/>
      <c r="P208" s="64"/>
      <c r="Q208" s="147"/>
      <c r="R208" s="147"/>
      <c r="S208" s="147"/>
      <c r="T208" s="147"/>
      <c r="U208" s="147"/>
      <c r="V208" s="148"/>
      <c r="X208" s="65"/>
      <c r="Y208" s="65"/>
      <c r="Z208" s="65"/>
    </row>
    <row r="209" spans="15:26">
      <c r="O209" s="60"/>
      <c r="P209" s="64"/>
      <c r="Q209" s="147"/>
      <c r="R209" s="147"/>
      <c r="S209" s="147"/>
      <c r="T209" s="147"/>
      <c r="U209" s="147"/>
      <c r="V209" s="148"/>
      <c r="X209" s="65"/>
      <c r="Y209" s="65"/>
      <c r="Z209" s="65"/>
    </row>
    <row r="210" spans="15:26">
      <c r="O210" s="60"/>
      <c r="P210" s="64"/>
      <c r="Q210" s="147"/>
      <c r="R210" s="147"/>
      <c r="S210" s="147"/>
      <c r="T210" s="147"/>
      <c r="U210" s="147"/>
      <c r="V210" s="148"/>
      <c r="X210" s="65"/>
      <c r="Y210" s="65"/>
      <c r="Z210" s="65"/>
    </row>
    <row r="211" spans="15:26">
      <c r="O211" s="60"/>
      <c r="P211" s="64"/>
      <c r="Q211" s="147"/>
      <c r="R211" s="147"/>
      <c r="S211" s="147"/>
      <c r="T211" s="147"/>
      <c r="U211" s="147"/>
      <c r="V211" s="148"/>
      <c r="X211" s="65"/>
      <c r="Y211" s="65"/>
      <c r="Z211" s="65"/>
    </row>
    <row r="212" spans="15:26">
      <c r="O212" s="60"/>
      <c r="P212" s="64"/>
      <c r="Q212" s="147"/>
      <c r="R212" s="147"/>
      <c r="S212" s="147"/>
      <c r="T212" s="147"/>
      <c r="U212" s="147"/>
      <c r="V212" s="148"/>
      <c r="X212" s="65"/>
      <c r="Y212" s="65"/>
      <c r="Z212" s="65"/>
    </row>
    <row r="213" spans="15:26">
      <c r="O213" s="60"/>
      <c r="P213" s="64"/>
      <c r="Q213" s="147"/>
      <c r="R213" s="147"/>
      <c r="S213" s="147"/>
      <c r="T213" s="147"/>
      <c r="U213" s="147"/>
      <c r="V213" s="148"/>
      <c r="X213" s="65"/>
      <c r="Y213" s="65"/>
      <c r="Z213" s="65"/>
    </row>
    <row r="214" spans="15:26">
      <c r="O214" s="60"/>
      <c r="P214" s="64"/>
      <c r="Q214" s="147"/>
      <c r="R214" s="147"/>
      <c r="S214" s="147"/>
      <c r="T214" s="147"/>
      <c r="U214" s="147"/>
      <c r="V214" s="148"/>
      <c r="X214" s="65"/>
      <c r="Y214" s="65"/>
      <c r="Z214" s="65"/>
    </row>
    <row r="215" spans="15:26">
      <c r="O215" s="60"/>
      <c r="P215" s="64"/>
      <c r="Q215" s="147"/>
      <c r="R215" s="147"/>
      <c r="S215" s="147"/>
      <c r="T215" s="147"/>
      <c r="U215" s="147"/>
      <c r="V215" s="148"/>
      <c r="X215" s="65"/>
      <c r="Y215" s="65"/>
      <c r="Z215" s="65"/>
    </row>
    <row r="216" spans="15:26">
      <c r="O216" s="60"/>
      <c r="P216" s="64"/>
      <c r="Q216" s="147"/>
      <c r="R216" s="147"/>
      <c r="S216" s="147"/>
      <c r="T216" s="147"/>
      <c r="U216" s="147"/>
      <c r="V216" s="148"/>
      <c r="X216" s="65"/>
      <c r="Y216" s="65"/>
      <c r="Z216" s="65"/>
    </row>
    <row r="217" spans="15:26">
      <c r="O217" s="60"/>
      <c r="P217" s="64"/>
      <c r="Q217" s="147"/>
      <c r="R217" s="147"/>
      <c r="S217" s="147"/>
      <c r="T217" s="147"/>
      <c r="U217" s="147"/>
      <c r="V217" s="148"/>
      <c r="X217" s="65"/>
      <c r="Y217" s="65"/>
      <c r="Z217" s="65"/>
    </row>
    <row r="218" spans="15:26">
      <c r="O218" s="60"/>
      <c r="P218" s="64"/>
      <c r="Q218" s="147"/>
      <c r="R218" s="147"/>
      <c r="S218" s="147"/>
      <c r="T218" s="147"/>
      <c r="U218" s="147"/>
      <c r="V218" s="148"/>
      <c r="X218" s="65"/>
      <c r="Y218" s="65"/>
      <c r="Z218" s="65"/>
    </row>
    <row r="219" spans="15:26">
      <c r="O219" s="60"/>
      <c r="P219" s="64"/>
      <c r="Q219" s="147"/>
      <c r="R219" s="147"/>
      <c r="S219" s="147"/>
      <c r="T219" s="147"/>
      <c r="U219" s="147"/>
      <c r="V219" s="148"/>
      <c r="X219" s="65"/>
      <c r="Y219" s="65"/>
      <c r="Z219" s="65"/>
    </row>
    <row r="220" spans="15:26">
      <c r="O220" s="60"/>
      <c r="P220" s="64"/>
      <c r="Q220" s="147"/>
      <c r="R220" s="147"/>
      <c r="S220" s="147"/>
      <c r="T220" s="147"/>
      <c r="U220" s="147"/>
      <c r="V220" s="148"/>
      <c r="X220" s="65"/>
      <c r="Y220" s="65"/>
      <c r="Z220" s="65"/>
    </row>
    <row r="221" spans="15:26">
      <c r="O221" s="60"/>
      <c r="P221" s="64"/>
      <c r="Q221" s="147"/>
      <c r="R221" s="147"/>
      <c r="S221" s="147"/>
      <c r="T221" s="147"/>
      <c r="U221" s="147"/>
      <c r="V221" s="148"/>
      <c r="X221" s="65"/>
      <c r="Y221" s="65"/>
      <c r="Z221" s="65"/>
    </row>
    <row r="222" spans="15:26">
      <c r="O222" s="60"/>
      <c r="P222" s="64"/>
      <c r="Q222" s="147"/>
      <c r="R222" s="147"/>
      <c r="S222" s="147"/>
      <c r="T222" s="147"/>
      <c r="U222" s="147"/>
      <c r="V222" s="148"/>
      <c r="X222" s="65"/>
      <c r="Y222" s="65"/>
      <c r="Z222" s="65"/>
    </row>
    <row r="223" spans="15:26">
      <c r="O223" s="60"/>
      <c r="P223" s="64"/>
      <c r="Q223" s="147"/>
      <c r="R223" s="147"/>
      <c r="S223" s="147"/>
      <c r="T223" s="147"/>
      <c r="U223" s="147"/>
      <c r="V223" s="148"/>
      <c r="X223" s="65"/>
      <c r="Y223" s="65"/>
      <c r="Z223" s="65"/>
    </row>
    <row r="224" spans="15:26">
      <c r="O224" s="60"/>
      <c r="P224" s="64"/>
      <c r="Q224" s="147"/>
      <c r="R224" s="147"/>
      <c r="S224" s="147"/>
      <c r="T224" s="147"/>
      <c r="U224" s="147"/>
      <c r="V224" s="148"/>
      <c r="X224" s="65"/>
      <c r="Y224" s="65"/>
      <c r="Z224" s="65"/>
    </row>
    <row r="225" spans="15:26">
      <c r="O225" s="60"/>
      <c r="P225" s="64"/>
      <c r="Q225" s="147"/>
      <c r="R225" s="147"/>
      <c r="S225" s="147"/>
      <c r="T225" s="147"/>
      <c r="U225" s="147"/>
      <c r="V225" s="148"/>
      <c r="X225" s="65"/>
      <c r="Y225" s="65"/>
      <c r="Z225" s="65"/>
    </row>
    <row r="226" spans="15:26">
      <c r="O226" s="60"/>
      <c r="P226" s="64"/>
      <c r="Q226" s="147"/>
      <c r="R226" s="147"/>
      <c r="S226" s="147"/>
      <c r="T226" s="147"/>
      <c r="U226" s="147"/>
      <c r="V226" s="148"/>
      <c r="X226" s="65"/>
      <c r="Y226" s="65"/>
      <c r="Z226" s="65"/>
    </row>
    <row r="227" spans="15:26">
      <c r="O227" s="60"/>
      <c r="P227" s="64"/>
      <c r="Q227" s="147"/>
      <c r="R227" s="147"/>
      <c r="S227" s="147"/>
      <c r="T227" s="147"/>
      <c r="U227" s="147"/>
      <c r="V227" s="148"/>
      <c r="X227" s="65"/>
      <c r="Y227" s="65"/>
      <c r="Z227" s="65"/>
    </row>
    <row r="228" spans="15:26">
      <c r="O228" s="60"/>
      <c r="P228" s="64"/>
      <c r="Q228" s="147"/>
      <c r="R228" s="147"/>
      <c r="S228" s="147"/>
      <c r="T228" s="147"/>
      <c r="U228" s="147"/>
      <c r="V228" s="148"/>
      <c r="X228" s="65"/>
      <c r="Y228" s="65"/>
      <c r="Z228" s="65"/>
    </row>
    <row r="229" spans="15:26">
      <c r="O229" s="60"/>
      <c r="P229" s="64"/>
      <c r="Q229" s="147"/>
      <c r="R229" s="147"/>
      <c r="S229" s="147"/>
      <c r="T229" s="147"/>
      <c r="U229" s="147"/>
      <c r="V229" s="148"/>
      <c r="X229" s="65"/>
      <c r="Y229" s="65"/>
      <c r="Z229" s="65"/>
    </row>
    <row r="230" spans="15:26">
      <c r="O230" s="60"/>
      <c r="P230" s="64"/>
      <c r="Q230" s="147"/>
      <c r="R230" s="147"/>
      <c r="S230" s="147"/>
      <c r="T230" s="147"/>
      <c r="U230" s="147"/>
      <c r="V230" s="148"/>
      <c r="X230" s="65"/>
      <c r="Y230" s="65"/>
      <c r="Z230" s="65"/>
    </row>
    <row r="231" spans="15:26">
      <c r="O231" s="60"/>
      <c r="P231" s="64"/>
      <c r="Q231" s="147"/>
      <c r="R231" s="147"/>
      <c r="S231" s="147"/>
      <c r="T231" s="147"/>
      <c r="U231" s="147"/>
      <c r="V231" s="148"/>
      <c r="X231" s="65"/>
      <c r="Y231" s="65"/>
      <c r="Z231" s="65"/>
    </row>
    <row r="232" spans="15:26">
      <c r="O232" s="60"/>
      <c r="P232" s="64"/>
      <c r="Q232" s="147"/>
      <c r="R232" s="147"/>
      <c r="S232" s="147"/>
      <c r="T232" s="147"/>
      <c r="U232" s="147"/>
      <c r="V232" s="148"/>
      <c r="X232" s="65"/>
      <c r="Y232" s="65"/>
      <c r="Z232" s="65"/>
    </row>
    <row r="233" spans="15:26">
      <c r="O233" s="60"/>
      <c r="P233" s="64"/>
      <c r="Q233" s="147"/>
      <c r="R233" s="147"/>
      <c r="S233" s="147"/>
      <c r="T233" s="147"/>
      <c r="U233" s="147"/>
      <c r="V233" s="148"/>
      <c r="X233" s="65"/>
      <c r="Y233" s="65"/>
      <c r="Z233" s="65"/>
    </row>
    <row r="234" spans="15:26">
      <c r="O234" s="60"/>
      <c r="P234" s="64"/>
      <c r="Q234" s="147"/>
      <c r="R234" s="147"/>
      <c r="S234" s="147"/>
      <c r="T234" s="147"/>
      <c r="U234" s="147"/>
      <c r="V234" s="148"/>
      <c r="X234" s="65"/>
      <c r="Y234" s="65"/>
      <c r="Z234" s="65"/>
    </row>
    <row r="235" spans="15:26">
      <c r="O235" s="60"/>
      <c r="P235" s="64"/>
      <c r="Q235" s="147"/>
      <c r="R235" s="147"/>
      <c r="S235" s="147"/>
      <c r="T235" s="147"/>
      <c r="U235" s="147"/>
      <c r="V235" s="148"/>
      <c r="X235" s="65"/>
      <c r="Y235" s="65"/>
      <c r="Z235" s="65"/>
    </row>
    <row r="236" spans="15:26">
      <c r="O236" s="60"/>
      <c r="P236" s="64"/>
      <c r="Q236" s="147"/>
      <c r="R236" s="147"/>
      <c r="S236" s="147"/>
      <c r="T236" s="147"/>
      <c r="U236" s="147"/>
      <c r="V236" s="148"/>
      <c r="X236" s="65"/>
      <c r="Y236" s="65"/>
      <c r="Z236" s="65"/>
    </row>
    <row r="237" spans="15:26">
      <c r="O237" s="60"/>
      <c r="P237" s="64"/>
      <c r="Q237" s="147"/>
      <c r="R237" s="147"/>
      <c r="S237" s="147"/>
      <c r="T237" s="147"/>
      <c r="U237" s="147"/>
      <c r="V237" s="148"/>
      <c r="X237" s="65"/>
      <c r="Y237" s="65"/>
      <c r="Z237" s="65"/>
    </row>
    <row r="238" spans="15:26">
      <c r="O238" s="61">
        <v>42401</v>
      </c>
      <c r="P238" s="64"/>
      <c r="Q238" s="147"/>
      <c r="R238" s="147"/>
      <c r="S238" s="147"/>
      <c r="T238" s="147"/>
      <c r="U238" s="147"/>
      <c r="V238" s="148"/>
      <c r="X238" s="65"/>
      <c r="Y238" s="65"/>
      <c r="Z238" s="65"/>
    </row>
    <row r="239" spans="15:26">
      <c r="O239" s="61"/>
      <c r="P239" s="64"/>
      <c r="Q239" s="147"/>
      <c r="R239" s="147"/>
      <c r="S239" s="147"/>
      <c r="T239" s="147"/>
      <c r="U239" s="147"/>
      <c r="V239" s="148"/>
      <c r="X239" s="65"/>
      <c r="Y239" s="65"/>
      <c r="Z239" s="65"/>
    </row>
    <row r="240" spans="15:26">
      <c r="O240" s="60"/>
      <c r="P240" s="64"/>
      <c r="Q240" s="147"/>
      <c r="R240" s="147"/>
      <c r="S240" s="147"/>
      <c r="T240" s="147"/>
      <c r="U240" s="147"/>
      <c r="V240" s="148"/>
      <c r="X240" s="65"/>
      <c r="Y240" s="65"/>
      <c r="Z240" s="65"/>
    </row>
    <row r="241" spans="15:26">
      <c r="O241" s="60"/>
      <c r="P241" s="64"/>
      <c r="Q241" s="147"/>
      <c r="R241" s="147"/>
      <c r="S241" s="147"/>
      <c r="T241" s="147"/>
      <c r="U241" s="147"/>
      <c r="V241" s="148"/>
      <c r="X241" s="65"/>
      <c r="Y241" s="65"/>
      <c r="Z241" s="65"/>
    </row>
    <row r="242" spans="15:26">
      <c r="O242" s="60"/>
      <c r="P242" s="64"/>
      <c r="Q242" s="147"/>
      <c r="R242" s="147"/>
      <c r="S242" s="147"/>
      <c r="T242" s="147"/>
      <c r="U242" s="147"/>
      <c r="V242" s="148"/>
      <c r="X242" s="65"/>
      <c r="Y242" s="65"/>
      <c r="Z242" s="65"/>
    </row>
    <row r="243" spans="15:26">
      <c r="O243" s="60"/>
      <c r="P243" s="64"/>
      <c r="Q243" s="147"/>
      <c r="R243" s="147"/>
      <c r="S243" s="147"/>
      <c r="T243" s="147"/>
      <c r="U243" s="147"/>
      <c r="V243" s="148"/>
      <c r="X243" s="65"/>
      <c r="Y243" s="65"/>
      <c r="Z243" s="65"/>
    </row>
    <row r="244" spans="15:26">
      <c r="O244" s="60"/>
      <c r="P244" s="64"/>
      <c r="Q244" s="147"/>
      <c r="R244" s="147"/>
      <c r="S244" s="147"/>
      <c r="T244" s="147"/>
      <c r="U244" s="147"/>
      <c r="V244" s="148"/>
      <c r="X244" s="65"/>
      <c r="Y244" s="65"/>
      <c r="Z244" s="65"/>
    </row>
    <row r="245" spans="15:26">
      <c r="O245" s="60"/>
      <c r="P245" s="64"/>
      <c r="Q245" s="147"/>
      <c r="R245" s="147"/>
      <c r="S245" s="147"/>
      <c r="T245" s="147"/>
      <c r="U245" s="147"/>
      <c r="V245" s="148"/>
      <c r="X245" s="65"/>
      <c r="Y245" s="65"/>
      <c r="Z245" s="65"/>
    </row>
    <row r="246" spans="15:26">
      <c r="O246" s="60"/>
      <c r="P246" s="64"/>
      <c r="Q246" s="147"/>
      <c r="R246" s="147"/>
      <c r="S246" s="147"/>
      <c r="T246" s="147"/>
      <c r="U246" s="147"/>
      <c r="V246" s="148"/>
      <c r="X246" s="65"/>
      <c r="Y246" s="65"/>
      <c r="Z246" s="65"/>
    </row>
    <row r="247" spans="15:26">
      <c r="O247" s="60"/>
      <c r="P247" s="64"/>
      <c r="Q247" s="147"/>
      <c r="R247" s="147"/>
      <c r="S247" s="147"/>
      <c r="T247" s="147"/>
      <c r="U247" s="147"/>
      <c r="V247" s="148"/>
      <c r="X247" s="65"/>
      <c r="Y247" s="65"/>
      <c r="Z247" s="65"/>
    </row>
    <row r="248" spans="15:26">
      <c r="O248" s="60"/>
      <c r="P248" s="64"/>
      <c r="Q248" s="147"/>
      <c r="R248" s="147"/>
      <c r="S248" s="147"/>
      <c r="T248" s="147"/>
      <c r="U248" s="147"/>
      <c r="V248" s="148"/>
      <c r="X248" s="65"/>
      <c r="Y248" s="65"/>
      <c r="Z248" s="65"/>
    </row>
    <row r="249" spans="15:26">
      <c r="O249" s="60"/>
      <c r="P249" s="64"/>
      <c r="Q249" s="147"/>
      <c r="R249" s="147"/>
      <c r="S249" s="147"/>
      <c r="T249" s="147"/>
      <c r="U249" s="147"/>
      <c r="V249" s="148"/>
      <c r="X249" s="65"/>
      <c r="Y249" s="65"/>
      <c r="Z249" s="65"/>
    </row>
    <row r="250" spans="15:26">
      <c r="O250" s="60"/>
      <c r="P250" s="64"/>
      <c r="Q250" s="147"/>
      <c r="R250" s="147"/>
      <c r="S250" s="147"/>
      <c r="T250" s="147"/>
      <c r="U250" s="147"/>
      <c r="V250" s="148"/>
      <c r="X250" s="65"/>
      <c r="Y250" s="65"/>
      <c r="Z250" s="65"/>
    </row>
    <row r="251" spans="15:26">
      <c r="O251" s="60"/>
      <c r="P251" s="64"/>
      <c r="Q251" s="147"/>
      <c r="R251" s="147"/>
      <c r="S251" s="147"/>
      <c r="T251" s="147"/>
      <c r="U251" s="147"/>
      <c r="V251" s="148"/>
      <c r="X251" s="65"/>
      <c r="Y251" s="65"/>
      <c r="Z251" s="65"/>
    </row>
    <row r="252" spans="15:26">
      <c r="O252" s="60"/>
      <c r="P252" s="64"/>
      <c r="Q252" s="147"/>
      <c r="R252" s="147"/>
      <c r="S252" s="147"/>
      <c r="T252" s="147"/>
      <c r="U252" s="147"/>
      <c r="V252" s="148"/>
      <c r="X252" s="65"/>
      <c r="Y252" s="65"/>
      <c r="Z252" s="65"/>
    </row>
    <row r="253" spans="15:26">
      <c r="O253" s="60"/>
      <c r="P253" s="64"/>
      <c r="Q253" s="147"/>
      <c r="R253" s="147"/>
      <c r="S253" s="147"/>
      <c r="T253" s="147"/>
      <c r="U253" s="147"/>
      <c r="V253" s="148"/>
      <c r="X253" s="65"/>
      <c r="Y253" s="65"/>
      <c r="Z253" s="65"/>
    </row>
    <row r="254" spans="15:26">
      <c r="O254" s="60"/>
      <c r="P254" s="64"/>
      <c r="Q254" s="147"/>
      <c r="R254" s="147"/>
      <c r="S254" s="147"/>
      <c r="T254" s="147"/>
      <c r="U254" s="147"/>
      <c r="V254" s="148"/>
      <c r="X254" s="65"/>
      <c r="Y254" s="65"/>
      <c r="Z254" s="65"/>
    </row>
    <row r="255" spans="15:26">
      <c r="O255" s="60"/>
      <c r="P255" s="64"/>
      <c r="Q255" s="147"/>
      <c r="R255" s="147"/>
      <c r="S255" s="147"/>
      <c r="T255" s="147"/>
      <c r="U255" s="147"/>
      <c r="V255" s="148"/>
      <c r="X255" s="65"/>
      <c r="Y255" s="65"/>
      <c r="Z255" s="65"/>
    </row>
    <row r="256" spans="15:26">
      <c r="O256" s="60"/>
      <c r="P256" s="64"/>
      <c r="Q256" s="147"/>
      <c r="R256" s="147"/>
      <c r="S256" s="147"/>
      <c r="T256" s="147"/>
      <c r="U256" s="147"/>
      <c r="V256" s="148"/>
      <c r="X256" s="65"/>
      <c r="Y256" s="65"/>
      <c r="Z256" s="65"/>
    </row>
    <row r="257" spans="15:26">
      <c r="O257" s="60"/>
      <c r="P257" s="64"/>
      <c r="Q257" s="147"/>
      <c r="R257" s="147"/>
      <c r="S257" s="147"/>
      <c r="T257" s="147"/>
      <c r="U257" s="147"/>
      <c r="V257" s="148"/>
      <c r="X257" s="65"/>
      <c r="Y257" s="65"/>
      <c r="Z257" s="65"/>
    </row>
    <row r="258" spans="15:26">
      <c r="O258" s="60"/>
      <c r="P258" s="64"/>
      <c r="Q258" s="147"/>
      <c r="R258" s="147"/>
      <c r="S258" s="147"/>
      <c r="T258" s="147"/>
      <c r="U258" s="147"/>
      <c r="V258" s="148"/>
      <c r="X258" s="65"/>
      <c r="Y258" s="65"/>
      <c r="Z258" s="65"/>
    </row>
    <row r="259" spans="15:26">
      <c r="O259" s="60"/>
      <c r="P259" s="64"/>
      <c r="Q259" s="147"/>
      <c r="R259" s="147"/>
      <c r="S259" s="147"/>
      <c r="T259" s="147"/>
      <c r="U259" s="147"/>
      <c r="V259" s="148"/>
      <c r="X259" s="65"/>
      <c r="Y259" s="65"/>
      <c r="Z259" s="65"/>
    </row>
    <row r="260" spans="15:26">
      <c r="O260" s="60"/>
      <c r="P260" s="64"/>
      <c r="Q260" s="147"/>
      <c r="R260" s="147"/>
      <c r="S260" s="147"/>
      <c r="T260" s="147"/>
      <c r="U260" s="147"/>
      <c r="V260" s="148"/>
      <c r="X260" s="65"/>
      <c r="Y260" s="65"/>
      <c r="Z260" s="65"/>
    </row>
    <row r="261" spans="15:26">
      <c r="O261" s="60"/>
      <c r="P261" s="64"/>
      <c r="Q261" s="147"/>
      <c r="R261" s="147"/>
      <c r="S261" s="147"/>
      <c r="T261" s="147"/>
      <c r="U261" s="147"/>
      <c r="V261" s="148"/>
      <c r="X261" s="65"/>
      <c r="Y261" s="65"/>
      <c r="Z261" s="65"/>
    </row>
    <row r="262" spans="15:26">
      <c r="O262" s="60"/>
      <c r="P262" s="64"/>
      <c r="Q262" s="147"/>
      <c r="R262" s="147"/>
      <c r="S262" s="147"/>
      <c r="T262" s="147"/>
      <c r="U262" s="147"/>
      <c r="V262" s="148"/>
      <c r="X262" s="65"/>
      <c r="Y262" s="65"/>
      <c r="Z262" s="65"/>
    </row>
    <row r="263" spans="15:26">
      <c r="O263" s="60"/>
      <c r="P263" s="64"/>
      <c r="Q263" s="147"/>
      <c r="R263" s="147"/>
      <c r="S263" s="147"/>
      <c r="T263" s="147"/>
      <c r="U263" s="147"/>
      <c r="V263" s="148"/>
      <c r="X263" s="65"/>
      <c r="Y263" s="65"/>
      <c r="Z263" s="65"/>
    </row>
    <row r="264" spans="15:26">
      <c r="O264" s="60"/>
      <c r="P264" s="64"/>
      <c r="Q264" s="147"/>
      <c r="R264" s="147"/>
      <c r="S264" s="147"/>
      <c r="T264" s="147"/>
      <c r="U264" s="147"/>
      <c r="V264" s="148"/>
      <c r="X264" s="65"/>
      <c r="Y264" s="65"/>
      <c r="Z264" s="65"/>
    </row>
    <row r="265" spans="15:26">
      <c r="O265" s="60"/>
      <c r="P265" s="64"/>
      <c r="Q265" s="147"/>
      <c r="R265" s="147"/>
      <c r="S265" s="147"/>
      <c r="T265" s="147"/>
      <c r="U265" s="147"/>
      <c r="V265" s="148"/>
      <c r="X265" s="65"/>
      <c r="Y265" s="65"/>
      <c r="Z265" s="65"/>
    </row>
    <row r="266" spans="15:26">
      <c r="O266" s="60"/>
      <c r="P266" s="64"/>
      <c r="Q266" s="147"/>
      <c r="R266" s="147"/>
      <c r="S266" s="147"/>
      <c r="T266" s="147"/>
      <c r="U266" s="147"/>
      <c r="V266" s="148"/>
      <c r="X266" s="65"/>
      <c r="Y266" s="65"/>
      <c r="Z266" s="65"/>
    </row>
    <row r="267" spans="15:26">
      <c r="O267" s="61">
        <v>42430</v>
      </c>
      <c r="P267" s="64"/>
      <c r="Q267" s="147"/>
      <c r="R267" s="147"/>
      <c r="S267" s="147"/>
      <c r="T267" s="147"/>
      <c r="U267" s="147"/>
      <c r="V267" s="148"/>
      <c r="X267" s="65"/>
      <c r="Y267" s="65"/>
      <c r="Z267" s="65"/>
    </row>
    <row r="268" spans="15:26">
      <c r="O268" s="60"/>
      <c r="P268" s="64"/>
      <c r="Q268" s="147"/>
      <c r="R268" s="147"/>
      <c r="S268" s="147"/>
      <c r="T268" s="147"/>
      <c r="U268" s="147"/>
      <c r="V268" s="148"/>
      <c r="X268" s="65"/>
      <c r="Y268" s="65"/>
      <c r="Z268" s="65"/>
    </row>
    <row r="269" spans="15:26">
      <c r="O269" s="61"/>
      <c r="P269" s="64"/>
      <c r="Q269" s="147"/>
      <c r="R269" s="147"/>
      <c r="S269" s="147"/>
      <c r="T269" s="147"/>
      <c r="U269" s="147"/>
      <c r="V269" s="148"/>
      <c r="X269" s="65"/>
      <c r="Y269" s="65"/>
      <c r="Z269" s="65"/>
    </row>
    <row r="270" spans="15:26">
      <c r="O270" s="61"/>
      <c r="P270" s="64"/>
      <c r="Q270" s="147"/>
      <c r="R270" s="147"/>
      <c r="S270" s="147"/>
      <c r="T270" s="147"/>
      <c r="U270" s="147"/>
      <c r="V270" s="148"/>
      <c r="X270" s="65"/>
      <c r="Y270" s="65"/>
      <c r="Z270" s="65"/>
    </row>
    <row r="271" spans="15:26">
      <c r="O271" s="60"/>
      <c r="P271" s="64"/>
      <c r="Q271" s="147"/>
      <c r="R271" s="147"/>
      <c r="S271" s="147"/>
      <c r="T271" s="147"/>
      <c r="U271" s="147"/>
      <c r="V271" s="148"/>
      <c r="X271" s="65"/>
      <c r="Y271" s="65"/>
      <c r="Z271" s="65"/>
    </row>
    <row r="272" spans="15:26">
      <c r="O272" s="60"/>
      <c r="P272" s="64"/>
      <c r="Q272" s="147"/>
      <c r="R272" s="147"/>
      <c r="S272" s="147"/>
      <c r="T272" s="147"/>
      <c r="U272" s="147"/>
      <c r="V272" s="148"/>
      <c r="X272" s="65"/>
      <c r="Y272" s="65"/>
      <c r="Z272" s="65"/>
    </row>
    <row r="273" spans="15:26">
      <c r="O273" s="60"/>
      <c r="P273" s="64"/>
      <c r="Q273" s="147"/>
      <c r="R273" s="147"/>
      <c r="S273" s="147"/>
      <c r="T273" s="147"/>
      <c r="U273" s="147"/>
      <c r="V273" s="148"/>
      <c r="X273" s="65"/>
      <c r="Y273" s="65"/>
      <c r="Z273" s="65"/>
    </row>
    <row r="274" spans="15:26">
      <c r="O274" s="60"/>
      <c r="P274" s="64"/>
      <c r="Q274" s="147"/>
      <c r="R274" s="147"/>
      <c r="S274" s="147"/>
      <c r="T274" s="147"/>
      <c r="U274" s="147"/>
      <c r="V274" s="148"/>
      <c r="X274" s="65"/>
      <c r="Y274" s="65"/>
      <c r="Z274" s="65"/>
    </row>
    <row r="275" spans="15:26">
      <c r="O275" s="60"/>
      <c r="P275" s="64"/>
      <c r="Q275" s="147"/>
      <c r="R275" s="147"/>
      <c r="S275" s="147"/>
      <c r="T275" s="147"/>
      <c r="U275" s="147"/>
      <c r="V275" s="148"/>
      <c r="X275" s="65"/>
      <c r="Y275" s="65"/>
      <c r="Z275" s="65"/>
    </row>
    <row r="276" spans="15:26">
      <c r="O276" s="60"/>
      <c r="P276" s="64"/>
      <c r="Q276" s="147"/>
      <c r="R276" s="147"/>
      <c r="S276" s="147"/>
      <c r="T276" s="147"/>
      <c r="U276" s="147"/>
      <c r="V276" s="148"/>
      <c r="X276" s="65"/>
      <c r="Y276" s="65"/>
      <c r="Z276" s="65"/>
    </row>
    <row r="277" spans="15:26">
      <c r="O277" s="60"/>
      <c r="P277" s="64"/>
      <c r="Q277" s="147"/>
      <c r="R277" s="147"/>
      <c r="S277" s="147"/>
      <c r="T277" s="147"/>
      <c r="U277" s="147"/>
      <c r="V277" s="148"/>
      <c r="X277" s="65"/>
      <c r="Y277" s="65"/>
      <c r="Z277" s="65"/>
    </row>
    <row r="278" spans="15:26">
      <c r="O278" s="60"/>
      <c r="P278" s="64"/>
      <c r="Q278" s="147"/>
      <c r="R278" s="147"/>
      <c r="S278" s="147"/>
      <c r="T278" s="147"/>
      <c r="U278" s="147"/>
      <c r="V278" s="148"/>
      <c r="X278" s="65"/>
      <c r="Y278" s="65"/>
      <c r="Z278" s="65"/>
    </row>
    <row r="279" spans="15:26">
      <c r="O279" s="60"/>
      <c r="P279" s="64"/>
      <c r="Q279" s="147"/>
      <c r="R279" s="147"/>
      <c r="S279" s="147"/>
      <c r="T279" s="147"/>
      <c r="U279" s="147"/>
      <c r="V279" s="148"/>
      <c r="X279" s="65"/>
      <c r="Y279" s="65"/>
      <c r="Z279" s="65"/>
    </row>
    <row r="280" spans="15:26">
      <c r="O280" s="60"/>
      <c r="P280" s="64"/>
      <c r="Q280" s="147"/>
      <c r="R280" s="147"/>
      <c r="S280" s="147"/>
      <c r="T280" s="147"/>
      <c r="U280" s="147"/>
      <c r="V280" s="148"/>
      <c r="X280" s="65"/>
      <c r="Y280" s="65"/>
      <c r="Z280" s="65"/>
    </row>
    <row r="281" spans="15:26">
      <c r="O281" s="60"/>
      <c r="P281" s="64"/>
      <c r="Q281" s="147"/>
      <c r="R281" s="147"/>
      <c r="S281" s="147"/>
      <c r="T281" s="147"/>
      <c r="U281" s="147"/>
      <c r="V281" s="148"/>
      <c r="X281" s="65"/>
      <c r="Y281" s="65"/>
      <c r="Z281" s="65"/>
    </row>
    <row r="282" spans="15:26">
      <c r="O282" s="60"/>
      <c r="P282" s="64"/>
      <c r="Q282" s="147"/>
      <c r="R282" s="147"/>
      <c r="S282" s="147"/>
      <c r="T282" s="147"/>
      <c r="U282" s="147"/>
      <c r="V282" s="148"/>
      <c r="X282" s="65"/>
      <c r="Y282" s="65"/>
      <c r="Z282" s="65"/>
    </row>
    <row r="283" spans="15:26">
      <c r="O283" s="60"/>
      <c r="P283" s="64"/>
      <c r="Q283" s="147"/>
      <c r="R283" s="147"/>
      <c r="S283" s="147"/>
      <c r="T283" s="147"/>
      <c r="U283" s="147"/>
      <c r="V283" s="148"/>
      <c r="X283" s="65"/>
      <c r="Y283" s="65"/>
      <c r="Z283" s="65"/>
    </row>
    <row r="284" spans="15:26">
      <c r="O284" s="60"/>
      <c r="P284" s="64"/>
      <c r="Q284" s="147"/>
      <c r="R284" s="147"/>
      <c r="S284" s="147"/>
      <c r="T284" s="147"/>
      <c r="U284" s="147"/>
      <c r="V284" s="148"/>
      <c r="X284" s="65"/>
      <c r="Y284" s="65"/>
      <c r="Z284" s="65"/>
    </row>
    <row r="285" spans="15:26">
      <c r="O285" s="60"/>
      <c r="P285" s="64"/>
      <c r="Q285" s="147"/>
      <c r="R285" s="147"/>
      <c r="S285" s="147"/>
      <c r="T285" s="147"/>
      <c r="U285" s="147"/>
      <c r="V285" s="148"/>
      <c r="X285" s="65"/>
      <c r="Y285" s="65"/>
      <c r="Z285" s="65"/>
    </row>
    <row r="286" spans="15:26">
      <c r="O286" s="60"/>
      <c r="P286" s="64"/>
      <c r="Q286" s="147"/>
      <c r="R286" s="147"/>
      <c r="S286" s="147"/>
      <c r="T286" s="147"/>
      <c r="U286" s="147"/>
      <c r="V286" s="148"/>
      <c r="X286" s="65"/>
      <c r="Y286" s="65"/>
      <c r="Z286" s="65"/>
    </row>
    <row r="287" spans="15:26">
      <c r="O287" s="60"/>
      <c r="P287" s="64"/>
      <c r="Q287" s="147"/>
      <c r="R287" s="147"/>
      <c r="S287" s="147"/>
      <c r="T287" s="147"/>
      <c r="U287" s="147"/>
      <c r="V287" s="148"/>
      <c r="X287" s="65"/>
      <c r="Y287" s="65"/>
      <c r="Z287" s="65"/>
    </row>
    <row r="288" spans="15:26">
      <c r="O288" s="60"/>
      <c r="P288" s="64"/>
      <c r="Q288" s="147"/>
      <c r="R288" s="147"/>
      <c r="S288" s="147"/>
      <c r="T288" s="147"/>
      <c r="U288" s="147"/>
      <c r="V288" s="148"/>
      <c r="X288" s="65"/>
      <c r="Y288" s="65"/>
      <c r="Z288" s="65"/>
    </row>
    <row r="289" spans="15:26">
      <c r="O289" s="60"/>
      <c r="P289" s="64"/>
      <c r="Q289" s="147"/>
      <c r="R289" s="147"/>
      <c r="S289" s="147"/>
      <c r="T289" s="147"/>
      <c r="U289" s="147"/>
      <c r="V289" s="148"/>
      <c r="X289" s="65"/>
      <c r="Y289" s="65"/>
      <c r="Z289" s="65"/>
    </row>
    <row r="290" spans="15:26">
      <c r="O290" s="60"/>
      <c r="P290" s="64"/>
      <c r="Q290" s="147"/>
      <c r="R290" s="147"/>
      <c r="S290" s="147"/>
      <c r="T290" s="147"/>
      <c r="U290" s="147"/>
      <c r="V290" s="148"/>
      <c r="X290" s="65"/>
      <c r="Y290" s="65"/>
      <c r="Z290" s="65"/>
    </row>
    <row r="291" spans="15:26">
      <c r="O291" s="60"/>
      <c r="P291" s="64"/>
      <c r="Q291" s="147"/>
      <c r="R291" s="147"/>
      <c r="S291" s="147"/>
      <c r="T291" s="147"/>
      <c r="U291" s="147"/>
      <c r="V291" s="148"/>
      <c r="X291" s="65"/>
      <c r="Y291" s="65"/>
      <c r="Z291" s="65"/>
    </row>
    <row r="292" spans="15:26">
      <c r="O292" s="60"/>
      <c r="P292" s="64"/>
      <c r="Q292" s="147"/>
      <c r="R292" s="147"/>
      <c r="S292" s="147"/>
      <c r="T292" s="147"/>
      <c r="U292" s="147"/>
      <c r="V292" s="148"/>
      <c r="X292" s="65"/>
      <c r="Y292" s="65"/>
      <c r="Z292" s="65"/>
    </row>
    <row r="293" spans="15:26">
      <c r="O293" s="60"/>
      <c r="P293" s="64"/>
      <c r="Q293" s="147"/>
      <c r="R293" s="147"/>
      <c r="S293" s="147"/>
      <c r="T293" s="147"/>
      <c r="U293" s="147"/>
      <c r="V293" s="148"/>
      <c r="X293" s="65"/>
      <c r="Y293" s="65"/>
      <c r="Z293" s="65"/>
    </row>
    <row r="294" spans="15:26">
      <c r="O294" s="60"/>
      <c r="P294" s="64"/>
      <c r="Q294" s="147"/>
      <c r="R294" s="147"/>
      <c r="S294" s="147"/>
      <c r="T294" s="147"/>
      <c r="U294" s="147"/>
      <c r="V294" s="148"/>
      <c r="X294" s="65"/>
      <c r="Y294" s="65"/>
      <c r="Z294" s="65"/>
    </row>
    <row r="295" spans="15:26">
      <c r="O295" s="60"/>
      <c r="P295" s="64"/>
      <c r="Q295" s="147"/>
      <c r="R295" s="147"/>
      <c r="S295" s="147"/>
      <c r="T295" s="147"/>
      <c r="U295" s="147"/>
      <c r="V295" s="148"/>
      <c r="X295" s="65"/>
      <c r="Y295" s="65"/>
      <c r="Z295" s="65"/>
    </row>
    <row r="296" spans="15:26">
      <c r="O296" s="60"/>
      <c r="P296" s="64"/>
      <c r="Q296" s="147"/>
      <c r="R296" s="147"/>
      <c r="S296" s="147"/>
      <c r="T296" s="147"/>
      <c r="U296" s="147"/>
      <c r="V296" s="148"/>
      <c r="X296" s="65"/>
      <c r="Y296" s="65"/>
      <c r="Z296" s="65"/>
    </row>
    <row r="297" spans="15:26">
      <c r="O297" s="61"/>
      <c r="P297" s="64"/>
      <c r="Q297" s="147"/>
      <c r="R297" s="147"/>
      <c r="S297" s="147"/>
      <c r="T297" s="147"/>
      <c r="U297" s="147"/>
      <c r="V297" s="148"/>
      <c r="X297" s="65"/>
      <c r="Y297" s="65"/>
      <c r="Z297" s="65"/>
    </row>
    <row r="298" spans="15:26">
      <c r="O298" s="61">
        <v>42461</v>
      </c>
      <c r="P298" s="64"/>
      <c r="Q298" s="147"/>
      <c r="R298" s="147"/>
      <c r="S298" s="147"/>
      <c r="T298" s="147"/>
      <c r="U298" s="147"/>
      <c r="V298" s="148"/>
      <c r="X298" s="65"/>
      <c r="Y298" s="65"/>
      <c r="Z298" s="65"/>
    </row>
    <row r="299" spans="15:26">
      <c r="O299" s="60"/>
      <c r="P299" s="64"/>
      <c r="Q299" s="147"/>
      <c r="R299" s="147"/>
      <c r="S299" s="147"/>
      <c r="T299" s="147"/>
      <c r="U299" s="147"/>
      <c r="V299" s="148"/>
      <c r="X299" s="65"/>
      <c r="Y299" s="65"/>
      <c r="Z299" s="65"/>
    </row>
    <row r="300" spans="15:26">
      <c r="O300" s="60"/>
      <c r="P300" s="64"/>
      <c r="Q300" s="147"/>
      <c r="R300" s="147"/>
      <c r="S300" s="147"/>
      <c r="T300" s="147"/>
      <c r="U300" s="147"/>
      <c r="V300" s="148"/>
      <c r="X300" s="65"/>
      <c r="Y300" s="65"/>
      <c r="Z300" s="65"/>
    </row>
    <row r="301" spans="15:26">
      <c r="O301" s="60"/>
      <c r="P301" s="64"/>
      <c r="Q301" s="147"/>
      <c r="R301" s="147"/>
      <c r="S301" s="147"/>
      <c r="T301" s="147"/>
      <c r="U301" s="147"/>
      <c r="V301" s="148"/>
      <c r="X301" s="65"/>
      <c r="Y301" s="65"/>
      <c r="Z301" s="65"/>
    </row>
    <row r="302" spans="15:26">
      <c r="O302" s="60"/>
      <c r="P302" s="64"/>
      <c r="Q302" s="147"/>
      <c r="R302" s="147"/>
      <c r="S302" s="147"/>
      <c r="T302" s="147"/>
      <c r="U302" s="147"/>
      <c r="V302" s="148"/>
      <c r="X302" s="65"/>
      <c r="Y302" s="65"/>
      <c r="Z302" s="65"/>
    </row>
    <row r="303" spans="15:26">
      <c r="O303" s="60"/>
      <c r="P303" s="64"/>
      <c r="Q303" s="147"/>
      <c r="R303" s="147"/>
      <c r="S303" s="147"/>
      <c r="T303" s="147"/>
      <c r="U303" s="147"/>
      <c r="V303" s="148"/>
      <c r="X303" s="65"/>
      <c r="Y303" s="65"/>
      <c r="Z303" s="65"/>
    </row>
    <row r="304" spans="15:26">
      <c r="O304" s="60"/>
      <c r="P304" s="64"/>
      <c r="Q304" s="147"/>
      <c r="R304" s="147"/>
      <c r="S304" s="147"/>
      <c r="T304" s="147"/>
      <c r="U304" s="147"/>
      <c r="V304" s="148"/>
      <c r="X304" s="65"/>
      <c r="Y304" s="65"/>
      <c r="Z304" s="65"/>
    </row>
    <row r="305" spans="15:26">
      <c r="O305" s="60"/>
      <c r="P305" s="64"/>
      <c r="Q305" s="147"/>
      <c r="R305" s="147"/>
      <c r="S305" s="147"/>
      <c r="T305" s="147"/>
      <c r="U305" s="147"/>
      <c r="V305" s="148"/>
      <c r="X305" s="65"/>
      <c r="Y305" s="65"/>
      <c r="Z305" s="65"/>
    </row>
    <row r="306" spans="15:26">
      <c r="O306" s="60"/>
      <c r="P306" s="64"/>
      <c r="Q306" s="147"/>
      <c r="R306" s="147"/>
      <c r="S306" s="147"/>
      <c r="T306" s="147"/>
      <c r="U306" s="147"/>
      <c r="V306" s="148"/>
      <c r="X306" s="65"/>
      <c r="Y306" s="65"/>
      <c r="Z306" s="65"/>
    </row>
    <row r="307" spans="15:26">
      <c r="O307" s="60"/>
      <c r="P307" s="64"/>
      <c r="Q307" s="147"/>
      <c r="R307" s="147"/>
      <c r="S307" s="147"/>
      <c r="T307" s="147"/>
      <c r="U307" s="147"/>
      <c r="V307" s="148"/>
      <c r="X307" s="65"/>
      <c r="Y307" s="65"/>
      <c r="Z307" s="65"/>
    </row>
    <row r="308" spans="15:26">
      <c r="O308" s="60"/>
      <c r="P308" s="64"/>
      <c r="Q308" s="147"/>
      <c r="R308" s="147"/>
      <c r="S308" s="147"/>
      <c r="T308" s="147"/>
      <c r="U308" s="147"/>
      <c r="V308" s="148"/>
      <c r="X308" s="65"/>
      <c r="Y308" s="65"/>
      <c r="Z308" s="65"/>
    </row>
    <row r="309" spans="15:26">
      <c r="O309" s="60"/>
      <c r="P309" s="64"/>
      <c r="Q309" s="147"/>
      <c r="R309" s="147"/>
      <c r="S309" s="147"/>
      <c r="T309" s="147"/>
      <c r="U309" s="147"/>
      <c r="V309" s="148"/>
      <c r="X309" s="65"/>
      <c r="Y309" s="65"/>
      <c r="Z309" s="65"/>
    </row>
    <row r="310" spans="15:26">
      <c r="O310" s="60"/>
      <c r="P310" s="64"/>
      <c r="Q310" s="147"/>
      <c r="R310" s="147"/>
      <c r="S310" s="147"/>
      <c r="T310" s="147"/>
      <c r="U310" s="147"/>
      <c r="V310" s="148"/>
      <c r="X310" s="65"/>
      <c r="Y310" s="65"/>
      <c r="Z310" s="65"/>
    </row>
    <row r="311" spans="15:26">
      <c r="O311" s="60"/>
      <c r="P311" s="64"/>
      <c r="Q311" s="147"/>
      <c r="R311" s="147"/>
      <c r="S311" s="147"/>
      <c r="T311" s="147"/>
      <c r="U311" s="147"/>
      <c r="V311" s="148"/>
      <c r="X311" s="65"/>
      <c r="Y311" s="65"/>
      <c r="Z311" s="65"/>
    </row>
    <row r="312" spans="15:26">
      <c r="O312" s="60"/>
      <c r="P312" s="64"/>
      <c r="Q312" s="147"/>
      <c r="R312" s="147"/>
      <c r="S312" s="147"/>
      <c r="T312" s="147"/>
      <c r="U312" s="147"/>
      <c r="V312" s="148"/>
      <c r="X312" s="65"/>
      <c r="Y312" s="65"/>
      <c r="Z312" s="65"/>
    </row>
    <row r="313" spans="15:26">
      <c r="O313" s="60"/>
      <c r="P313" s="64"/>
      <c r="Q313" s="147"/>
      <c r="R313" s="147"/>
      <c r="S313" s="147"/>
      <c r="T313" s="147"/>
      <c r="U313" s="147"/>
      <c r="V313" s="148"/>
      <c r="X313" s="65"/>
      <c r="Y313" s="65"/>
      <c r="Z313" s="65"/>
    </row>
    <row r="314" spans="15:26">
      <c r="O314" s="60"/>
      <c r="P314" s="64"/>
      <c r="Q314" s="147"/>
      <c r="R314" s="147"/>
      <c r="S314" s="147"/>
      <c r="T314" s="147"/>
      <c r="U314" s="147"/>
      <c r="V314" s="148"/>
      <c r="X314" s="65"/>
      <c r="Y314" s="65"/>
      <c r="Z314" s="65"/>
    </row>
    <row r="315" spans="15:26">
      <c r="O315" s="60"/>
      <c r="P315" s="64"/>
      <c r="Q315" s="147"/>
      <c r="R315" s="147"/>
      <c r="S315" s="147"/>
      <c r="T315" s="147"/>
      <c r="U315" s="147"/>
      <c r="V315" s="148"/>
      <c r="X315" s="65"/>
      <c r="Y315" s="65"/>
      <c r="Z315" s="65"/>
    </row>
    <row r="316" spans="15:26">
      <c r="O316" s="60"/>
      <c r="P316" s="64"/>
      <c r="Q316" s="147"/>
      <c r="R316" s="147"/>
      <c r="S316" s="147"/>
      <c r="T316" s="147"/>
      <c r="U316" s="147"/>
      <c r="V316" s="148"/>
      <c r="X316" s="65"/>
      <c r="Y316" s="65"/>
      <c r="Z316" s="65"/>
    </row>
    <row r="317" spans="15:26">
      <c r="O317" s="60"/>
      <c r="P317" s="64"/>
      <c r="Q317" s="147"/>
      <c r="R317" s="147"/>
      <c r="S317" s="147"/>
      <c r="T317" s="147"/>
      <c r="U317" s="147"/>
      <c r="V317" s="148"/>
      <c r="X317" s="65"/>
      <c r="Y317" s="65"/>
      <c r="Z317" s="65"/>
    </row>
    <row r="318" spans="15:26">
      <c r="O318" s="60"/>
      <c r="P318" s="64"/>
      <c r="Q318" s="147"/>
      <c r="R318" s="147"/>
      <c r="S318" s="147"/>
      <c r="T318" s="147"/>
      <c r="U318" s="147"/>
      <c r="V318" s="148"/>
      <c r="X318" s="65"/>
      <c r="Y318" s="65"/>
      <c r="Z318" s="65"/>
    </row>
    <row r="319" spans="15:26">
      <c r="O319" s="60"/>
      <c r="P319" s="64"/>
      <c r="Q319" s="147"/>
      <c r="R319" s="147"/>
      <c r="S319" s="147"/>
      <c r="T319" s="147"/>
      <c r="U319" s="147"/>
      <c r="V319" s="148"/>
      <c r="X319" s="65"/>
      <c r="Y319" s="65"/>
      <c r="Z319" s="65"/>
    </row>
    <row r="320" spans="15:26">
      <c r="O320" s="60"/>
      <c r="P320" s="64"/>
      <c r="Q320" s="147"/>
      <c r="R320" s="147"/>
      <c r="S320" s="147"/>
      <c r="T320" s="147"/>
      <c r="U320" s="147"/>
      <c r="V320" s="148"/>
      <c r="X320" s="65"/>
      <c r="Y320" s="65"/>
      <c r="Z320" s="65"/>
    </row>
    <row r="321" spans="15:26">
      <c r="O321" s="60"/>
      <c r="P321" s="64"/>
      <c r="Q321" s="147"/>
      <c r="R321" s="147"/>
      <c r="S321" s="147"/>
      <c r="T321" s="147"/>
      <c r="U321" s="147"/>
      <c r="V321" s="148"/>
      <c r="X321" s="65"/>
      <c r="Y321" s="65"/>
      <c r="Z321" s="65"/>
    </row>
    <row r="322" spans="15:26">
      <c r="O322" s="60"/>
      <c r="P322" s="64"/>
      <c r="Q322" s="147"/>
      <c r="R322" s="147"/>
      <c r="S322" s="147"/>
      <c r="T322" s="147"/>
      <c r="U322" s="147"/>
      <c r="V322" s="148"/>
      <c r="X322" s="65"/>
      <c r="Y322" s="65"/>
      <c r="Z322" s="65"/>
    </row>
    <row r="323" spans="15:26">
      <c r="O323" s="60"/>
      <c r="P323" s="64"/>
      <c r="Q323" s="147"/>
      <c r="R323" s="147"/>
      <c r="S323" s="147"/>
      <c r="T323" s="147"/>
      <c r="U323" s="147"/>
      <c r="V323" s="148"/>
      <c r="X323" s="65"/>
      <c r="Y323" s="65"/>
      <c r="Z323" s="65"/>
    </row>
    <row r="324" spans="15:26">
      <c r="O324" s="60"/>
      <c r="P324" s="64"/>
      <c r="Q324" s="147"/>
      <c r="R324" s="147"/>
      <c r="S324" s="147"/>
      <c r="T324" s="147"/>
      <c r="U324" s="147"/>
      <c r="V324" s="148"/>
      <c r="X324" s="65"/>
      <c r="Y324" s="65"/>
      <c r="Z324" s="65"/>
    </row>
    <row r="325" spans="15:26">
      <c r="O325" s="60"/>
      <c r="P325" s="64"/>
      <c r="Q325" s="147"/>
      <c r="R325" s="147"/>
      <c r="S325" s="147"/>
      <c r="T325" s="147"/>
      <c r="U325" s="147"/>
      <c r="V325" s="148"/>
      <c r="X325" s="65"/>
      <c r="Y325" s="65"/>
      <c r="Z325" s="65"/>
    </row>
    <row r="326" spans="15:26">
      <c r="O326" s="60"/>
      <c r="P326" s="64"/>
      <c r="Q326" s="147"/>
      <c r="R326" s="147"/>
      <c r="S326" s="147"/>
      <c r="T326" s="147"/>
      <c r="U326" s="147"/>
      <c r="V326" s="148"/>
      <c r="X326" s="65"/>
      <c r="Y326" s="65"/>
      <c r="Z326" s="65"/>
    </row>
    <row r="327" spans="15:26">
      <c r="O327" s="60"/>
      <c r="P327" s="64"/>
      <c r="Q327" s="147"/>
      <c r="R327" s="147"/>
      <c r="S327" s="147"/>
      <c r="T327" s="147"/>
      <c r="U327" s="147"/>
      <c r="V327" s="148"/>
      <c r="X327" s="65"/>
      <c r="Y327" s="65"/>
      <c r="Z327" s="65"/>
    </row>
    <row r="328" spans="15:26">
      <c r="O328" s="61">
        <v>42491</v>
      </c>
      <c r="P328" s="64"/>
      <c r="Q328" s="147"/>
      <c r="R328" s="147"/>
      <c r="S328" s="147"/>
      <c r="T328" s="147"/>
      <c r="U328" s="147"/>
      <c r="V328" s="148"/>
      <c r="X328" s="65"/>
      <c r="Y328" s="65"/>
      <c r="Z328" s="65"/>
    </row>
    <row r="329" spans="15:26">
      <c r="O329" s="61"/>
      <c r="P329" s="64"/>
      <c r="Q329" s="147"/>
      <c r="R329" s="147"/>
      <c r="S329" s="147"/>
      <c r="T329" s="147"/>
      <c r="U329" s="147"/>
      <c r="V329" s="148"/>
      <c r="X329" s="65"/>
      <c r="Y329" s="65"/>
      <c r="Z329" s="65"/>
    </row>
    <row r="330" spans="15:26">
      <c r="O330" s="60"/>
      <c r="P330" s="64"/>
      <c r="Q330" s="147"/>
      <c r="R330" s="147"/>
      <c r="S330" s="147"/>
      <c r="T330" s="147"/>
      <c r="U330" s="147"/>
      <c r="V330" s="148"/>
      <c r="X330" s="65"/>
      <c r="Y330" s="65"/>
      <c r="Z330" s="65"/>
    </row>
    <row r="331" spans="15:26">
      <c r="O331" s="60"/>
      <c r="P331" s="64"/>
      <c r="Q331" s="147"/>
      <c r="R331" s="147"/>
      <c r="S331" s="147"/>
      <c r="T331" s="147"/>
      <c r="U331" s="147"/>
      <c r="V331" s="148"/>
      <c r="X331" s="65"/>
      <c r="Y331" s="65"/>
      <c r="Z331" s="65"/>
    </row>
    <row r="332" spans="15:26">
      <c r="O332" s="60"/>
      <c r="P332" s="64"/>
      <c r="Q332" s="147"/>
      <c r="R332" s="147"/>
      <c r="S332" s="147"/>
      <c r="T332" s="147"/>
      <c r="U332" s="147"/>
      <c r="V332" s="148"/>
      <c r="X332" s="65"/>
      <c r="Y332" s="65"/>
      <c r="Z332" s="65"/>
    </row>
    <row r="333" spans="15:26">
      <c r="O333" s="60"/>
      <c r="P333" s="64"/>
      <c r="Q333" s="147"/>
      <c r="R333" s="147"/>
      <c r="S333" s="147"/>
      <c r="T333" s="147"/>
      <c r="U333" s="147"/>
      <c r="V333" s="148"/>
      <c r="X333" s="65"/>
      <c r="Y333" s="65"/>
      <c r="Z333" s="65"/>
    </row>
    <row r="334" spans="15:26">
      <c r="O334" s="60"/>
      <c r="P334" s="64"/>
      <c r="Q334" s="147"/>
      <c r="R334" s="147"/>
      <c r="S334" s="147"/>
      <c r="T334" s="147"/>
      <c r="U334" s="147"/>
      <c r="V334" s="148"/>
      <c r="X334" s="65"/>
      <c r="Y334" s="65"/>
      <c r="Z334" s="65"/>
    </row>
    <row r="335" spans="15:26">
      <c r="O335" s="60"/>
      <c r="P335" s="64"/>
      <c r="Q335" s="147"/>
      <c r="R335" s="147"/>
      <c r="S335" s="147"/>
      <c r="T335" s="147"/>
      <c r="U335" s="147"/>
      <c r="V335" s="148"/>
      <c r="X335" s="65"/>
      <c r="Y335" s="65"/>
      <c r="Z335" s="65"/>
    </row>
    <row r="336" spans="15:26">
      <c r="O336" s="60"/>
      <c r="P336" s="64"/>
      <c r="Q336" s="147"/>
      <c r="R336" s="147"/>
      <c r="S336" s="147"/>
      <c r="T336" s="147"/>
      <c r="U336" s="147"/>
      <c r="V336" s="148"/>
      <c r="X336" s="65"/>
      <c r="Y336" s="65"/>
      <c r="Z336" s="65"/>
    </row>
    <row r="337" spans="15:26">
      <c r="O337" s="60"/>
      <c r="P337" s="64"/>
      <c r="Q337" s="147"/>
      <c r="R337" s="147"/>
      <c r="S337" s="147"/>
      <c r="T337" s="147"/>
      <c r="U337" s="147"/>
      <c r="V337" s="148"/>
      <c r="X337" s="65"/>
      <c r="Y337" s="65"/>
      <c r="Z337" s="65"/>
    </row>
    <row r="338" spans="15:26">
      <c r="O338" s="60"/>
      <c r="P338" s="64"/>
      <c r="Q338" s="147"/>
      <c r="R338" s="147"/>
      <c r="S338" s="147"/>
      <c r="T338" s="147"/>
      <c r="U338" s="147"/>
      <c r="V338" s="148"/>
      <c r="X338" s="65"/>
      <c r="Y338" s="65"/>
      <c r="Z338" s="65"/>
    </row>
    <row r="339" spans="15:26">
      <c r="O339" s="60"/>
      <c r="P339" s="64"/>
      <c r="Q339" s="147"/>
      <c r="R339" s="147"/>
      <c r="S339" s="147"/>
      <c r="T339" s="147"/>
      <c r="U339" s="147"/>
      <c r="V339" s="148"/>
      <c r="X339" s="65"/>
      <c r="Y339" s="65"/>
      <c r="Z339" s="65"/>
    </row>
    <row r="340" spans="15:26">
      <c r="O340" s="60"/>
      <c r="P340" s="64"/>
      <c r="Q340" s="147"/>
      <c r="R340" s="147"/>
      <c r="S340" s="147"/>
      <c r="T340" s="147"/>
      <c r="U340" s="147"/>
      <c r="V340" s="148"/>
      <c r="X340" s="65"/>
      <c r="Y340" s="65"/>
      <c r="Z340" s="65"/>
    </row>
    <row r="341" spans="15:26">
      <c r="O341" s="60"/>
      <c r="P341" s="64"/>
      <c r="Q341" s="147"/>
      <c r="R341" s="147"/>
      <c r="S341" s="147"/>
      <c r="T341" s="147"/>
      <c r="U341" s="147"/>
      <c r="V341" s="148"/>
      <c r="X341" s="65"/>
      <c r="Y341" s="65"/>
      <c r="Z341" s="65"/>
    </row>
    <row r="342" spans="15:26">
      <c r="O342" s="60"/>
      <c r="P342" s="64"/>
      <c r="Q342" s="147"/>
      <c r="R342" s="147"/>
      <c r="S342" s="147"/>
      <c r="T342" s="147"/>
      <c r="U342" s="147"/>
      <c r="V342" s="148"/>
      <c r="X342" s="65"/>
      <c r="Y342" s="65"/>
      <c r="Z342" s="65"/>
    </row>
    <row r="343" spans="15:26">
      <c r="O343" s="60"/>
      <c r="P343" s="64"/>
      <c r="Q343" s="147"/>
      <c r="R343" s="147"/>
      <c r="S343" s="147"/>
      <c r="T343" s="147"/>
      <c r="U343" s="147"/>
      <c r="V343" s="148"/>
      <c r="X343" s="65"/>
      <c r="Y343" s="65"/>
      <c r="Z343" s="65"/>
    </row>
    <row r="344" spans="15:26">
      <c r="O344" s="60"/>
      <c r="P344" s="64"/>
      <c r="Q344" s="147"/>
      <c r="R344" s="147"/>
      <c r="S344" s="147"/>
      <c r="T344" s="147"/>
      <c r="U344" s="147"/>
      <c r="V344" s="148"/>
      <c r="X344" s="65"/>
      <c r="Y344" s="65"/>
      <c r="Z344" s="65"/>
    </row>
    <row r="345" spans="15:26">
      <c r="O345" s="60"/>
      <c r="P345" s="64"/>
      <c r="Q345" s="147"/>
      <c r="R345" s="147"/>
      <c r="S345" s="147"/>
      <c r="T345" s="147"/>
      <c r="U345" s="147"/>
      <c r="V345" s="148"/>
      <c r="X345" s="65"/>
      <c r="Y345" s="65"/>
      <c r="Z345" s="65"/>
    </row>
    <row r="346" spans="15:26">
      <c r="O346" s="60"/>
      <c r="P346" s="64"/>
      <c r="Q346" s="147"/>
      <c r="R346" s="147"/>
      <c r="S346" s="147"/>
      <c r="T346" s="147"/>
      <c r="U346" s="147"/>
      <c r="V346" s="148"/>
      <c r="X346" s="65"/>
      <c r="Y346" s="65"/>
      <c r="Z346" s="65"/>
    </row>
    <row r="347" spans="15:26">
      <c r="O347" s="60"/>
      <c r="P347" s="64"/>
      <c r="Q347" s="147"/>
      <c r="R347" s="147"/>
      <c r="S347" s="147"/>
      <c r="T347" s="147"/>
      <c r="U347" s="147"/>
      <c r="V347" s="148"/>
      <c r="X347" s="65"/>
      <c r="Y347" s="65"/>
      <c r="Z347" s="65"/>
    </row>
    <row r="348" spans="15:26">
      <c r="O348" s="60"/>
      <c r="P348" s="64"/>
      <c r="Q348" s="147"/>
      <c r="R348" s="147"/>
      <c r="S348" s="147"/>
      <c r="T348" s="147"/>
      <c r="U348" s="147"/>
      <c r="V348" s="148"/>
      <c r="X348" s="65"/>
      <c r="Y348" s="65"/>
      <c r="Z348" s="65"/>
    </row>
    <row r="349" spans="15:26">
      <c r="O349" s="60"/>
      <c r="P349" s="64"/>
      <c r="Q349" s="147"/>
      <c r="R349" s="147"/>
      <c r="S349" s="147"/>
      <c r="T349" s="147"/>
      <c r="U349" s="147"/>
      <c r="V349" s="148"/>
      <c r="X349" s="65"/>
      <c r="Y349" s="65"/>
      <c r="Z349" s="65"/>
    </row>
    <row r="350" spans="15:26">
      <c r="O350" s="60"/>
      <c r="P350" s="64"/>
      <c r="Q350" s="147"/>
      <c r="R350" s="147"/>
      <c r="S350" s="147"/>
      <c r="T350" s="147"/>
      <c r="U350" s="147"/>
      <c r="V350" s="148"/>
      <c r="X350" s="65"/>
      <c r="Y350" s="65"/>
      <c r="Z350" s="65"/>
    </row>
    <row r="351" spans="15:26">
      <c r="O351" s="60"/>
      <c r="P351" s="64"/>
      <c r="Q351" s="147"/>
      <c r="R351" s="147"/>
      <c r="S351" s="147"/>
      <c r="T351" s="147"/>
      <c r="U351" s="147"/>
      <c r="V351" s="148"/>
      <c r="X351" s="65"/>
      <c r="Y351" s="65"/>
      <c r="Z351" s="65"/>
    </row>
    <row r="352" spans="15:26">
      <c r="O352" s="60"/>
      <c r="P352" s="64"/>
      <c r="Q352" s="147"/>
      <c r="R352" s="147"/>
      <c r="S352" s="147"/>
      <c r="T352" s="147"/>
      <c r="U352" s="147"/>
      <c r="V352" s="148"/>
      <c r="X352" s="65"/>
      <c r="Y352" s="65"/>
      <c r="Z352" s="65"/>
    </row>
    <row r="353" spans="15:26">
      <c r="O353" s="60"/>
      <c r="P353" s="64"/>
      <c r="Q353" s="147"/>
      <c r="R353" s="147"/>
      <c r="S353" s="147"/>
      <c r="T353" s="147"/>
      <c r="U353" s="147"/>
      <c r="V353" s="148"/>
      <c r="X353" s="65"/>
      <c r="Y353" s="65"/>
      <c r="Z353" s="65"/>
    </row>
    <row r="354" spans="15:26">
      <c r="O354" s="60"/>
      <c r="P354" s="64"/>
      <c r="Q354" s="147"/>
      <c r="R354" s="147"/>
      <c r="S354" s="147"/>
      <c r="T354" s="147"/>
      <c r="U354" s="147"/>
      <c r="V354" s="148"/>
      <c r="X354" s="65"/>
      <c r="Y354" s="65"/>
      <c r="Z354" s="65"/>
    </row>
    <row r="355" spans="15:26">
      <c r="O355" s="60"/>
      <c r="P355" s="64"/>
      <c r="Q355" s="147"/>
      <c r="R355" s="147"/>
      <c r="S355" s="147"/>
      <c r="T355" s="147"/>
      <c r="U355" s="147"/>
      <c r="V355" s="148"/>
      <c r="X355" s="65"/>
      <c r="Y355" s="65"/>
      <c r="Z355" s="65"/>
    </row>
    <row r="356" spans="15:26">
      <c r="O356" s="60"/>
      <c r="P356" s="64"/>
      <c r="Q356" s="147"/>
      <c r="R356" s="147"/>
      <c r="S356" s="147"/>
      <c r="T356" s="147"/>
      <c r="U356" s="147"/>
      <c r="V356" s="148"/>
      <c r="X356" s="65"/>
      <c r="Y356" s="65"/>
      <c r="Z356" s="65"/>
    </row>
    <row r="357" spans="15:26">
      <c r="O357" s="60"/>
      <c r="P357" s="64"/>
      <c r="Q357" s="147"/>
      <c r="R357" s="147"/>
      <c r="S357" s="147"/>
      <c r="T357" s="147"/>
      <c r="U357" s="147"/>
      <c r="V357" s="148"/>
      <c r="X357" s="65"/>
      <c r="Y357" s="65"/>
      <c r="Z357" s="65"/>
    </row>
    <row r="358" spans="15:26">
      <c r="O358" s="61"/>
      <c r="P358" s="64"/>
      <c r="Q358" s="147"/>
      <c r="R358" s="147"/>
      <c r="S358" s="147"/>
      <c r="T358" s="147"/>
      <c r="U358" s="147"/>
      <c r="V358" s="148"/>
      <c r="X358" s="65"/>
      <c r="Y358" s="65"/>
      <c r="Z358" s="65"/>
    </row>
    <row r="359" spans="15:26">
      <c r="O359" s="61">
        <v>42522</v>
      </c>
      <c r="P359" s="64"/>
      <c r="Q359" s="147"/>
      <c r="R359" s="147"/>
      <c r="S359" s="147"/>
      <c r="T359" s="147"/>
      <c r="U359" s="147"/>
      <c r="V359" s="148"/>
      <c r="X359" s="65"/>
      <c r="Y359" s="65"/>
      <c r="Z359" s="65"/>
    </row>
    <row r="360" spans="15:26">
      <c r="O360" s="60"/>
      <c r="P360" s="64"/>
      <c r="Q360" s="147"/>
      <c r="R360" s="147"/>
      <c r="S360" s="147"/>
      <c r="T360" s="147"/>
      <c r="U360" s="147"/>
      <c r="V360" s="148"/>
      <c r="X360" s="65"/>
      <c r="Y360" s="65"/>
      <c r="Z360" s="65"/>
    </row>
    <row r="361" spans="15:26">
      <c r="O361" s="60"/>
      <c r="P361" s="64"/>
      <c r="Q361" s="147"/>
      <c r="R361" s="147"/>
      <c r="S361" s="147"/>
      <c r="T361" s="147"/>
      <c r="U361" s="147"/>
      <c r="V361" s="148"/>
      <c r="X361" s="65"/>
      <c r="Y361" s="65"/>
      <c r="Z361" s="65"/>
    </row>
    <row r="362" spans="15:26">
      <c r="O362" s="60"/>
      <c r="P362" s="64"/>
      <c r="Q362" s="147"/>
      <c r="R362" s="147"/>
      <c r="S362" s="147"/>
      <c r="T362" s="147"/>
      <c r="U362" s="147"/>
      <c r="V362" s="148"/>
      <c r="X362" s="65"/>
      <c r="Y362" s="65"/>
      <c r="Z362" s="65"/>
    </row>
    <row r="363" spans="15:26">
      <c r="O363" s="60"/>
      <c r="P363" s="64"/>
      <c r="Q363" s="147"/>
      <c r="R363" s="147"/>
      <c r="S363" s="147"/>
      <c r="T363" s="147"/>
      <c r="U363" s="147"/>
      <c r="V363" s="148"/>
      <c r="X363" s="65"/>
      <c r="Y363" s="65"/>
      <c r="Z363" s="65"/>
    </row>
    <row r="364" spans="15:26">
      <c r="O364" s="60"/>
      <c r="P364" s="64"/>
      <c r="Q364" s="147"/>
      <c r="R364" s="147"/>
      <c r="S364" s="147"/>
      <c r="T364" s="147"/>
      <c r="U364" s="147"/>
      <c r="V364" s="148"/>
      <c r="X364" s="65"/>
      <c r="Y364" s="65"/>
      <c r="Z364" s="65"/>
    </row>
    <row r="365" spans="15:26">
      <c r="O365" s="60"/>
      <c r="P365" s="64"/>
      <c r="Q365" s="147"/>
      <c r="R365" s="147"/>
      <c r="S365" s="147"/>
      <c r="T365" s="147"/>
      <c r="U365" s="147"/>
      <c r="V365" s="148"/>
      <c r="X365" s="65"/>
      <c r="Y365" s="65"/>
      <c r="Z365" s="65"/>
    </row>
    <row r="366" spans="15:26">
      <c r="O366" s="60"/>
      <c r="P366" s="64"/>
      <c r="Q366" s="147"/>
      <c r="R366" s="147"/>
      <c r="S366" s="147"/>
      <c r="T366" s="147"/>
      <c r="U366" s="147"/>
      <c r="V366" s="148"/>
      <c r="X366" s="65"/>
      <c r="Y366" s="65"/>
      <c r="Z366" s="65"/>
    </row>
    <row r="367" spans="15:26">
      <c r="O367" s="60"/>
      <c r="P367" s="64"/>
      <c r="Q367" s="147"/>
      <c r="R367" s="147"/>
      <c r="S367" s="147"/>
      <c r="T367" s="147"/>
      <c r="U367" s="147"/>
      <c r="V367" s="148"/>
      <c r="X367" s="65"/>
      <c r="Y367" s="65"/>
      <c r="Z367" s="65"/>
    </row>
    <row r="368" spans="15:26">
      <c r="O368" s="60"/>
      <c r="P368" s="64"/>
      <c r="Q368" s="147"/>
      <c r="R368" s="147"/>
      <c r="S368" s="147"/>
      <c r="T368" s="147"/>
      <c r="U368" s="147"/>
      <c r="V368" s="148"/>
      <c r="X368" s="65"/>
      <c r="Y368" s="65"/>
      <c r="Z368" s="65"/>
    </row>
    <row r="369" spans="15:26">
      <c r="O369" s="60"/>
      <c r="P369" s="64"/>
      <c r="Q369" s="147"/>
      <c r="R369" s="147"/>
      <c r="S369" s="147"/>
      <c r="T369" s="147"/>
      <c r="U369" s="147"/>
      <c r="V369" s="148"/>
      <c r="X369" s="65"/>
      <c r="Y369" s="65"/>
      <c r="Z369" s="65"/>
    </row>
    <row r="370" spans="15:26">
      <c r="O370" s="60"/>
      <c r="P370" s="64"/>
      <c r="Q370" s="147"/>
      <c r="R370" s="147"/>
      <c r="S370" s="147"/>
      <c r="T370" s="147"/>
      <c r="U370" s="147"/>
      <c r="V370" s="148"/>
      <c r="X370" s="65"/>
      <c r="Y370" s="65"/>
      <c r="Z370" s="65"/>
    </row>
    <row r="371" spans="15:26">
      <c r="O371" s="60"/>
      <c r="P371" s="64"/>
      <c r="Q371" s="147"/>
      <c r="R371" s="147"/>
      <c r="S371" s="147"/>
      <c r="T371" s="147"/>
      <c r="U371" s="147"/>
      <c r="V371" s="148"/>
      <c r="X371" s="65"/>
      <c r="Y371" s="65"/>
      <c r="Z371" s="65"/>
    </row>
    <row r="372" spans="15:26">
      <c r="O372" s="60"/>
      <c r="P372" s="64"/>
      <c r="Q372" s="147"/>
      <c r="R372" s="147"/>
      <c r="S372" s="147"/>
      <c r="T372" s="147"/>
      <c r="U372" s="147"/>
      <c r="V372" s="148"/>
      <c r="X372" s="65"/>
      <c r="Y372" s="65"/>
      <c r="Z372" s="65"/>
    </row>
    <row r="373" spans="15:26">
      <c r="O373" s="60"/>
      <c r="P373" s="64"/>
      <c r="Q373" s="147"/>
      <c r="R373" s="147"/>
      <c r="S373" s="147"/>
      <c r="T373" s="147"/>
      <c r="U373" s="147"/>
      <c r="V373" s="148"/>
      <c r="X373" s="65"/>
      <c r="Y373" s="65"/>
      <c r="Z373" s="65"/>
    </row>
    <row r="374" spans="15:26">
      <c r="O374" s="60"/>
      <c r="P374" s="64"/>
      <c r="Q374" s="147"/>
      <c r="R374" s="147"/>
      <c r="S374" s="147"/>
      <c r="T374" s="147"/>
      <c r="U374" s="147"/>
      <c r="V374" s="148"/>
      <c r="X374" s="65"/>
      <c r="Y374" s="65"/>
      <c r="Z374" s="65"/>
    </row>
    <row r="375" spans="15:26">
      <c r="O375" s="60"/>
      <c r="P375" s="64"/>
      <c r="Q375" s="147"/>
      <c r="R375" s="147"/>
      <c r="S375" s="147"/>
      <c r="T375" s="147"/>
      <c r="U375" s="147"/>
      <c r="V375" s="148"/>
      <c r="X375" s="65"/>
      <c r="Y375" s="65"/>
      <c r="Z375" s="65"/>
    </row>
    <row r="376" spans="15:26">
      <c r="O376" s="60"/>
      <c r="P376" s="64"/>
      <c r="Q376" s="147"/>
      <c r="R376" s="147"/>
      <c r="S376" s="147"/>
      <c r="T376" s="147"/>
      <c r="U376" s="147"/>
      <c r="V376" s="148"/>
      <c r="X376" s="65"/>
      <c r="Y376" s="65"/>
      <c r="Z376" s="65"/>
    </row>
    <row r="377" spans="15:26">
      <c r="O377" s="60"/>
      <c r="P377" s="64"/>
      <c r="Q377" s="147"/>
      <c r="R377" s="147"/>
      <c r="S377" s="147"/>
      <c r="T377" s="147"/>
      <c r="U377" s="147"/>
      <c r="V377" s="148"/>
      <c r="X377" s="65"/>
      <c r="Y377" s="65"/>
      <c r="Z377" s="65"/>
    </row>
    <row r="378" spans="15:26">
      <c r="O378" s="60"/>
      <c r="P378" s="64"/>
      <c r="Q378" s="147"/>
      <c r="R378" s="147"/>
      <c r="S378" s="147"/>
      <c r="T378" s="147"/>
      <c r="U378" s="147"/>
      <c r="V378" s="148"/>
      <c r="X378" s="65"/>
      <c r="Y378" s="65"/>
      <c r="Z378" s="65"/>
    </row>
    <row r="379" spans="15:26">
      <c r="O379" s="60"/>
      <c r="P379" s="64"/>
      <c r="Q379" s="147"/>
      <c r="R379" s="147"/>
      <c r="S379" s="147"/>
      <c r="T379" s="147"/>
      <c r="U379" s="147"/>
      <c r="V379" s="148"/>
      <c r="X379" s="65"/>
      <c r="Y379" s="65"/>
      <c r="Z379" s="65"/>
    </row>
    <row r="380" spans="15:26">
      <c r="O380" s="60"/>
      <c r="P380" s="64"/>
      <c r="Q380" s="147"/>
      <c r="R380" s="147"/>
      <c r="S380" s="147"/>
      <c r="T380" s="147"/>
      <c r="U380" s="147"/>
      <c r="V380" s="148"/>
      <c r="X380" s="65"/>
      <c r="Y380" s="65"/>
      <c r="Z380" s="65"/>
    </row>
    <row r="381" spans="15:26">
      <c r="O381" s="60"/>
      <c r="P381" s="64"/>
      <c r="Q381" s="147"/>
      <c r="R381" s="147"/>
      <c r="S381" s="147"/>
      <c r="T381" s="147"/>
      <c r="U381" s="147"/>
      <c r="V381" s="148"/>
      <c r="X381" s="65"/>
      <c r="Y381" s="65"/>
      <c r="Z381" s="65"/>
    </row>
    <row r="382" spans="15:26">
      <c r="O382" s="60"/>
      <c r="P382" s="64"/>
      <c r="Q382" s="147"/>
      <c r="R382" s="147"/>
      <c r="S382" s="147"/>
      <c r="T382" s="147"/>
      <c r="U382" s="147"/>
      <c r="V382" s="148"/>
      <c r="X382" s="65"/>
      <c r="Y382" s="65"/>
      <c r="Z382" s="65"/>
    </row>
    <row r="383" spans="15:26">
      <c r="O383" s="60"/>
      <c r="P383" s="64"/>
      <c r="Q383" s="147"/>
      <c r="R383" s="147"/>
      <c r="S383" s="147"/>
      <c r="T383" s="147"/>
      <c r="U383" s="147"/>
      <c r="V383" s="148"/>
      <c r="X383" s="65"/>
      <c r="Y383" s="65"/>
      <c r="Z383" s="65"/>
    </row>
    <row r="384" spans="15:26">
      <c r="O384" s="60"/>
      <c r="P384" s="64"/>
      <c r="Q384" s="147"/>
      <c r="R384" s="147"/>
      <c r="S384" s="147"/>
      <c r="T384" s="147"/>
      <c r="U384" s="147"/>
      <c r="V384" s="148"/>
      <c r="X384" s="65"/>
      <c r="Y384" s="65"/>
      <c r="Z384" s="65"/>
    </row>
    <row r="385" spans="15:26">
      <c r="O385" s="60"/>
      <c r="P385" s="64"/>
      <c r="Q385" s="147"/>
      <c r="R385" s="147"/>
      <c r="S385" s="147"/>
      <c r="T385" s="147"/>
      <c r="U385" s="147"/>
      <c r="V385" s="148"/>
      <c r="X385" s="65"/>
      <c r="Y385" s="65"/>
      <c r="Z385" s="65"/>
    </row>
    <row r="386" spans="15:26">
      <c r="O386" s="60"/>
      <c r="P386" s="64"/>
      <c r="Q386" s="147"/>
      <c r="R386" s="147"/>
      <c r="S386" s="147"/>
      <c r="T386" s="147"/>
      <c r="U386" s="147"/>
      <c r="V386" s="148"/>
      <c r="X386" s="65"/>
      <c r="Y386" s="65"/>
      <c r="Z386" s="65"/>
    </row>
    <row r="387" spans="15:26">
      <c r="O387" s="60"/>
      <c r="P387" s="64"/>
      <c r="Q387" s="147"/>
      <c r="R387" s="147"/>
      <c r="S387" s="147"/>
      <c r="T387" s="147"/>
      <c r="U387" s="147"/>
      <c r="V387" s="148"/>
      <c r="X387" s="65"/>
      <c r="Y387" s="65"/>
      <c r="Z387" s="65"/>
    </row>
    <row r="388" spans="15:26">
      <c r="O388" s="61"/>
      <c r="P388" s="64"/>
      <c r="Q388" s="147"/>
      <c r="R388" s="147"/>
      <c r="S388" s="147"/>
      <c r="T388" s="147"/>
      <c r="U388" s="147"/>
      <c r="V388" s="148"/>
      <c r="X388" s="65"/>
      <c r="Y388" s="65"/>
      <c r="Z388" s="65"/>
    </row>
    <row r="389" spans="15:26">
      <c r="O389" s="61">
        <v>42552</v>
      </c>
      <c r="P389" s="64"/>
      <c r="Q389" s="147"/>
      <c r="R389" s="147"/>
      <c r="S389" s="147"/>
      <c r="T389" s="147"/>
      <c r="U389" s="147"/>
      <c r="V389" s="148"/>
      <c r="X389" s="65"/>
      <c r="Y389" s="65"/>
      <c r="Z389" s="65"/>
    </row>
    <row r="390" spans="15:26">
      <c r="O390" s="60"/>
      <c r="P390" s="64"/>
      <c r="Q390" s="147"/>
      <c r="R390" s="147"/>
      <c r="S390" s="147"/>
      <c r="T390" s="147"/>
      <c r="U390" s="147"/>
      <c r="V390" s="148"/>
      <c r="X390" s="65"/>
      <c r="Y390" s="65"/>
      <c r="Z390" s="65"/>
    </row>
    <row r="391" spans="15:26">
      <c r="O391" s="60"/>
      <c r="P391" s="64"/>
      <c r="Q391" s="147"/>
      <c r="R391" s="147"/>
      <c r="S391" s="147"/>
      <c r="T391" s="147"/>
      <c r="U391" s="147"/>
      <c r="V391" s="148"/>
      <c r="X391" s="65"/>
      <c r="Y391" s="65"/>
      <c r="Z391" s="65"/>
    </row>
    <row r="392" spans="15:26">
      <c r="O392" s="60"/>
      <c r="P392" s="64"/>
      <c r="Q392" s="147"/>
      <c r="R392" s="147"/>
      <c r="S392" s="147"/>
      <c r="T392" s="147"/>
      <c r="U392" s="147"/>
      <c r="V392" s="148"/>
      <c r="X392" s="65"/>
      <c r="Y392" s="65"/>
      <c r="Z392" s="65"/>
    </row>
    <row r="393" spans="15:26">
      <c r="O393" s="60"/>
      <c r="P393" s="64"/>
      <c r="Q393" s="147"/>
      <c r="R393" s="147"/>
      <c r="S393" s="147"/>
      <c r="T393" s="147"/>
      <c r="U393" s="147"/>
      <c r="V393" s="148"/>
      <c r="X393" s="65"/>
      <c r="Y393" s="65"/>
      <c r="Z393" s="65"/>
    </row>
    <row r="394" spans="15:26">
      <c r="O394" s="60"/>
      <c r="P394" s="64"/>
      <c r="Q394" s="147"/>
      <c r="R394" s="147"/>
      <c r="S394" s="147"/>
      <c r="T394" s="147"/>
      <c r="U394" s="147"/>
      <c r="V394" s="148"/>
      <c r="X394" s="65"/>
      <c r="Y394" s="65"/>
      <c r="Z394" s="65"/>
    </row>
    <row r="395" spans="15:26">
      <c r="O395" s="60"/>
      <c r="P395" s="64"/>
      <c r="Q395" s="147"/>
      <c r="R395" s="147"/>
      <c r="S395" s="147"/>
      <c r="T395" s="147"/>
      <c r="U395" s="147"/>
      <c r="V395" s="148"/>
      <c r="X395" s="65"/>
      <c r="Y395" s="65"/>
      <c r="Z395" s="65"/>
    </row>
    <row r="396" spans="15:26">
      <c r="O396" s="60"/>
      <c r="P396" s="64"/>
      <c r="Q396" s="147"/>
      <c r="R396" s="147"/>
      <c r="S396" s="147"/>
      <c r="T396" s="147"/>
      <c r="U396" s="147"/>
      <c r="V396" s="148"/>
      <c r="X396" s="65"/>
      <c r="Y396" s="65"/>
      <c r="Z396" s="65"/>
    </row>
    <row r="397" spans="15:26">
      <c r="O397" s="60"/>
      <c r="P397" s="64"/>
      <c r="Q397" s="147"/>
      <c r="R397" s="147"/>
      <c r="S397" s="147"/>
      <c r="T397" s="147"/>
      <c r="U397" s="147"/>
      <c r="V397" s="148"/>
      <c r="X397" s="65"/>
      <c r="Y397" s="65"/>
      <c r="Z397" s="65"/>
    </row>
    <row r="398" spans="15:26">
      <c r="O398" s="60"/>
      <c r="P398" s="64"/>
      <c r="Q398" s="147"/>
      <c r="R398" s="147"/>
      <c r="S398" s="147"/>
      <c r="T398" s="147"/>
      <c r="U398" s="147"/>
      <c r="V398" s="148"/>
      <c r="X398" s="65"/>
      <c r="Y398" s="65"/>
      <c r="Z398" s="65"/>
    </row>
    <row r="399" spans="15:26">
      <c r="O399" s="60"/>
      <c r="P399" s="64"/>
      <c r="Q399" s="147"/>
      <c r="R399" s="147"/>
      <c r="S399" s="147"/>
      <c r="T399" s="147"/>
      <c r="U399" s="147"/>
      <c r="V399" s="148"/>
      <c r="X399" s="65"/>
      <c r="Y399" s="65"/>
      <c r="Z399" s="65"/>
    </row>
    <row r="400" spans="15:26">
      <c r="O400" s="60"/>
      <c r="P400" s="64"/>
      <c r="Q400" s="147"/>
      <c r="R400" s="147"/>
      <c r="S400" s="147"/>
      <c r="T400" s="147"/>
      <c r="U400" s="147"/>
      <c r="V400" s="148"/>
      <c r="X400" s="65"/>
      <c r="Y400" s="65"/>
      <c r="Z400" s="65"/>
    </row>
    <row r="401" spans="15:26">
      <c r="O401" s="60"/>
      <c r="P401" s="64"/>
      <c r="Q401" s="147"/>
      <c r="R401" s="147"/>
      <c r="S401" s="147"/>
      <c r="T401" s="147"/>
      <c r="U401" s="147"/>
      <c r="V401" s="148"/>
      <c r="X401" s="65"/>
      <c r="Y401" s="65"/>
      <c r="Z401" s="65"/>
    </row>
    <row r="402" spans="15:26">
      <c r="O402" s="60"/>
      <c r="P402" s="64"/>
      <c r="Q402" s="147"/>
      <c r="R402" s="147"/>
      <c r="S402" s="147"/>
      <c r="T402" s="147"/>
      <c r="U402" s="147"/>
      <c r="V402" s="148"/>
      <c r="X402" s="65"/>
      <c r="Y402" s="65"/>
      <c r="Z402" s="65"/>
    </row>
    <row r="403" spans="15:26">
      <c r="O403" s="60"/>
      <c r="P403" s="64"/>
      <c r="Q403" s="147"/>
      <c r="R403" s="147"/>
      <c r="S403" s="147"/>
      <c r="T403" s="147"/>
      <c r="U403" s="147"/>
      <c r="V403" s="148"/>
      <c r="X403" s="65"/>
      <c r="Y403" s="65"/>
      <c r="Z403" s="65"/>
    </row>
    <row r="404" spans="15:26">
      <c r="O404" s="60"/>
      <c r="P404" s="64"/>
      <c r="Q404" s="147"/>
      <c r="R404" s="147"/>
      <c r="S404" s="147"/>
      <c r="T404" s="147"/>
      <c r="U404" s="147"/>
      <c r="V404" s="148"/>
      <c r="X404" s="65"/>
      <c r="Y404" s="65"/>
      <c r="Z404" s="65"/>
    </row>
    <row r="405" spans="15:26">
      <c r="O405" s="60"/>
      <c r="P405" s="64"/>
      <c r="Q405" s="147"/>
      <c r="R405" s="147"/>
      <c r="S405" s="147"/>
      <c r="T405" s="147"/>
      <c r="U405" s="147"/>
      <c r="V405" s="148"/>
      <c r="X405" s="65"/>
      <c r="Y405" s="65"/>
      <c r="Z405" s="65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28515625" style="72" customWidth="1"/>
    <col min="2" max="2" width="2.7109375" style="72" customWidth="1"/>
    <col min="3" max="3" width="23.7109375" style="72" customWidth="1"/>
    <col min="4" max="4" width="1.28515625" style="72" customWidth="1"/>
    <col min="5" max="5" width="59.7109375" style="72" customWidth="1"/>
    <col min="6" max="6" width="11.42578125" style="86"/>
    <col min="7" max="7" width="15.7109375" style="86" customWidth="1"/>
    <col min="8" max="16384" width="11.42578125" style="86"/>
  </cols>
  <sheetData>
    <row r="1" spans="2:18" s="72" customFormat="1" ht="0.75" customHeight="1"/>
    <row r="2" spans="2:18" s="72" customFormat="1" ht="21" customHeight="1">
      <c r="E2" s="103" t="s">
        <v>1</v>
      </c>
    </row>
    <row r="3" spans="2:18" s="72" customFormat="1" ht="15" customHeight="1">
      <c r="E3" s="112" t="str">
        <f>Indice!E3</f>
        <v>Julio 2022</v>
      </c>
    </row>
    <row r="4" spans="2:18" s="74" customFormat="1" ht="20.25" customHeight="1">
      <c r="B4" s="73"/>
      <c r="C4" s="102" t="s">
        <v>67</v>
      </c>
    </row>
    <row r="5" spans="2:18" s="74" customFormat="1" ht="12.75" customHeight="1">
      <c r="B5" s="73"/>
      <c r="C5" s="75"/>
    </row>
    <row r="6" spans="2:18" s="74" customFormat="1" ht="13.5" customHeight="1">
      <c r="B6" s="73"/>
      <c r="C6" s="76"/>
      <c r="D6" s="77"/>
      <c r="E6" s="77"/>
    </row>
    <row r="7" spans="2:18" s="74" customFormat="1" ht="12.75" customHeight="1">
      <c r="B7" s="73"/>
      <c r="C7" s="336" t="s">
        <v>77</v>
      </c>
      <c r="D7" s="77"/>
      <c r="E7" s="78"/>
      <c r="P7" s="79"/>
      <c r="Q7" s="79"/>
      <c r="R7" s="79"/>
    </row>
    <row r="8" spans="2:18" s="74" customFormat="1" ht="12.75" customHeight="1">
      <c r="B8" s="73"/>
      <c r="C8" s="336"/>
      <c r="D8" s="77"/>
      <c r="E8" s="78"/>
      <c r="P8" s="80"/>
      <c r="Q8" s="80"/>
      <c r="R8" s="80"/>
    </row>
    <row r="9" spans="2:18" s="74" customFormat="1" ht="12.75" customHeight="1">
      <c r="B9" s="73"/>
      <c r="C9" s="336"/>
      <c r="D9" s="77"/>
      <c r="E9" s="78"/>
      <c r="P9" s="81"/>
      <c r="Q9" s="81"/>
      <c r="R9" s="81"/>
    </row>
    <row r="10" spans="2:18" s="74" customFormat="1" ht="12.75" customHeight="1">
      <c r="B10" s="73"/>
      <c r="C10" s="88"/>
      <c r="D10" s="77"/>
      <c r="E10" s="78"/>
      <c r="P10" s="81"/>
      <c r="Q10" s="81"/>
      <c r="R10" s="81"/>
    </row>
    <row r="11" spans="2:18" s="74" customFormat="1" ht="12.75" customHeight="1">
      <c r="B11" s="73"/>
      <c r="C11" s="88"/>
      <c r="D11" s="77"/>
      <c r="E11" s="82"/>
      <c r="P11" s="81"/>
      <c r="Q11" s="81"/>
      <c r="R11" s="81"/>
    </row>
    <row r="12" spans="2:18" s="74" customFormat="1" ht="12.75" customHeight="1">
      <c r="B12" s="73"/>
      <c r="C12" s="88"/>
      <c r="D12" s="77"/>
      <c r="E12" s="82"/>
      <c r="P12" s="81"/>
      <c r="Q12" s="81"/>
      <c r="R12" s="81"/>
    </row>
    <row r="13" spans="2:18" s="74" customFormat="1" ht="12.75" customHeight="1">
      <c r="B13" s="73"/>
      <c r="C13" s="88"/>
      <c r="D13" s="77"/>
      <c r="E13" s="82"/>
      <c r="P13" s="81"/>
      <c r="Q13" s="81"/>
      <c r="R13" s="81"/>
    </row>
    <row r="14" spans="2:18" s="74" customFormat="1" ht="12.75" customHeight="1">
      <c r="B14" s="73"/>
      <c r="C14" s="76"/>
      <c r="D14" s="77"/>
      <c r="E14" s="82"/>
      <c r="P14" s="81"/>
      <c r="Q14" s="81"/>
      <c r="R14" s="81"/>
    </row>
    <row r="15" spans="2:18" s="74" customFormat="1" ht="12.75" customHeight="1">
      <c r="B15" s="73"/>
      <c r="C15" s="76"/>
      <c r="D15" s="77"/>
      <c r="E15" s="82"/>
      <c r="P15" s="81"/>
      <c r="Q15" s="81"/>
      <c r="R15" s="81"/>
    </row>
    <row r="16" spans="2:18" s="74" customFormat="1" ht="12.75" customHeight="1">
      <c r="B16" s="73"/>
      <c r="C16" s="76"/>
      <c r="D16" s="77"/>
      <c r="E16" s="82"/>
      <c r="P16" s="81"/>
      <c r="Q16" s="81"/>
      <c r="R16" s="81"/>
    </row>
    <row r="17" spans="2:9" s="74" customFormat="1" ht="12.75" customHeight="1">
      <c r="B17" s="73"/>
      <c r="C17" s="76"/>
      <c r="D17" s="77"/>
      <c r="E17" s="82"/>
      <c r="G17" s="84"/>
      <c r="H17" s="83"/>
      <c r="I17" s="83"/>
    </row>
    <row r="18" spans="2:9" s="74" customFormat="1" ht="12.75" customHeight="1">
      <c r="B18" s="73"/>
      <c r="C18" s="76"/>
      <c r="D18" s="77"/>
      <c r="E18" s="82"/>
      <c r="G18" s="84"/>
      <c r="H18" s="83"/>
      <c r="I18" s="83"/>
    </row>
    <row r="19" spans="2:9" s="74" customFormat="1" ht="12.75" customHeight="1">
      <c r="B19" s="73"/>
      <c r="C19" s="76"/>
      <c r="D19" s="77"/>
      <c r="E19" s="82"/>
      <c r="G19" s="84"/>
      <c r="H19" s="83"/>
      <c r="I19" s="83"/>
    </row>
    <row r="20" spans="2:9" s="74" customFormat="1" ht="12.75" customHeight="1">
      <c r="B20" s="73"/>
      <c r="C20" s="76"/>
      <c r="D20" s="77"/>
      <c r="E20" s="82"/>
      <c r="G20" s="84"/>
      <c r="H20" s="83"/>
      <c r="I20" s="83"/>
    </row>
    <row r="21" spans="2:9" s="74" customFormat="1" ht="12.75" customHeight="1">
      <c r="B21" s="73"/>
      <c r="C21" s="76"/>
      <c r="D21" s="77"/>
      <c r="E21" s="82"/>
      <c r="G21" s="84"/>
      <c r="H21" s="83"/>
      <c r="I21" s="83"/>
    </row>
    <row r="22" spans="2:9">
      <c r="E22" s="85"/>
      <c r="H22" s="83"/>
      <c r="I22" s="83"/>
    </row>
    <row r="23" spans="2:9" ht="12.75" customHeight="1">
      <c r="E23" s="85"/>
      <c r="H23" s="83"/>
    </row>
    <row r="24" spans="2:9" ht="12.75" customHeight="1">
      <c r="E24" s="85"/>
    </row>
    <row r="25" spans="2:9">
      <c r="E25" s="85"/>
    </row>
    <row r="26" spans="2:9">
      <c r="E26" s="85"/>
    </row>
    <row r="27" spans="2:9">
      <c r="E27" s="85"/>
    </row>
    <row r="28" spans="2:9">
      <c r="E28" s="329"/>
    </row>
    <row r="29" spans="2:9">
      <c r="E29" s="329"/>
    </row>
    <row r="30" spans="2:9">
      <c r="F30" s="87"/>
    </row>
    <row r="31" spans="2:9">
      <c r="F31" s="87"/>
    </row>
    <row r="32" spans="2:9">
      <c r="F32" s="87"/>
    </row>
    <row r="33" spans="6:14">
      <c r="F33" s="87"/>
    </row>
    <row r="34" spans="6:14">
      <c r="F34" s="87"/>
    </row>
    <row r="35" spans="6:14">
      <c r="F35" s="87"/>
    </row>
    <row r="40" spans="6:14">
      <c r="F40" s="72"/>
      <c r="G40" s="72"/>
      <c r="H40" s="72"/>
      <c r="I40" s="72"/>
      <c r="J40" s="72"/>
      <c r="K40" s="72"/>
      <c r="L40" s="72"/>
      <c r="N40" s="72"/>
    </row>
    <row r="41" spans="6:14">
      <c r="F41" s="72"/>
      <c r="G41" s="72"/>
      <c r="H41" s="72"/>
      <c r="I41" s="72"/>
      <c r="J41" s="72"/>
      <c r="K41" s="72"/>
      <c r="L41" s="72"/>
      <c r="N41" s="72"/>
    </row>
    <row r="42" spans="6:14">
      <c r="F42" s="72"/>
      <c r="G42" s="72"/>
      <c r="H42" s="72"/>
      <c r="I42" s="72"/>
      <c r="J42" s="72"/>
      <c r="K42" s="72"/>
      <c r="L42" s="72"/>
      <c r="N42" s="72"/>
    </row>
    <row r="43" spans="6:14">
      <c r="F43" s="72"/>
      <c r="G43" s="72"/>
      <c r="H43" s="72"/>
      <c r="I43" s="72"/>
      <c r="J43" s="72"/>
      <c r="K43" s="72"/>
      <c r="L43" s="72"/>
      <c r="N43" s="72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showGridLines="0" showRowColHeaders="0" zoomScaleNormal="100" workbookViewId="0">
      <selection activeCell="J53" sqref="J53"/>
    </sheetView>
  </sheetViews>
  <sheetFormatPr baseColWidth="10" defaultColWidth="11.42578125" defaultRowHeight="11.25"/>
  <cols>
    <col min="1" max="1" width="11.42578125" style="165"/>
    <col min="2" max="2" width="40.5703125" style="165" customWidth="1"/>
    <col min="3" max="16384" width="11.42578125" style="165"/>
  </cols>
  <sheetData>
    <row r="3" spans="2:7">
      <c r="B3" s="105" t="s">
        <v>56</v>
      </c>
      <c r="C3" s="164"/>
      <c r="D3" s="164"/>
      <c r="E3" s="164"/>
    </row>
    <row r="4" spans="2:7">
      <c r="B4" s="106"/>
      <c r="C4" s="89" t="s">
        <v>57</v>
      </c>
      <c r="D4" s="89" t="s">
        <v>14</v>
      </c>
      <c r="E4" s="107"/>
      <c r="F4" s="106"/>
      <c r="G4" s="89" t="s">
        <v>14</v>
      </c>
    </row>
    <row r="5" spans="2:7">
      <c r="B5" s="131" t="s">
        <v>81</v>
      </c>
      <c r="C5" s="127">
        <f>Dat_01!B33</f>
        <v>3331.4</v>
      </c>
      <c r="D5" s="109">
        <f>C5/$C$17*100</f>
        <v>3.0226926348288439</v>
      </c>
      <c r="E5" s="107"/>
      <c r="F5" s="108" t="s">
        <v>16</v>
      </c>
      <c r="G5" s="109">
        <f>SUM(D5:D10)</f>
        <v>40.380780054104768</v>
      </c>
    </row>
    <row r="6" spans="2:7">
      <c r="B6" s="108" t="s">
        <v>3</v>
      </c>
      <c r="C6" s="127">
        <f>Dat_01!B34</f>
        <v>7117.29</v>
      </c>
      <c r="D6" s="109">
        <f t="shared" ref="D6:D16" si="0">C6/$C$17*100</f>
        <v>6.457759519403548</v>
      </c>
      <c r="E6" s="107"/>
      <c r="F6" s="203" t="s">
        <v>17</v>
      </c>
      <c r="G6" s="204">
        <f>SUM(D11:D16)</f>
        <v>59.612006640243877</v>
      </c>
    </row>
    <row r="7" spans="2:7">
      <c r="B7" s="108" t="s">
        <v>4</v>
      </c>
      <c r="C7" s="127">
        <f>Dat_01!B35</f>
        <v>3522.9250000000002</v>
      </c>
      <c r="D7" s="109">
        <f t="shared" si="0"/>
        <v>3.1964697876431547</v>
      </c>
      <c r="E7" s="107"/>
    </row>
    <row r="8" spans="2:7">
      <c r="B8" s="108" t="s">
        <v>11</v>
      </c>
      <c r="C8" s="127">
        <f>Dat_01!B36</f>
        <v>24561.845000000001</v>
      </c>
      <c r="D8" s="109">
        <f t="shared" si="0"/>
        <v>22.2857981567232</v>
      </c>
      <c r="E8" s="107"/>
    </row>
    <row r="9" spans="2:7">
      <c r="B9" s="108" t="s">
        <v>9</v>
      </c>
      <c r="C9" s="127">
        <f>Dat_01!B37</f>
        <v>5588.4695000000002</v>
      </c>
      <c r="D9" s="109">
        <f t="shared" si="0"/>
        <v>5.0706086322914183</v>
      </c>
      <c r="E9" s="107"/>
    </row>
    <row r="10" spans="2:7">
      <c r="B10" s="108" t="s">
        <v>70</v>
      </c>
      <c r="C10" s="127">
        <f>Dat_01!B39</f>
        <v>382.93650000000002</v>
      </c>
      <c r="D10" s="109">
        <f t="shared" si="0"/>
        <v>0.34745132321460515</v>
      </c>
      <c r="E10" s="107"/>
    </row>
    <row r="11" spans="2:7">
      <c r="B11" s="108" t="s">
        <v>69</v>
      </c>
      <c r="C11" s="127">
        <f>Dat_01!B40</f>
        <v>131.6275</v>
      </c>
      <c r="D11" s="109">
        <f t="shared" si="0"/>
        <v>0.11943011190218335</v>
      </c>
      <c r="E11" s="107"/>
    </row>
    <row r="12" spans="2:7">
      <c r="B12" s="108" t="s">
        <v>5</v>
      </c>
      <c r="C12" s="127">
        <f>Dat_01!B41</f>
        <v>28910.708500000001</v>
      </c>
      <c r="D12" s="109">
        <f t="shared" si="0"/>
        <v>26.23167006382711</v>
      </c>
      <c r="E12" s="107"/>
    </row>
    <row r="13" spans="2:7">
      <c r="B13" s="108" t="s">
        <v>2</v>
      </c>
      <c r="C13" s="127">
        <f>Dat_01!B42</f>
        <v>17092.603029999998</v>
      </c>
      <c r="D13" s="109">
        <f t="shared" si="0"/>
        <v>15.508700633017403</v>
      </c>
      <c r="E13" s="107"/>
    </row>
    <row r="14" spans="2:7">
      <c r="B14" s="108" t="s">
        <v>6</v>
      </c>
      <c r="C14" s="127">
        <f>Dat_01!B43</f>
        <v>16174.384241</v>
      </c>
      <c r="D14" s="109">
        <f t="shared" si="0"/>
        <v>14.675569465738853</v>
      </c>
      <c r="E14" s="107"/>
    </row>
    <row r="15" spans="2:7">
      <c r="B15" s="108" t="s">
        <v>7</v>
      </c>
      <c r="C15" s="127">
        <f>Dat_01!B44</f>
        <v>2304.0129999999999</v>
      </c>
      <c r="D15" s="109">
        <f t="shared" si="0"/>
        <v>2.0905094331662091</v>
      </c>
      <c r="E15" s="107"/>
    </row>
    <row r="16" spans="2:7">
      <c r="B16" s="108" t="s">
        <v>8</v>
      </c>
      <c r="C16" s="127">
        <f>Dat_01!B45</f>
        <v>1086.8399999999999</v>
      </c>
      <c r="D16" s="109">
        <f t="shared" si="0"/>
        <v>0.98612693259211748</v>
      </c>
      <c r="E16" s="107"/>
    </row>
    <row r="17" spans="2:7">
      <c r="B17" s="110" t="s">
        <v>15</v>
      </c>
      <c r="C17" s="128">
        <f>SUM(C5:C16)+C18</f>
        <v>110212.99227100001</v>
      </c>
      <c r="D17" s="111">
        <f>SUM(D5:D16)+D18</f>
        <v>99.999999999999972</v>
      </c>
      <c r="E17" s="107"/>
    </row>
    <row r="18" spans="2:7">
      <c r="B18" s="108" t="s">
        <v>188</v>
      </c>
      <c r="C18" s="127">
        <f>Dat_01!B38</f>
        <v>7.95</v>
      </c>
      <c r="D18" s="109">
        <f>C18/$C$17*100</f>
        <v>7.2133056513445717E-3</v>
      </c>
      <c r="E18" s="164"/>
    </row>
    <row r="19" spans="2:7">
      <c r="B19" s="105" t="s">
        <v>59</v>
      </c>
      <c r="C19" s="164"/>
      <c r="D19" s="164"/>
      <c r="E19" s="164"/>
    </row>
    <row r="20" spans="2:7">
      <c r="B20" s="106"/>
      <c r="C20" s="89" t="s">
        <v>0</v>
      </c>
      <c r="D20" s="89" t="s">
        <v>14</v>
      </c>
      <c r="E20" s="107"/>
      <c r="F20" s="106"/>
      <c r="G20" s="89" t="s">
        <v>14</v>
      </c>
    </row>
    <row r="21" spans="2:7">
      <c r="B21" s="131" t="s">
        <v>81</v>
      </c>
      <c r="C21" s="127">
        <f>Dat_01!B50</f>
        <v>216.61761801999998</v>
      </c>
      <c r="D21" s="109">
        <f>C21/$C$33*100</f>
        <v>0.86844303448779092</v>
      </c>
      <c r="E21" s="107"/>
      <c r="F21" s="108" t="s">
        <v>16</v>
      </c>
      <c r="G21" s="109">
        <f>SUM(D21:D26)</f>
        <v>60.562883445503516</v>
      </c>
    </row>
    <row r="22" spans="2:7">
      <c r="B22" s="108" t="s">
        <v>3</v>
      </c>
      <c r="C22" s="127">
        <f>Dat_01!B51</f>
        <v>5073.1541569999999</v>
      </c>
      <c r="D22" s="109">
        <f t="shared" ref="D22:D24" si="1">C22/$C$33*100</f>
        <v>20.338813762242804</v>
      </c>
      <c r="E22" s="129"/>
      <c r="F22" s="203" t="s">
        <v>17</v>
      </c>
      <c r="G22" s="204">
        <f>SUM(D27:D32)</f>
        <v>39.437116554496477</v>
      </c>
    </row>
    <row r="23" spans="2:7">
      <c r="B23" s="108" t="s">
        <v>4</v>
      </c>
      <c r="C23" s="127">
        <f>Dat_01!B52</f>
        <v>832.23787000000004</v>
      </c>
      <c r="D23" s="109">
        <f t="shared" si="1"/>
        <v>3.3365300008595105</v>
      </c>
      <c r="E23" s="129"/>
    </row>
    <row r="24" spans="2:7">
      <c r="B24" s="108" t="s">
        <v>11</v>
      </c>
      <c r="C24" s="127">
        <f>Dat_01!B53</f>
        <v>7767.8468700000003</v>
      </c>
      <c r="D24" s="109">
        <f t="shared" si="1"/>
        <v>31.142123013265</v>
      </c>
      <c r="E24" s="129"/>
    </row>
    <row r="25" spans="2:7">
      <c r="B25" s="108" t="s">
        <v>9</v>
      </c>
      <c r="C25" s="127">
        <f>Dat_01!B54</f>
        <v>1052.153912</v>
      </c>
      <c r="D25" s="109">
        <f>C25/$C$33*100</f>
        <v>4.2181967673613521</v>
      </c>
      <c r="E25" s="129"/>
    </row>
    <row r="26" spans="2:7">
      <c r="B26" s="108" t="s">
        <v>70</v>
      </c>
      <c r="C26" s="127">
        <f>Dat_01!B55</f>
        <v>164.320134</v>
      </c>
      <c r="D26" s="109">
        <f>C26/$C$33*100</f>
        <v>0.6587768672870592</v>
      </c>
      <c r="E26" s="129"/>
    </row>
    <row r="27" spans="2:7">
      <c r="B27" s="108" t="s">
        <v>69</v>
      </c>
      <c r="C27" s="127">
        <f>Dat_01!B56</f>
        <v>59.032142</v>
      </c>
      <c r="D27" s="109">
        <f t="shared" ref="D27:D28" si="2">C27/$C$33*100</f>
        <v>0.23666612623383593</v>
      </c>
      <c r="E27" s="129"/>
    </row>
    <row r="28" spans="2:7">
      <c r="B28" s="108" t="s">
        <v>5</v>
      </c>
      <c r="C28" s="127">
        <f>Dat_01!B57</f>
        <v>4381.3838820000001</v>
      </c>
      <c r="D28" s="109">
        <f t="shared" si="2"/>
        <v>17.565433266783817</v>
      </c>
      <c r="E28" s="129"/>
    </row>
    <row r="29" spans="2:7">
      <c r="B29" s="108" t="s">
        <v>2</v>
      </c>
      <c r="C29" s="127">
        <f>Dat_01!B58</f>
        <v>1041.456428836</v>
      </c>
      <c r="D29" s="109">
        <f>C29/$C$33*100</f>
        <v>4.1753094213308533</v>
      </c>
      <c r="E29" s="129"/>
    </row>
    <row r="30" spans="2:7">
      <c r="B30" s="108" t="s">
        <v>6</v>
      </c>
      <c r="C30" s="127">
        <f>Dat_01!B59</f>
        <v>3279.3319849999998</v>
      </c>
      <c r="D30" s="109">
        <f t="shared" ref="D30:D32" si="3">C30/$C$33*100</f>
        <v>13.147190178609236</v>
      </c>
      <c r="E30" s="129"/>
    </row>
    <row r="31" spans="2:7">
      <c r="B31" s="108" t="s">
        <v>7</v>
      </c>
      <c r="C31" s="127">
        <f>Dat_01!B60</f>
        <v>667.23557600000004</v>
      </c>
      <c r="D31" s="109">
        <f t="shared" si="3"/>
        <v>2.6750182816900363</v>
      </c>
      <c r="E31" s="129"/>
    </row>
    <row r="32" spans="2:7">
      <c r="B32" s="108" t="s">
        <v>8</v>
      </c>
      <c r="C32" s="127">
        <f>Dat_01!B61</f>
        <v>408.444975</v>
      </c>
      <c r="D32" s="109">
        <f t="shared" si="3"/>
        <v>1.6374992798486958</v>
      </c>
      <c r="E32" s="129"/>
    </row>
    <row r="33" spans="2:6">
      <c r="B33" s="110" t="s">
        <v>15</v>
      </c>
      <c r="C33" s="128">
        <f>SUM(C21:C32)</f>
        <v>24943.215549856002</v>
      </c>
      <c r="D33" s="111">
        <f>SUM(D21:D32)</f>
        <v>100</v>
      </c>
    </row>
    <row r="34" spans="2:6">
      <c r="B34" s="149"/>
      <c r="C34" s="164"/>
      <c r="D34" s="164"/>
      <c r="E34" s="164"/>
      <c r="F34" s="164"/>
    </row>
    <row r="35" spans="2:6">
      <c r="B35" s="149" t="s">
        <v>146</v>
      </c>
      <c r="C35" s="164"/>
      <c r="D35" s="164"/>
      <c r="E35" s="164"/>
      <c r="F35" s="205" t="str">
        <f>CONCATENATE("Mes",CHAR(13),MID(B35,66,10))</f>
        <v>Mes_x000D_18/08/2018</v>
      </c>
    </row>
    <row r="36" spans="2:6">
      <c r="B36" s="106"/>
      <c r="C36" s="89" t="s">
        <v>14</v>
      </c>
      <c r="D36" s="107"/>
      <c r="E36" s="106"/>
      <c r="F36" s="89" t="s">
        <v>14</v>
      </c>
    </row>
    <row r="37" spans="2:6">
      <c r="B37" s="108" t="s">
        <v>81</v>
      </c>
      <c r="C37" s="109">
        <f>Dat_01!B94</f>
        <v>0.62087383670046414</v>
      </c>
      <c r="D37" s="107"/>
      <c r="E37" s="108" t="s">
        <v>16</v>
      </c>
      <c r="F37" s="109">
        <f>SUM(C37:C42)</f>
        <v>45.576292155151265</v>
      </c>
    </row>
    <row r="38" spans="2:6">
      <c r="B38" s="108" t="s">
        <v>3</v>
      </c>
      <c r="C38" s="109">
        <f>Dat_01!B95</f>
        <v>20.648258955660605</v>
      </c>
      <c r="D38" s="107"/>
      <c r="E38" s="203" t="s">
        <v>17</v>
      </c>
      <c r="F38" s="204">
        <f>SUM(C43:C48)</f>
        <v>54.423707844848728</v>
      </c>
    </row>
    <row r="39" spans="2:6">
      <c r="B39" s="108" t="s">
        <v>4</v>
      </c>
      <c r="C39" s="109">
        <f>Dat_01!B96</f>
        <v>3.8339419143395106</v>
      </c>
      <c r="D39" s="107"/>
    </row>
    <row r="40" spans="2:6">
      <c r="B40" s="108" t="s">
        <v>11</v>
      </c>
      <c r="C40" s="109">
        <f>Dat_01!B97</f>
        <v>15.380594369088033</v>
      </c>
      <c r="D40" s="107"/>
    </row>
    <row r="41" spans="2:6">
      <c r="B41" s="108" t="s">
        <v>9</v>
      </c>
      <c r="C41" s="109">
        <f>Dat_01!B98</f>
        <v>4.4706041495967321</v>
      </c>
      <c r="D41" s="107"/>
      <c r="E41" s="107"/>
      <c r="F41" s="107"/>
    </row>
    <row r="42" spans="2:6">
      <c r="B42" s="108" t="s">
        <v>70</v>
      </c>
      <c r="C42" s="109">
        <f>Dat_01!B99</f>
        <v>0.62201892976592155</v>
      </c>
      <c r="D42" s="107"/>
      <c r="E42" s="107"/>
      <c r="F42" s="107"/>
    </row>
    <row r="43" spans="2:6">
      <c r="B43" s="108" t="s">
        <v>69</v>
      </c>
      <c r="C43" s="109">
        <f>Dat_01!B100</f>
        <v>0.23290363206353726</v>
      </c>
      <c r="D43" s="107"/>
      <c r="E43" s="107"/>
      <c r="F43" s="107"/>
    </row>
    <row r="44" spans="2:6">
      <c r="B44" s="108" t="s">
        <v>5</v>
      </c>
      <c r="C44" s="109">
        <f>Dat_01!B101</f>
        <v>31.891950853856489</v>
      </c>
      <c r="D44" s="107"/>
      <c r="E44" s="107"/>
      <c r="F44" s="107"/>
    </row>
    <row r="45" spans="2:6">
      <c r="B45" s="108" t="s">
        <v>2</v>
      </c>
      <c r="C45" s="109">
        <f>Dat_01!B102</f>
        <v>3.4629301114754951</v>
      </c>
      <c r="D45" s="107"/>
      <c r="E45" s="107"/>
      <c r="F45" s="107"/>
    </row>
    <row r="46" spans="2:6">
      <c r="B46" s="108" t="s">
        <v>6</v>
      </c>
      <c r="C46" s="109">
        <f>Dat_01!B103</f>
        <v>14.167064079624106</v>
      </c>
      <c r="D46" s="107"/>
      <c r="E46" s="107"/>
      <c r="F46" s="107"/>
    </row>
    <row r="47" spans="2:6">
      <c r="B47" s="108" t="s">
        <v>7</v>
      </c>
      <c r="C47" s="109">
        <f>Dat_01!B104</f>
        <v>3.0557929813717832</v>
      </c>
      <c r="D47" s="107"/>
      <c r="E47" s="107"/>
      <c r="F47" s="107"/>
    </row>
    <row r="48" spans="2:6">
      <c r="B48" s="108" t="s">
        <v>8</v>
      </c>
      <c r="C48" s="109">
        <f>Dat_01!B105</f>
        <v>1.6130661864573232</v>
      </c>
      <c r="D48" s="164"/>
      <c r="E48" s="164"/>
      <c r="F48" s="164"/>
    </row>
    <row r="49" spans="2:6">
      <c r="B49" s="110" t="s">
        <v>15</v>
      </c>
      <c r="C49" s="111">
        <f>SUM(C37:C48)</f>
        <v>100</v>
      </c>
      <c r="D49" s="164"/>
      <c r="E49" s="164"/>
      <c r="F49" s="164"/>
    </row>
    <row r="50" spans="2:6">
      <c r="B50" s="149"/>
      <c r="C50" s="164"/>
      <c r="D50" s="164"/>
      <c r="E50" s="164"/>
      <c r="F50" s="164"/>
    </row>
    <row r="51" spans="2:6">
      <c r="B51" s="149" t="s">
        <v>128</v>
      </c>
      <c r="C51" s="164"/>
      <c r="D51" s="164"/>
      <c r="E51" s="164"/>
      <c r="F51" s="205" t="str">
        <f>CONCATENATE("Histórico ",CHAR(13),MID(B51,65,11))</f>
        <v>Histórico _x000D_ 20/03/2018</v>
      </c>
    </row>
    <row r="52" spans="2:6">
      <c r="B52" s="106"/>
      <c r="C52" s="89" t="s">
        <v>14</v>
      </c>
      <c r="D52" s="107"/>
      <c r="E52" s="106"/>
      <c r="F52" s="89" t="s">
        <v>14</v>
      </c>
    </row>
    <row r="53" spans="2:6">
      <c r="B53" s="108" t="s">
        <v>81</v>
      </c>
      <c r="C53" s="109">
        <f>Dat_01!H94</f>
        <v>0.6928143579101792</v>
      </c>
      <c r="D53" s="107"/>
      <c r="E53" s="108" t="s">
        <v>16</v>
      </c>
      <c r="F53" s="109">
        <f>SUM(C53:C58)</f>
        <v>29.007083823643939</v>
      </c>
    </row>
    <row r="54" spans="2:6">
      <c r="B54" s="108" t="s">
        <v>3</v>
      </c>
      <c r="C54" s="109">
        <f>Dat_01!H95</f>
        <v>17.394747719286773</v>
      </c>
      <c r="D54" s="107"/>
      <c r="E54" s="203" t="s">
        <v>17</v>
      </c>
      <c r="F54" s="204">
        <f>SUM(C59:C64)</f>
        <v>71.052531296511859</v>
      </c>
    </row>
    <row r="55" spans="2:6">
      <c r="B55" s="108" t="s">
        <v>4</v>
      </c>
      <c r="C55" s="109">
        <f>Dat_01!H96</f>
        <v>0</v>
      </c>
      <c r="D55" s="107"/>
    </row>
    <row r="56" spans="2:6">
      <c r="B56" s="108" t="s">
        <v>11</v>
      </c>
      <c r="C56" s="109">
        <f>Dat_01!H97</f>
        <v>2.8864129230666857</v>
      </c>
      <c r="D56" s="107"/>
    </row>
    <row r="57" spans="2:6">
      <c r="B57" s="108" t="s">
        <v>9</v>
      </c>
      <c r="C57" s="109">
        <f>Dat_01!H98</f>
        <v>7.3710759610778336</v>
      </c>
      <c r="D57" s="107"/>
      <c r="E57" s="107"/>
      <c r="F57" s="107"/>
    </row>
    <row r="58" spans="2:6">
      <c r="B58" s="108" t="s">
        <v>70</v>
      </c>
      <c r="C58" s="109">
        <f>Dat_01!H99</f>
        <v>0.66203286230246883</v>
      </c>
      <c r="D58" s="107"/>
      <c r="E58" s="107"/>
      <c r="F58" s="107"/>
    </row>
    <row r="59" spans="2:6">
      <c r="B59" s="108" t="s">
        <v>69</v>
      </c>
      <c r="C59" s="109">
        <f>Dat_01!H100</f>
        <v>0.22786348865320355</v>
      </c>
      <c r="D59" s="107"/>
      <c r="E59" s="107"/>
      <c r="F59" s="107"/>
    </row>
    <row r="60" spans="2:6">
      <c r="B60" s="108" t="s">
        <v>5</v>
      </c>
      <c r="C60" s="109">
        <f>Dat_01!H101</f>
        <v>49.40537757828632</v>
      </c>
      <c r="D60" s="107"/>
      <c r="E60" s="107"/>
      <c r="F60" s="107"/>
    </row>
    <row r="61" spans="2:6">
      <c r="B61" s="108" t="s">
        <v>2</v>
      </c>
      <c r="C61" s="109">
        <f>Dat_01!H102</f>
        <v>15.776523816049092</v>
      </c>
      <c r="D61" s="107"/>
      <c r="E61" s="107"/>
      <c r="F61" s="107"/>
    </row>
    <row r="62" spans="2:6">
      <c r="B62" s="108" t="s">
        <v>6</v>
      </c>
      <c r="C62" s="109">
        <f>Dat_01!H103</f>
        <v>3.6823991692485811</v>
      </c>
      <c r="D62" s="107"/>
      <c r="E62" s="107"/>
      <c r="F62" s="107"/>
    </row>
    <row r="63" spans="2:6">
      <c r="B63" s="108" t="s">
        <v>7</v>
      </c>
      <c r="C63" s="109">
        <f>Dat_01!H104</f>
        <v>0.17163176587207835</v>
      </c>
      <c r="D63" s="107"/>
      <c r="E63" s="107"/>
      <c r="F63" s="107"/>
    </row>
    <row r="64" spans="2:6">
      <c r="B64" s="108" t="s">
        <v>8</v>
      </c>
      <c r="C64" s="109">
        <f>Dat_01!H105</f>
        <v>1.7887354784025886</v>
      </c>
    </row>
    <row r="65" spans="2:16">
      <c r="B65" s="110" t="s">
        <v>15</v>
      </c>
      <c r="C65" s="111">
        <f>SUM(C53:C64)</f>
        <v>100.0596151201558</v>
      </c>
    </row>
    <row r="66" spans="2:16">
      <c r="B66" s="149"/>
      <c r="C66" s="164"/>
    </row>
    <row r="67" spans="2:16">
      <c r="B67" s="149" t="s">
        <v>62</v>
      </c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</row>
    <row r="68" spans="2:16">
      <c r="B68" s="207"/>
      <c r="C68" s="208" t="str">
        <f>Dat_01!B140</f>
        <v>J</v>
      </c>
      <c r="D68" s="208" t="str">
        <f>Dat_01!C140</f>
        <v>A</v>
      </c>
      <c r="E68" s="208" t="str">
        <f>Dat_01!D140</f>
        <v>S</v>
      </c>
      <c r="F68" s="208" t="str">
        <f>Dat_01!E140</f>
        <v>O</v>
      </c>
      <c r="G68" s="208" t="str">
        <f>Dat_01!F140</f>
        <v>N</v>
      </c>
      <c r="H68" s="208" t="str">
        <f>Dat_01!G140</f>
        <v>D</v>
      </c>
      <c r="I68" s="208" t="str">
        <f>Dat_01!H140</f>
        <v>E</v>
      </c>
      <c r="J68" s="208" t="str">
        <f>Dat_01!I140</f>
        <v>F</v>
      </c>
      <c r="K68" s="208" t="str">
        <f>Dat_01!J140</f>
        <v>M</v>
      </c>
      <c r="L68" s="208" t="str">
        <f>Dat_01!K140</f>
        <v>A</v>
      </c>
      <c r="M68" s="208" t="str">
        <f>Dat_01!L140</f>
        <v>M</v>
      </c>
      <c r="N68" s="208" t="str">
        <f>Dat_01!M140</f>
        <v>J</v>
      </c>
      <c r="O68" s="208" t="str">
        <f>Dat_01!N140</f>
        <v>J</v>
      </c>
      <c r="P68" s="209"/>
    </row>
    <row r="69" spans="2:16">
      <c r="B69" s="210" t="s">
        <v>2</v>
      </c>
      <c r="C69" s="211">
        <f>Dat_01!B142</f>
        <v>2206.7799777780001</v>
      </c>
      <c r="D69" s="211">
        <f>Dat_01!C142</f>
        <v>1879.5875821039999</v>
      </c>
      <c r="E69" s="211">
        <f>Dat_01!D142</f>
        <v>1393.78333174</v>
      </c>
      <c r="F69" s="211">
        <f>Dat_01!E142</f>
        <v>1021.4348056600001</v>
      </c>
      <c r="G69" s="211">
        <f>Dat_01!F142</f>
        <v>1193.7558425120001</v>
      </c>
      <c r="H69" s="211">
        <f>Dat_01!G142</f>
        <v>2523.893467504</v>
      </c>
      <c r="I69" s="211">
        <f>Dat_01!H142</f>
        <v>2053.5241761440002</v>
      </c>
      <c r="J69" s="211">
        <f>Dat_01!I142</f>
        <v>1145.6069011300001</v>
      </c>
      <c r="K69" s="211">
        <f>Dat_01!J142</f>
        <v>1763.8028711760001</v>
      </c>
      <c r="L69" s="211">
        <f>Dat_01!K142</f>
        <v>1779.2985286959999</v>
      </c>
      <c r="M69" s="211">
        <f>Dat_01!L142</f>
        <v>1918.4741703340001</v>
      </c>
      <c r="N69" s="211">
        <f>Dat_01!M142</f>
        <v>1190.322507676</v>
      </c>
      <c r="O69" s="211">
        <f>Dat_01!N142</f>
        <v>1041.456428836</v>
      </c>
    </row>
    <row r="70" spans="2:16">
      <c r="B70" s="210" t="s">
        <v>81</v>
      </c>
      <c r="C70" s="211">
        <f>Dat_01!B143</f>
        <v>115.791574032</v>
      </c>
      <c r="D70" s="211">
        <f>Dat_01!C143</f>
        <v>159.74251133199999</v>
      </c>
      <c r="E70" s="211">
        <f>Dat_01!D143</f>
        <v>118.239862456</v>
      </c>
      <c r="F70" s="211">
        <f>Dat_01!E143</f>
        <v>232.11323870199999</v>
      </c>
      <c r="G70" s="211">
        <f>Dat_01!F143</f>
        <v>202.78682990199999</v>
      </c>
      <c r="H70" s="211">
        <f>Dat_01!G143</f>
        <v>269.90862404000001</v>
      </c>
      <c r="I70" s="211">
        <f>Dat_01!H143</f>
        <v>215.45218475999999</v>
      </c>
      <c r="J70" s="211">
        <f>Dat_01!I143</f>
        <v>285.08618899800001</v>
      </c>
      <c r="K70" s="211">
        <f>Dat_01!J143</f>
        <v>273.84815268400001</v>
      </c>
      <c r="L70" s="211">
        <f>Dat_01!K143</f>
        <v>336.71035219200002</v>
      </c>
      <c r="M70" s="211">
        <f>Dat_01!L143</f>
        <v>299.88006930400002</v>
      </c>
      <c r="N70" s="211">
        <f>Dat_01!M143</f>
        <v>270.92395723800001</v>
      </c>
      <c r="O70" s="211">
        <f>Dat_01!N143</f>
        <v>216.61761802000001</v>
      </c>
    </row>
    <row r="71" spans="2:16">
      <c r="B71" s="210" t="s">
        <v>3</v>
      </c>
      <c r="C71" s="211">
        <f>Dat_01!B144</f>
        <v>5119.3289409999998</v>
      </c>
      <c r="D71" s="211">
        <f>Dat_01!C144</f>
        <v>5151.2435720000003</v>
      </c>
      <c r="E71" s="211">
        <f>Dat_01!D144</f>
        <v>4890.5065249999998</v>
      </c>
      <c r="F71" s="211">
        <f>Dat_01!E144</f>
        <v>4748.3949460000003</v>
      </c>
      <c r="G71" s="211">
        <f>Dat_01!F144</f>
        <v>3562.3582710000001</v>
      </c>
      <c r="H71" s="211">
        <f>Dat_01!G144</f>
        <v>3922.855106</v>
      </c>
      <c r="I71" s="211">
        <f>Dat_01!H144</f>
        <v>5048.424951</v>
      </c>
      <c r="J71" s="211">
        <f>Dat_01!I144</f>
        <v>4771.058908</v>
      </c>
      <c r="K71" s="211">
        <f>Dat_01!J144</f>
        <v>4766.7915640000001</v>
      </c>
      <c r="L71" s="211">
        <f>Dat_01!K144</f>
        <v>4413.7242699999997</v>
      </c>
      <c r="M71" s="211">
        <f>Dat_01!L144</f>
        <v>4066.3553310000002</v>
      </c>
      <c r="N71" s="211">
        <f>Dat_01!M144</f>
        <v>4459.4591659999996</v>
      </c>
      <c r="O71" s="211">
        <f>Dat_01!N144</f>
        <v>5073.1541569999999</v>
      </c>
    </row>
    <row r="72" spans="2:16">
      <c r="B72" s="210" t="s">
        <v>4</v>
      </c>
      <c r="C72" s="211">
        <f>Dat_01!B145</f>
        <v>302.41718100000003</v>
      </c>
      <c r="D72" s="211">
        <f>Dat_01!C145</f>
        <v>320.34443199999998</v>
      </c>
      <c r="E72" s="211">
        <f>Dat_01!D145</f>
        <v>477.92579699999999</v>
      </c>
      <c r="F72" s="211">
        <f>Dat_01!E145</f>
        <v>528.18759499999999</v>
      </c>
      <c r="G72" s="211">
        <f>Dat_01!F145</f>
        <v>577.43674399999998</v>
      </c>
      <c r="H72" s="211">
        <f>Dat_01!G145</f>
        <v>721.09479699999997</v>
      </c>
      <c r="I72" s="211">
        <f>Dat_01!H145</f>
        <v>710.59119999999996</v>
      </c>
      <c r="J72" s="211">
        <f>Dat_01!I145</f>
        <v>571.69617900000003</v>
      </c>
      <c r="K72" s="211">
        <f>Dat_01!J145</f>
        <v>705.89505599999995</v>
      </c>
      <c r="L72" s="211">
        <f>Dat_01!K145</f>
        <v>691.80370400000004</v>
      </c>
      <c r="M72" s="211">
        <f>Dat_01!L145</f>
        <v>528.38689499999998</v>
      </c>
      <c r="N72" s="211">
        <f>Dat_01!M145</f>
        <v>804.07860300000004</v>
      </c>
      <c r="O72" s="211">
        <f>Dat_01!N145</f>
        <v>832.23787000000004</v>
      </c>
    </row>
    <row r="73" spans="2:16">
      <c r="B73" s="210" t="s">
        <v>129</v>
      </c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</row>
    <row r="74" spans="2:16">
      <c r="B74" s="210" t="s">
        <v>130</v>
      </c>
      <c r="C74" s="211">
        <f>Dat_01!B146</f>
        <v>3024.7339200000001</v>
      </c>
      <c r="D74" s="211">
        <f>Dat_01!C146</f>
        <v>3325.1556350000001</v>
      </c>
      <c r="E74" s="211">
        <f>Dat_01!D146</f>
        <v>4296.9849320000003</v>
      </c>
      <c r="F74" s="211">
        <f>Dat_01!E146</f>
        <v>3806.271381</v>
      </c>
      <c r="G74" s="211">
        <f>Dat_01!F146</f>
        <v>5697.61654</v>
      </c>
      <c r="H74" s="211">
        <f>Dat_01!G146</f>
        <v>4499.7333719999997</v>
      </c>
      <c r="I74" s="211">
        <f>Dat_01!H146</f>
        <v>5197.395829</v>
      </c>
      <c r="J74" s="211">
        <f>Dat_01!I146</f>
        <v>4086.8628920000001</v>
      </c>
      <c r="K74" s="211">
        <f>Dat_01!J146</f>
        <v>3253.5901749999998</v>
      </c>
      <c r="L74" s="211">
        <f>Dat_01!K146</f>
        <v>2573.7803039999999</v>
      </c>
      <c r="M74" s="211">
        <f>Dat_01!L146</f>
        <v>3092.3859029999999</v>
      </c>
      <c r="N74" s="211">
        <f>Dat_01!M146</f>
        <v>5827.5517829999999</v>
      </c>
      <c r="O74" s="211">
        <f>Dat_01!N146</f>
        <v>7767.8468700000003</v>
      </c>
    </row>
    <row r="75" spans="2:16">
      <c r="B75" s="210" t="s">
        <v>5</v>
      </c>
      <c r="C75" s="211">
        <f>Dat_01!B147</f>
        <v>4122.6099919999997</v>
      </c>
      <c r="D75" s="211">
        <f>Dat_01!C147</f>
        <v>3598.5848070000002</v>
      </c>
      <c r="E75" s="211">
        <f>Dat_01!D147</f>
        <v>3123.0617010000001</v>
      </c>
      <c r="F75" s="211">
        <f>Dat_01!E147</f>
        <v>4231.9807010000004</v>
      </c>
      <c r="G75" s="211">
        <f>Dat_01!F147</f>
        <v>6320.8397629999999</v>
      </c>
      <c r="H75" s="211">
        <f>Dat_01!G147</f>
        <v>6813.1904430000004</v>
      </c>
      <c r="I75" s="211">
        <f>Dat_01!H147</f>
        <v>5352.3559729999997</v>
      </c>
      <c r="J75" s="211">
        <f>Dat_01!I147</f>
        <v>4621.4652409999999</v>
      </c>
      <c r="K75" s="211">
        <f>Dat_01!J147</f>
        <v>6418.3320880000001</v>
      </c>
      <c r="L75" s="211">
        <f>Dat_01!K147</f>
        <v>5534.8026630000004</v>
      </c>
      <c r="M75" s="211">
        <f>Dat_01!L147</f>
        <v>4570.5633260000004</v>
      </c>
      <c r="N75" s="211">
        <f>Dat_01!M147</f>
        <v>3629.2420929999998</v>
      </c>
      <c r="O75" s="211">
        <f>Dat_01!N147</f>
        <v>4381.3838820000001</v>
      </c>
    </row>
    <row r="76" spans="2:16">
      <c r="B76" s="210" t="s">
        <v>131</v>
      </c>
      <c r="C76" s="211">
        <f>Dat_01!B148</f>
        <v>2565.0792649999999</v>
      </c>
      <c r="D76" s="211">
        <f>Dat_01!C148</f>
        <v>2343.78982</v>
      </c>
      <c r="E76" s="211">
        <f>Dat_01!D148</f>
        <v>1881.431521</v>
      </c>
      <c r="F76" s="211">
        <f>Dat_01!E148</f>
        <v>1732.6711969999999</v>
      </c>
      <c r="G76" s="211">
        <f>Dat_01!F148</f>
        <v>1320.8873840000001</v>
      </c>
      <c r="H76" s="211">
        <f>Dat_01!G148</f>
        <v>993.85091399999999</v>
      </c>
      <c r="I76" s="211">
        <f>Dat_01!H148</f>
        <v>1534.160668</v>
      </c>
      <c r="J76" s="211">
        <f>Dat_01!I148</f>
        <v>1653.6707039999999</v>
      </c>
      <c r="K76" s="211">
        <f>Dat_01!J148</f>
        <v>1416.057168</v>
      </c>
      <c r="L76" s="211">
        <f>Dat_01!K148</f>
        <v>2530.8183819999999</v>
      </c>
      <c r="M76" s="211">
        <f>Dat_01!L148</f>
        <v>3311.8440599999999</v>
      </c>
      <c r="N76" s="211">
        <f>Dat_01!M148</f>
        <v>3144.0390179999999</v>
      </c>
      <c r="O76" s="211">
        <f>Dat_01!N148</f>
        <v>3279.3319849999998</v>
      </c>
    </row>
    <row r="77" spans="2:16">
      <c r="B77" s="210" t="s">
        <v>132</v>
      </c>
      <c r="C77" s="211">
        <f>Dat_01!B149</f>
        <v>828.49249399999997</v>
      </c>
      <c r="D77" s="211">
        <f>Dat_01!C149</f>
        <v>661.44510200000002</v>
      </c>
      <c r="E77" s="211">
        <f>Dat_01!D149</f>
        <v>447.44465700000001</v>
      </c>
      <c r="F77" s="211">
        <f>Dat_01!E149</f>
        <v>328.16178000000002</v>
      </c>
      <c r="G77" s="211">
        <f>Dat_01!F149</f>
        <v>172.42624599999999</v>
      </c>
      <c r="H77" s="211">
        <f>Dat_01!G149</f>
        <v>103.956001</v>
      </c>
      <c r="I77" s="211">
        <f>Dat_01!H149</f>
        <v>170.90534199999999</v>
      </c>
      <c r="J77" s="211">
        <f>Dat_01!I149</f>
        <v>208.578486</v>
      </c>
      <c r="K77" s="211">
        <f>Dat_01!J149</f>
        <v>120.568316</v>
      </c>
      <c r="L77" s="211">
        <f>Dat_01!K149</f>
        <v>412.77760999999998</v>
      </c>
      <c r="M77" s="211">
        <f>Dat_01!L149</f>
        <v>621.24744099999998</v>
      </c>
      <c r="N77" s="211">
        <f>Dat_01!M149</f>
        <v>534.18592699999999</v>
      </c>
      <c r="O77" s="211">
        <f>Dat_01!N149</f>
        <v>667.23557600000004</v>
      </c>
    </row>
    <row r="78" spans="2:16">
      <c r="B78" s="210" t="s">
        <v>9</v>
      </c>
      <c r="C78" s="211">
        <f>Dat_01!B151</f>
        <v>2238.7745369999998</v>
      </c>
      <c r="D78" s="211">
        <f>Dat_01!C151</f>
        <v>2102.2103360000001</v>
      </c>
      <c r="E78" s="211">
        <f>Dat_01!D151</f>
        <v>2159.0921499999999</v>
      </c>
      <c r="F78" s="211">
        <f>Dat_01!E151</f>
        <v>2136.4721209999998</v>
      </c>
      <c r="G78" s="211">
        <f>Dat_01!F151</f>
        <v>2168.9871889999999</v>
      </c>
      <c r="H78" s="211">
        <f>Dat_01!G151</f>
        <v>2167.9654059999998</v>
      </c>
      <c r="I78" s="211">
        <f>Dat_01!H151</f>
        <v>2140.854178</v>
      </c>
      <c r="J78" s="211">
        <f>Dat_01!I151</f>
        <v>2115.5816890000001</v>
      </c>
      <c r="K78" s="211">
        <f>Dat_01!J151</f>
        <v>2210.0593690000001</v>
      </c>
      <c r="L78" s="211">
        <f>Dat_01!K151</f>
        <v>1707.4825519999999</v>
      </c>
      <c r="M78" s="211">
        <f>Dat_01!L151</f>
        <v>1868.3740499999999</v>
      </c>
      <c r="N78" s="211">
        <f>Dat_01!M151</f>
        <v>1465.0524499999999</v>
      </c>
      <c r="O78" s="211">
        <f>Dat_01!N151</f>
        <v>1052.153912</v>
      </c>
    </row>
    <row r="79" spans="2:16">
      <c r="B79" s="210" t="s">
        <v>133</v>
      </c>
      <c r="C79" s="211">
        <f>Dat_01!B152</f>
        <v>193.16825549999999</v>
      </c>
      <c r="D79" s="211">
        <f>Dat_01!C152</f>
        <v>198.4023795</v>
      </c>
      <c r="E79" s="211">
        <f>Dat_01!D152</f>
        <v>167.38102850000001</v>
      </c>
      <c r="F79" s="211">
        <f>Dat_01!E152</f>
        <v>179.471082</v>
      </c>
      <c r="G79" s="211">
        <f>Dat_01!F152</f>
        <v>164.8067685</v>
      </c>
      <c r="H79" s="211">
        <f>Dat_01!G152</f>
        <v>171.82050699999999</v>
      </c>
      <c r="I79" s="211">
        <f>Dat_01!H152</f>
        <v>159.55676600000001</v>
      </c>
      <c r="J79" s="211">
        <f>Dat_01!I152</f>
        <v>138.52277699999999</v>
      </c>
      <c r="K79" s="211">
        <f>Dat_01!J152</f>
        <v>173.90431599999999</v>
      </c>
      <c r="L79" s="211">
        <f>Dat_01!K152</f>
        <v>163.84968900000001</v>
      </c>
      <c r="M79" s="211">
        <f>Dat_01!L152</f>
        <v>158.1020145</v>
      </c>
      <c r="N79" s="211">
        <f>Dat_01!M152</f>
        <v>142.17442550000001</v>
      </c>
      <c r="O79" s="211">
        <f>Dat_01!N152</f>
        <v>164.320134</v>
      </c>
    </row>
    <row r="80" spans="2:16">
      <c r="B80" s="210" t="s">
        <v>134</v>
      </c>
      <c r="C80" s="211">
        <f>Dat_01!B153</f>
        <v>70.069195500000006</v>
      </c>
      <c r="D80" s="211">
        <f>Dat_01!C153</f>
        <v>67.951940500000006</v>
      </c>
      <c r="E80" s="211">
        <f>Dat_01!D153</f>
        <v>55.639892500000002</v>
      </c>
      <c r="F80" s="211">
        <f>Dat_01!E153</f>
        <v>61.837724000000001</v>
      </c>
      <c r="G80" s="211">
        <f>Dat_01!F153</f>
        <v>65.901263499999999</v>
      </c>
      <c r="H80" s="211">
        <f>Dat_01!G153</f>
        <v>72.807829999999996</v>
      </c>
      <c r="I80" s="211">
        <f>Dat_01!H153</f>
        <v>68.975128999999995</v>
      </c>
      <c r="J80" s="211">
        <f>Dat_01!I153</f>
        <v>66.906879000000004</v>
      </c>
      <c r="K80" s="211">
        <f>Dat_01!J153</f>
        <v>71.978429000000006</v>
      </c>
      <c r="L80" s="211">
        <f>Dat_01!K153</f>
        <v>64.772149999999996</v>
      </c>
      <c r="M80" s="211">
        <f>Dat_01!L153</f>
        <v>67.480593499999998</v>
      </c>
      <c r="N80" s="211">
        <f>Dat_01!M153</f>
        <v>63.217403500000003</v>
      </c>
      <c r="O80" s="211">
        <f>Dat_01!N153</f>
        <v>59.032142</v>
      </c>
    </row>
    <row r="81" spans="2:15">
      <c r="B81" s="210" t="s">
        <v>135</v>
      </c>
      <c r="C81" s="211">
        <f>Dat_01!B150</f>
        <v>351.88360599999999</v>
      </c>
      <c r="D81" s="211">
        <f>Dat_01!C150</f>
        <v>409.93549100000001</v>
      </c>
      <c r="E81" s="211">
        <f>Dat_01!D150</f>
        <v>395.48078299999997</v>
      </c>
      <c r="F81" s="211">
        <f>Dat_01!E150</f>
        <v>431.48129999999998</v>
      </c>
      <c r="G81" s="211">
        <f>Dat_01!F150</f>
        <v>433.27252499999997</v>
      </c>
      <c r="H81" s="211">
        <f>Dat_01!G150</f>
        <v>435.29937000000001</v>
      </c>
      <c r="I81" s="211">
        <f>Dat_01!H150</f>
        <v>428.42865999999998</v>
      </c>
      <c r="J81" s="211">
        <f>Dat_01!I150</f>
        <v>373.905303</v>
      </c>
      <c r="K81" s="211">
        <f>Dat_01!J150</f>
        <v>422.67529400000001</v>
      </c>
      <c r="L81" s="211">
        <f>Dat_01!K150</f>
        <v>429.86890699999998</v>
      </c>
      <c r="M81" s="211">
        <f>Dat_01!L150</f>
        <v>395.92393399999997</v>
      </c>
      <c r="N81" s="211">
        <f>Dat_01!M150</f>
        <v>414.75039800000002</v>
      </c>
      <c r="O81" s="211">
        <f>Dat_01!N150</f>
        <v>408.444975</v>
      </c>
    </row>
    <row r="82" spans="2:15">
      <c r="B82" s="210" t="s">
        <v>136</v>
      </c>
      <c r="C82" s="211">
        <f>Dat_01!B154</f>
        <v>21139.128938809998</v>
      </c>
      <c r="D82" s="211">
        <f>Dat_01!C154</f>
        <v>20218.393608435999</v>
      </c>
      <c r="E82" s="211">
        <f>Dat_01!D154</f>
        <v>19406.972181196001</v>
      </c>
      <c r="F82" s="211">
        <f>Dat_01!E154</f>
        <v>19438.477871362</v>
      </c>
      <c r="G82" s="211">
        <f>Dat_01!F154</f>
        <v>21881.075366413999</v>
      </c>
      <c r="H82" s="211">
        <f>Dat_01!G154</f>
        <v>22696.375837543997</v>
      </c>
      <c r="I82" s="211">
        <f>Dat_01!H154</f>
        <v>23080.625056903998</v>
      </c>
      <c r="J82" s="211">
        <f>Dat_01!I154</f>
        <v>20038.942148127993</v>
      </c>
      <c r="K82" s="211">
        <f>Dat_01!J154</f>
        <v>21597.502798859998</v>
      </c>
      <c r="L82" s="211">
        <f>Dat_01!K154</f>
        <v>20639.689111888001</v>
      </c>
      <c r="M82" s="211">
        <f>Dat_01!L154</f>
        <v>20899.017787637997</v>
      </c>
      <c r="N82" s="211">
        <f>Dat_01!M154</f>
        <v>21944.997731913998</v>
      </c>
      <c r="O82" s="211">
        <f>Dat_01!N154</f>
        <v>24943.215549856002</v>
      </c>
    </row>
    <row r="83" spans="2:15">
      <c r="B83" s="210" t="s">
        <v>137</v>
      </c>
      <c r="C83" s="211"/>
      <c r="D83" s="211"/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11"/>
    </row>
    <row r="84" spans="2:15">
      <c r="B84" s="210" t="s">
        <v>138</v>
      </c>
      <c r="C84" s="211"/>
      <c r="D84" s="211"/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11"/>
    </row>
    <row r="85" spans="2:15">
      <c r="B85" s="210" t="s">
        <v>139</v>
      </c>
      <c r="C85" s="211"/>
      <c r="D85" s="211"/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11"/>
    </row>
    <row r="86" spans="2:15">
      <c r="B86" s="212" t="s">
        <v>140</v>
      </c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</row>
    <row r="88" spans="2:15">
      <c r="B88" s="214" t="s">
        <v>17</v>
      </c>
      <c r="C88" s="215">
        <f t="shared" ref="C88:O88" si="4">SUM(C69,C75:C77,C80:C81)</f>
        <v>10144.914530278</v>
      </c>
      <c r="D88" s="215">
        <f t="shared" si="4"/>
        <v>8961.2947426039991</v>
      </c>
      <c r="E88" s="215">
        <f t="shared" si="4"/>
        <v>7296.8418862400013</v>
      </c>
      <c r="F88" s="215">
        <f t="shared" si="4"/>
        <v>7807.567507660001</v>
      </c>
      <c r="G88" s="215">
        <f t="shared" si="4"/>
        <v>9507.0830240120013</v>
      </c>
      <c r="H88" s="215">
        <f t="shared" si="4"/>
        <v>10942.998025504001</v>
      </c>
      <c r="I88" s="215">
        <f t="shared" si="4"/>
        <v>9608.3499481439994</v>
      </c>
      <c r="J88" s="215">
        <f t="shared" si="4"/>
        <v>8070.1335141300005</v>
      </c>
      <c r="K88" s="215">
        <f t="shared" si="4"/>
        <v>10213.414166176002</v>
      </c>
      <c r="L88" s="215">
        <f t="shared" si="4"/>
        <v>10752.338240696001</v>
      </c>
      <c r="M88" s="215">
        <f t="shared" si="4"/>
        <v>10885.533524834</v>
      </c>
      <c r="N88" s="215">
        <f t="shared" si="4"/>
        <v>8975.7573471760006</v>
      </c>
      <c r="O88" s="215">
        <f t="shared" si="4"/>
        <v>9836.884988836</v>
      </c>
    </row>
    <row r="89" spans="2:15">
      <c r="B89" s="212" t="s">
        <v>16</v>
      </c>
      <c r="C89" s="213">
        <f t="shared" ref="C89:O89" si="5">SUM(C70:C74,C78:C79)</f>
        <v>10994.214408532</v>
      </c>
      <c r="D89" s="213">
        <f t="shared" si="5"/>
        <v>11257.098865831998</v>
      </c>
      <c r="E89" s="213">
        <f t="shared" si="5"/>
        <v>12110.130294956001</v>
      </c>
      <c r="F89" s="213">
        <f t="shared" si="5"/>
        <v>11630.910363702002</v>
      </c>
      <c r="G89" s="213">
        <f t="shared" si="5"/>
        <v>12373.992342402</v>
      </c>
      <c r="H89" s="213">
        <f t="shared" si="5"/>
        <v>11753.377812039998</v>
      </c>
      <c r="I89" s="213">
        <f t="shared" si="5"/>
        <v>13472.275108759999</v>
      </c>
      <c r="J89" s="213">
        <f t="shared" si="5"/>
        <v>11968.808633998</v>
      </c>
      <c r="K89" s="213">
        <f t="shared" si="5"/>
        <v>11384.088632684001</v>
      </c>
      <c r="L89" s="213">
        <f t="shared" si="5"/>
        <v>9887.3508711920003</v>
      </c>
      <c r="M89" s="213">
        <f t="shared" si="5"/>
        <v>10013.484262804001</v>
      </c>
      <c r="N89" s="213">
        <f t="shared" si="5"/>
        <v>12969.240384737999</v>
      </c>
      <c r="O89" s="213">
        <f t="shared" si="5"/>
        <v>15106.33056102</v>
      </c>
    </row>
    <row r="91" spans="2:15">
      <c r="B91" s="214" t="s">
        <v>17</v>
      </c>
      <c r="C91" s="216">
        <f>SUM(C69/SUM(C88:C89)*100,C75/SUM(C88:C89)*100,C76/SUM(C88:C89)*100,C77/SUM(C88:C89)*100,C80/SUM(C88:C89)*100,C81/SUM(C88:C89)*100)</f>
        <v>47.991166332557007</v>
      </c>
      <c r="D91" s="216">
        <f t="shared" ref="D91:O91" si="6">SUM(D69/SUM(D88:D89)*100,D75/SUM(D88:D89)*100,D76/SUM(D88:D89)*100,D77/SUM(D88:D89)*100,D80/SUM(D88:D89)*100,D81/SUM(D88:D89)*100)</f>
        <v>44.32248632683141</v>
      </c>
      <c r="E91" s="216">
        <f t="shared" si="6"/>
        <v>37.599074281716796</v>
      </c>
      <c r="F91" s="216">
        <f t="shared" si="6"/>
        <v>40.165529211330913</v>
      </c>
      <c r="G91" s="216">
        <f t="shared" si="6"/>
        <v>43.448883863380608</v>
      </c>
      <c r="H91" s="216">
        <f t="shared" si="6"/>
        <v>48.214737471003012</v>
      </c>
      <c r="I91" s="216">
        <f t="shared" si="6"/>
        <v>41.62950493955492</v>
      </c>
      <c r="J91" s="216">
        <f t="shared" si="6"/>
        <v>40.272253168233718</v>
      </c>
      <c r="K91" s="216">
        <f t="shared" si="6"/>
        <v>47.289792071308824</v>
      </c>
      <c r="L91" s="216">
        <f t="shared" si="6"/>
        <v>52.095446701776588</v>
      </c>
      <c r="M91" s="216">
        <f t="shared" si="6"/>
        <v>52.086340302906066</v>
      </c>
      <c r="N91" s="216">
        <f t="shared" si="6"/>
        <v>40.901154134651854</v>
      </c>
      <c r="O91" s="216">
        <f t="shared" si="6"/>
        <v>39.437116554496477</v>
      </c>
    </row>
    <row r="92" spans="2:15">
      <c r="B92" s="212" t="s">
        <v>16</v>
      </c>
      <c r="C92" s="298">
        <f t="shared" ref="C92" si="7">100-C91</f>
        <v>52.008833667442993</v>
      </c>
      <c r="D92" s="298">
        <f t="shared" ref="D92:O92" si="8">100-D91</f>
        <v>55.67751367316859</v>
      </c>
      <c r="E92" s="298">
        <f t="shared" si="8"/>
        <v>62.400925718283204</v>
      </c>
      <c r="F92" s="298">
        <f t="shared" si="8"/>
        <v>59.834470788669087</v>
      </c>
      <c r="G92" s="298">
        <f t="shared" si="8"/>
        <v>56.551116136619392</v>
      </c>
      <c r="H92" s="298">
        <f t="shared" si="8"/>
        <v>51.785262528996988</v>
      </c>
      <c r="I92" s="298">
        <f t="shared" si="8"/>
        <v>58.37049506044508</v>
      </c>
      <c r="J92" s="298">
        <f t="shared" si="8"/>
        <v>59.727746831766282</v>
      </c>
      <c r="K92" s="298">
        <f t="shared" si="8"/>
        <v>52.710207928691176</v>
      </c>
      <c r="L92" s="298">
        <f t="shared" si="8"/>
        <v>47.904553298223412</v>
      </c>
      <c r="M92" s="298">
        <f t="shared" si="8"/>
        <v>47.913659697093934</v>
      </c>
      <c r="N92" s="298">
        <f t="shared" si="8"/>
        <v>59.098845865348146</v>
      </c>
      <c r="O92" s="298">
        <f t="shared" si="8"/>
        <v>60.562883445503523</v>
      </c>
    </row>
    <row r="94" spans="2:15">
      <c r="B94" s="165" t="s">
        <v>84</v>
      </c>
    </row>
    <row r="95" spans="2:15">
      <c r="B95" s="165" t="s">
        <v>85</v>
      </c>
    </row>
    <row r="97" spans="2:16">
      <c r="B97" s="149"/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209"/>
    </row>
    <row r="98" spans="2:16">
      <c r="B98" s="317"/>
      <c r="C98" s="318"/>
      <c r="D98" s="318"/>
      <c r="E98" s="318"/>
      <c r="F98" s="318"/>
      <c r="G98" s="318"/>
      <c r="H98" s="318"/>
      <c r="I98" s="318"/>
      <c r="J98" s="318"/>
      <c r="K98" s="318"/>
      <c r="L98" s="318"/>
      <c r="M98" s="318"/>
      <c r="N98" s="318"/>
      <c r="O98" s="318"/>
      <c r="P98" s="209"/>
    </row>
    <row r="99" spans="2:16">
      <c r="B99" s="319"/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</row>
    <row r="100" spans="2:16">
      <c r="B100" s="319"/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</row>
    <row r="101" spans="2:16">
      <c r="B101" s="319"/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</row>
    <row r="102" spans="2:16">
      <c r="B102" s="319"/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</row>
    <row r="103" spans="2:16">
      <c r="B103" s="319"/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</row>
    <row r="104" spans="2:16">
      <c r="B104" s="319"/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</row>
    <row r="105" spans="2:16">
      <c r="B105" s="319"/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</row>
    <row r="106" spans="2:16">
      <c r="B106" s="319"/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</row>
    <row r="107" spans="2:16">
      <c r="B107" s="319"/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</row>
    <row r="108" spans="2:16">
      <c r="B108" s="319"/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</row>
    <row r="109" spans="2:16">
      <c r="B109" s="319"/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</row>
    <row r="110" spans="2:16">
      <c r="B110" s="319"/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</row>
    <row r="111" spans="2:16">
      <c r="B111" s="319"/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</row>
    <row r="112" spans="2:16">
      <c r="B112" s="319"/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</row>
    <row r="113" spans="2:18">
      <c r="B113" s="319"/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</row>
    <row r="114" spans="2:18">
      <c r="B114" s="319"/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</row>
    <row r="115" spans="2:18">
      <c r="B115" s="319"/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</row>
    <row r="116" spans="2:18">
      <c r="B116" s="319"/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</row>
    <row r="117" spans="2:18">
      <c r="B117" s="321"/>
      <c r="C117" s="321"/>
      <c r="D117" s="321"/>
      <c r="E117" s="321"/>
      <c r="F117" s="321"/>
      <c r="G117" s="321"/>
      <c r="H117" s="321"/>
      <c r="I117" s="321"/>
      <c r="J117" s="321"/>
      <c r="K117" s="321"/>
      <c r="L117" s="321"/>
      <c r="M117" s="321"/>
      <c r="N117" s="321"/>
      <c r="O117" s="321"/>
    </row>
    <row r="118" spans="2:18">
      <c r="B118" s="319"/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</row>
    <row r="119" spans="2:18">
      <c r="B119" s="319"/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R119" s="217"/>
    </row>
    <row r="120" spans="2:18">
      <c r="B120" s="321"/>
      <c r="C120" s="321"/>
      <c r="D120" s="321"/>
      <c r="E120" s="321"/>
      <c r="F120" s="321"/>
      <c r="G120" s="321"/>
      <c r="H120" s="321"/>
      <c r="I120" s="321"/>
      <c r="J120" s="321"/>
      <c r="K120" s="321"/>
      <c r="L120" s="321"/>
      <c r="M120" s="321"/>
      <c r="N120" s="321"/>
      <c r="O120" s="321"/>
    </row>
    <row r="121" spans="2:18">
      <c r="B121" s="319"/>
      <c r="C121" s="322"/>
      <c r="D121" s="322"/>
      <c r="E121" s="322"/>
      <c r="F121" s="322"/>
      <c r="G121" s="322"/>
      <c r="H121" s="322"/>
      <c r="I121" s="322"/>
      <c r="J121" s="322"/>
      <c r="K121" s="322"/>
      <c r="L121" s="322"/>
      <c r="M121" s="322"/>
      <c r="N121" s="322"/>
      <c r="O121" s="322"/>
    </row>
    <row r="122" spans="2:18">
      <c r="B122" s="319"/>
      <c r="C122" s="323"/>
      <c r="D122" s="323"/>
      <c r="E122" s="323"/>
      <c r="F122" s="323"/>
      <c r="G122" s="323"/>
      <c r="H122" s="323"/>
      <c r="I122" s="323"/>
      <c r="J122" s="323"/>
      <c r="K122" s="323"/>
      <c r="L122" s="323"/>
      <c r="M122" s="323"/>
      <c r="N122" s="323"/>
      <c r="O122" s="323"/>
    </row>
    <row r="124" spans="2:18">
      <c r="B124" s="149" t="s">
        <v>141</v>
      </c>
      <c r="C124" s="218"/>
      <c r="D124" s="218"/>
      <c r="E124" s="218"/>
      <c r="F124" s="218"/>
      <c r="G124" s="218"/>
      <c r="H124" s="218"/>
      <c r="I124" s="218"/>
      <c r="J124" s="218"/>
      <c r="K124" s="218"/>
      <c r="L124" s="218"/>
      <c r="M124" s="218"/>
      <c r="N124" s="218"/>
      <c r="O124" s="218"/>
    </row>
    <row r="125" spans="2:18">
      <c r="B125" s="207"/>
      <c r="C125" s="208" t="str">
        <f>Dat_01!B140</f>
        <v>J</v>
      </c>
      <c r="D125" s="208" t="str">
        <f>Dat_01!C140</f>
        <v>A</v>
      </c>
      <c r="E125" s="208" t="str">
        <f>Dat_01!D140</f>
        <v>S</v>
      </c>
      <c r="F125" s="208" t="str">
        <f>Dat_01!E140</f>
        <v>O</v>
      </c>
      <c r="G125" s="208" t="str">
        <f>Dat_01!F140</f>
        <v>N</v>
      </c>
      <c r="H125" s="208" t="str">
        <f>Dat_01!G140</f>
        <v>D</v>
      </c>
      <c r="I125" s="208" t="str">
        <f>Dat_01!H140</f>
        <v>E</v>
      </c>
      <c r="J125" s="208" t="str">
        <f>Dat_01!I140</f>
        <v>F</v>
      </c>
      <c r="K125" s="208" t="str">
        <f>Dat_01!J140</f>
        <v>M</v>
      </c>
      <c r="L125" s="208" t="str">
        <f>Dat_01!K140</f>
        <v>A</v>
      </c>
      <c r="M125" s="208" t="str">
        <f>Dat_01!L140</f>
        <v>M</v>
      </c>
      <c r="N125" s="208" t="str">
        <f>Dat_01!M140</f>
        <v>J</v>
      </c>
      <c r="O125" s="208" t="str">
        <f>Dat_01!N140</f>
        <v>J</v>
      </c>
    </row>
    <row r="126" spans="2:18">
      <c r="B126" s="210" t="s">
        <v>2</v>
      </c>
      <c r="C126" s="211">
        <f>C69</f>
        <v>2206.7799777780001</v>
      </c>
      <c r="D126" s="211">
        <f t="shared" ref="D126:O126" si="9">D69</f>
        <v>1879.5875821039999</v>
      </c>
      <c r="E126" s="211">
        <f t="shared" si="9"/>
        <v>1393.78333174</v>
      </c>
      <c r="F126" s="211">
        <f t="shared" si="9"/>
        <v>1021.4348056600001</v>
      </c>
      <c r="G126" s="211">
        <f t="shared" si="9"/>
        <v>1193.7558425120001</v>
      </c>
      <c r="H126" s="211">
        <f t="shared" si="9"/>
        <v>2523.893467504</v>
      </c>
      <c r="I126" s="211">
        <f t="shared" si="9"/>
        <v>2053.5241761440002</v>
      </c>
      <c r="J126" s="211">
        <f t="shared" si="9"/>
        <v>1145.6069011300001</v>
      </c>
      <c r="K126" s="211">
        <f t="shared" si="9"/>
        <v>1763.8028711760001</v>
      </c>
      <c r="L126" s="211">
        <f t="shared" si="9"/>
        <v>1779.2985286959999</v>
      </c>
      <c r="M126" s="211">
        <f t="shared" si="9"/>
        <v>1918.4741703340001</v>
      </c>
      <c r="N126" s="211">
        <f t="shared" si="9"/>
        <v>1190.322507676</v>
      </c>
      <c r="O126" s="211">
        <f t="shared" si="9"/>
        <v>1041.456428836</v>
      </c>
      <c r="P126" s="219"/>
    </row>
    <row r="127" spans="2:18">
      <c r="B127" s="210" t="s">
        <v>81</v>
      </c>
      <c r="C127" s="211">
        <f t="shared" ref="C127:O139" si="10">C70</f>
        <v>115.791574032</v>
      </c>
      <c r="D127" s="211">
        <f t="shared" si="10"/>
        <v>159.74251133199999</v>
      </c>
      <c r="E127" s="211">
        <f t="shared" si="10"/>
        <v>118.239862456</v>
      </c>
      <c r="F127" s="211">
        <f t="shared" si="10"/>
        <v>232.11323870199999</v>
      </c>
      <c r="G127" s="211">
        <f t="shared" si="10"/>
        <v>202.78682990199999</v>
      </c>
      <c r="H127" s="211">
        <f t="shared" si="10"/>
        <v>269.90862404000001</v>
      </c>
      <c r="I127" s="211">
        <f t="shared" si="10"/>
        <v>215.45218475999999</v>
      </c>
      <c r="J127" s="211">
        <f t="shared" si="10"/>
        <v>285.08618899800001</v>
      </c>
      <c r="K127" s="211">
        <f t="shared" si="10"/>
        <v>273.84815268400001</v>
      </c>
      <c r="L127" s="211">
        <f t="shared" si="10"/>
        <v>336.71035219200002</v>
      </c>
      <c r="M127" s="211">
        <f t="shared" si="10"/>
        <v>299.88006930400002</v>
      </c>
      <c r="N127" s="211">
        <f t="shared" si="10"/>
        <v>270.92395723800001</v>
      </c>
      <c r="O127" s="211">
        <f t="shared" si="10"/>
        <v>216.61761802000001</v>
      </c>
    </row>
    <row r="128" spans="2:18">
      <c r="B128" s="210" t="s">
        <v>3</v>
      </c>
      <c r="C128" s="211">
        <f t="shared" si="10"/>
        <v>5119.3289409999998</v>
      </c>
      <c r="D128" s="211">
        <f t="shared" si="10"/>
        <v>5151.2435720000003</v>
      </c>
      <c r="E128" s="211">
        <f t="shared" si="10"/>
        <v>4890.5065249999998</v>
      </c>
      <c r="F128" s="211">
        <f t="shared" si="10"/>
        <v>4748.3949460000003</v>
      </c>
      <c r="G128" s="211">
        <f t="shared" si="10"/>
        <v>3562.3582710000001</v>
      </c>
      <c r="H128" s="211">
        <f t="shared" si="10"/>
        <v>3922.855106</v>
      </c>
      <c r="I128" s="211">
        <f t="shared" si="10"/>
        <v>5048.424951</v>
      </c>
      <c r="J128" s="211">
        <f t="shared" si="10"/>
        <v>4771.058908</v>
      </c>
      <c r="K128" s="211">
        <f t="shared" si="10"/>
        <v>4766.7915640000001</v>
      </c>
      <c r="L128" s="211">
        <f t="shared" si="10"/>
        <v>4413.7242699999997</v>
      </c>
      <c r="M128" s="211">
        <f t="shared" si="10"/>
        <v>4066.3553310000002</v>
      </c>
      <c r="N128" s="211">
        <f t="shared" si="10"/>
        <v>4459.4591659999996</v>
      </c>
      <c r="O128" s="211">
        <f t="shared" si="10"/>
        <v>5073.1541569999999</v>
      </c>
    </row>
    <row r="129" spans="2:15">
      <c r="B129" s="210" t="s">
        <v>4</v>
      </c>
      <c r="C129" s="211">
        <f t="shared" si="10"/>
        <v>302.41718100000003</v>
      </c>
      <c r="D129" s="211">
        <f t="shared" si="10"/>
        <v>320.34443199999998</v>
      </c>
      <c r="E129" s="211">
        <f t="shared" si="10"/>
        <v>477.92579699999999</v>
      </c>
      <c r="F129" s="211">
        <f t="shared" si="10"/>
        <v>528.18759499999999</v>
      </c>
      <c r="G129" s="211">
        <f t="shared" si="10"/>
        <v>577.43674399999998</v>
      </c>
      <c r="H129" s="211">
        <f t="shared" si="10"/>
        <v>721.09479699999997</v>
      </c>
      <c r="I129" s="211">
        <f t="shared" si="10"/>
        <v>710.59119999999996</v>
      </c>
      <c r="J129" s="211">
        <f t="shared" si="10"/>
        <v>571.69617900000003</v>
      </c>
      <c r="K129" s="211">
        <f t="shared" si="10"/>
        <v>705.89505599999995</v>
      </c>
      <c r="L129" s="211">
        <f t="shared" si="10"/>
        <v>691.80370400000004</v>
      </c>
      <c r="M129" s="211">
        <f t="shared" si="10"/>
        <v>528.38689499999998</v>
      </c>
      <c r="N129" s="211">
        <f t="shared" si="10"/>
        <v>804.07860300000004</v>
      </c>
      <c r="O129" s="211">
        <f t="shared" si="10"/>
        <v>832.23787000000004</v>
      </c>
    </row>
    <row r="130" spans="2:15">
      <c r="B130" s="210" t="s">
        <v>129</v>
      </c>
      <c r="C130" s="211">
        <f t="shared" si="10"/>
        <v>0</v>
      </c>
      <c r="D130" s="211">
        <f t="shared" si="10"/>
        <v>0</v>
      </c>
      <c r="E130" s="211">
        <f t="shared" si="10"/>
        <v>0</v>
      </c>
      <c r="F130" s="211">
        <f t="shared" si="10"/>
        <v>0</v>
      </c>
      <c r="G130" s="211">
        <f t="shared" si="10"/>
        <v>0</v>
      </c>
      <c r="H130" s="211">
        <f t="shared" si="10"/>
        <v>0</v>
      </c>
      <c r="I130" s="211">
        <f t="shared" si="10"/>
        <v>0</v>
      </c>
      <c r="J130" s="211">
        <f t="shared" si="10"/>
        <v>0</v>
      </c>
      <c r="K130" s="211">
        <f t="shared" si="10"/>
        <v>0</v>
      </c>
      <c r="L130" s="211">
        <f t="shared" si="10"/>
        <v>0</v>
      </c>
      <c r="M130" s="211">
        <f t="shared" si="10"/>
        <v>0</v>
      </c>
      <c r="N130" s="211">
        <f t="shared" si="10"/>
        <v>0</v>
      </c>
      <c r="O130" s="211">
        <f t="shared" si="10"/>
        <v>0</v>
      </c>
    </row>
    <row r="131" spans="2:15">
      <c r="B131" s="210" t="s">
        <v>130</v>
      </c>
      <c r="C131" s="211">
        <f t="shared" si="10"/>
        <v>3024.7339200000001</v>
      </c>
      <c r="D131" s="211">
        <f t="shared" si="10"/>
        <v>3325.1556350000001</v>
      </c>
      <c r="E131" s="211">
        <f t="shared" si="10"/>
        <v>4296.9849320000003</v>
      </c>
      <c r="F131" s="211">
        <f t="shared" si="10"/>
        <v>3806.271381</v>
      </c>
      <c r="G131" s="211">
        <f t="shared" si="10"/>
        <v>5697.61654</v>
      </c>
      <c r="H131" s="211">
        <f t="shared" si="10"/>
        <v>4499.7333719999997</v>
      </c>
      <c r="I131" s="211">
        <f t="shared" si="10"/>
        <v>5197.395829</v>
      </c>
      <c r="J131" s="211">
        <f t="shared" si="10"/>
        <v>4086.8628920000001</v>
      </c>
      <c r="K131" s="211">
        <f t="shared" si="10"/>
        <v>3253.5901749999998</v>
      </c>
      <c r="L131" s="211">
        <f t="shared" si="10"/>
        <v>2573.7803039999999</v>
      </c>
      <c r="M131" s="211">
        <f t="shared" si="10"/>
        <v>3092.3859029999999</v>
      </c>
      <c r="N131" s="211">
        <f t="shared" si="10"/>
        <v>5827.5517829999999</v>
      </c>
      <c r="O131" s="211">
        <f t="shared" si="10"/>
        <v>7767.8468700000003</v>
      </c>
    </row>
    <row r="132" spans="2:15">
      <c r="B132" s="210" t="s">
        <v>5</v>
      </c>
      <c r="C132" s="211">
        <f t="shared" si="10"/>
        <v>4122.6099919999997</v>
      </c>
      <c r="D132" s="211">
        <f t="shared" si="10"/>
        <v>3598.5848070000002</v>
      </c>
      <c r="E132" s="211">
        <f t="shared" si="10"/>
        <v>3123.0617010000001</v>
      </c>
      <c r="F132" s="211">
        <f t="shared" si="10"/>
        <v>4231.9807010000004</v>
      </c>
      <c r="G132" s="211">
        <f t="shared" si="10"/>
        <v>6320.8397629999999</v>
      </c>
      <c r="H132" s="211">
        <f t="shared" si="10"/>
        <v>6813.1904430000004</v>
      </c>
      <c r="I132" s="211">
        <f t="shared" si="10"/>
        <v>5352.3559729999997</v>
      </c>
      <c r="J132" s="211">
        <f t="shared" si="10"/>
        <v>4621.4652409999999</v>
      </c>
      <c r="K132" s="211">
        <f t="shared" si="10"/>
        <v>6418.3320880000001</v>
      </c>
      <c r="L132" s="211">
        <f t="shared" si="10"/>
        <v>5534.8026630000004</v>
      </c>
      <c r="M132" s="211">
        <f t="shared" si="10"/>
        <v>4570.5633260000004</v>
      </c>
      <c r="N132" s="211">
        <f t="shared" si="10"/>
        <v>3629.2420929999998</v>
      </c>
      <c r="O132" s="211">
        <f t="shared" si="10"/>
        <v>4381.3838820000001</v>
      </c>
    </row>
    <row r="133" spans="2:15">
      <c r="B133" s="210" t="s">
        <v>131</v>
      </c>
      <c r="C133" s="211">
        <f t="shared" si="10"/>
        <v>2565.0792649999999</v>
      </c>
      <c r="D133" s="211">
        <f t="shared" si="10"/>
        <v>2343.78982</v>
      </c>
      <c r="E133" s="211">
        <f t="shared" si="10"/>
        <v>1881.431521</v>
      </c>
      <c r="F133" s="211">
        <f t="shared" si="10"/>
        <v>1732.6711969999999</v>
      </c>
      <c r="G133" s="211">
        <f t="shared" si="10"/>
        <v>1320.8873840000001</v>
      </c>
      <c r="H133" s="211">
        <f t="shared" si="10"/>
        <v>993.85091399999999</v>
      </c>
      <c r="I133" s="211">
        <f t="shared" si="10"/>
        <v>1534.160668</v>
      </c>
      <c r="J133" s="211">
        <f t="shared" si="10"/>
        <v>1653.6707039999999</v>
      </c>
      <c r="K133" s="211">
        <f t="shared" si="10"/>
        <v>1416.057168</v>
      </c>
      <c r="L133" s="211">
        <f t="shared" si="10"/>
        <v>2530.8183819999999</v>
      </c>
      <c r="M133" s="211">
        <f t="shared" si="10"/>
        <v>3311.8440599999999</v>
      </c>
      <c r="N133" s="211">
        <f t="shared" si="10"/>
        <v>3144.0390179999999</v>
      </c>
      <c r="O133" s="211">
        <f t="shared" si="10"/>
        <v>3279.3319849999998</v>
      </c>
    </row>
    <row r="134" spans="2:15">
      <c r="B134" s="210" t="s">
        <v>132</v>
      </c>
      <c r="C134" s="211">
        <f t="shared" si="10"/>
        <v>828.49249399999997</v>
      </c>
      <c r="D134" s="211">
        <f t="shared" si="10"/>
        <v>661.44510200000002</v>
      </c>
      <c r="E134" s="211">
        <f t="shared" si="10"/>
        <v>447.44465700000001</v>
      </c>
      <c r="F134" s="211">
        <f t="shared" si="10"/>
        <v>328.16178000000002</v>
      </c>
      <c r="G134" s="211">
        <f t="shared" si="10"/>
        <v>172.42624599999999</v>
      </c>
      <c r="H134" s="211">
        <f t="shared" si="10"/>
        <v>103.956001</v>
      </c>
      <c r="I134" s="211">
        <f t="shared" si="10"/>
        <v>170.90534199999999</v>
      </c>
      <c r="J134" s="211">
        <f t="shared" si="10"/>
        <v>208.578486</v>
      </c>
      <c r="K134" s="211">
        <f t="shared" si="10"/>
        <v>120.568316</v>
      </c>
      <c r="L134" s="211">
        <f t="shared" si="10"/>
        <v>412.77760999999998</v>
      </c>
      <c r="M134" s="211">
        <f t="shared" si="10"/>
        <v>621.24744099999998</v>
      </c>
      <c r="N134" s="211">
        <f t="shared" si="10"/>
        <v>534.18592699999999</v>
      </c>
      <c r="O134" s="211">
        <f t="shared" si="10"/>
        <v>667.23557600000004</v>
      </c>
    </row>
    <row r="135" spans="2:15">
      <c r="B135" s="210" t="s">
        <v>9</v>
      </c>
      <c r="C135" s="211">
        <f t="shared" si="10"/>
        <v>2238.7745369999998</v>
      </c>
      <c r="D135" s="211">
        <f t="shared" si="10"/>
        <v>2102.2103360000001</v>
      </c>
      <c r="E135" s="211">
        <f t="shared" si="10"/>
        <v>2159.0921499999999</v>
      </c>
      <c r="F135" s="211">
        <f t="shared" si="10"/>
        <v>2136.4721209999998</v>
      </c>
      <c r="G135" s="211">
        <f t="shared" si="10"/>
        <v>2168.9871889999999</v>
      </c>
      <c r="H135" s="211">
        <f t="shared" si="10"/>
        <v>2167.9654059999998</v>
      </c>
      <c r="I135" s="211">
        <f t="shared" si="10"/>
        <v>2140.854178</v>
      </c>
      <c r="J135" s="211">
        <f t="shared" si="10"/>
        <v>2115.5816890000001</v>
      </c>
      <c r="K135" s="211">
        <f t="shared" si="10"/>
        <v>2210.0593690000001</v>
      </c>
      <c r="L135" s="211">
        <f t="shared" si="10"/>
        <v>1707.4825519999999</v>
      </c>
      <c r="M135" s="211">
        <f t="shared" si="10"/>
        <v>1868.3740499999999</v>
      </c>
      <c r="N135" s="211">
        <f t="shared" si="10"/>
        <v>1465.0524499999999</v>
      </c>
      <c r="O135" s="211">
        <f t="shared" si="10"/>
        <v>1052.153912</v>
      </c>
    </row>
    <row r="136" spans="2:15">
      <c r="B136" s="210" t="s">
        <v>133</v>
      </c>
      <c r="C136" s="211">
        <f t="shared" si="10"/>
        <v>193.16825549999999</v>
      </c>
      <c r="D136" s="211">
        <f t="shared" si="10"/>
        <v>198.4023795</v>
      </c>
      <c r="E136" s="211">
        <f t="shared" si="10"/>
        <v>167.38102850000001</v>
      </c>
      <c r="F136" s="211">
        <f t="shared" si="10"/>
        <v>179.471082</v>
      </c>
      <c r="G136" s="211">
        <f t="shared" si="10"/>
        <v>164.8067685</v>
      </c>
      <c r="H136" s="211">
        <f t="shared" si="10"/>
        <v>171.82050699999999</v>
      </c>
      <c r="I136" s="211">
        <f t="shared" si="10"/>
        <v>159.55676600000001</v>
      </c>
      <c r="J136" s="211">
        <f t="shared" si="10"/>
        <v>138.52277699999999</v>
      </c>
      <c r="K136" s="211">
        <f t="shared" si="10"/>
        <v>173.90431599999999</v>
      </c>
      <c r="L136" s="211">
        <f t="shared" si="10"/>
        <v>163.84968900000001</v>
      </c>
      <c r="M136" s="211">
        <f t="shared" si="10"/>
        <v>158.1020145</v>
      </c>
      <c r="N136" s="211">
        <f t="shared" si="10"/>
        <v>142.17442550000001</v>
      </c>
      <c r="O136" s="211">
        <f t="shared" si="10"/>
        <v>164.320134</v>
      </c>
    </row>
    <row r="137" spans="2:15">
      <c r="B137" s="210" t="s">
        <v>134</v>
      </c>
      <c r="C137" s="211">
        <f t="shared" si="10"/>
        <v>70.069195500000006</v>
      </c>
      <c r="D137" s="211">
        <f t="shared" si="10"/>
        <v>67.951940500000006</v>
      </c>
      <c r="E137" s="211">
        <f t="shared" si="10"/>
        <v>55.639892500000002</v>
      </c>
      <c r="F137" s="211">
        <f t="shared" si="10"/>
        <v>61.837724000000001</v>
      </c>
      <c r="G137" s="211">
        <f t="shared" si="10"/>
        <v>65.901263499999999</v>
      </c>
      <c r="H137" s="211">
        <f t="shared" si="10"/>
        <v>72.807829999999996</v>
      </c>
      <c r="I137" s="211">
        <f t="shared" si="10"/>
        <v>68.975128999999995</v>
      </c>
      <c r="J137" s="211">
        <f t="shared" si="10"/>
        <v>66.906879000000004</v>
      </c>
      <c r="K137" s="211">
        <f t="shared" si="10"/>
        <v>71.978429000000006</v>
      </c>
      <c r="L137" s="211">
        <f t="shared" si="10"/>
        <v>64.772149999999996</v>
      </c>
      <c r="M137" s="211">
        <f t="shared" si="10"/>
        <v>67.480593499999998</v>
      </c>
      <c r="N137" s="211">
        <f t="shared" si="10"/>
        <v>63.217403500000003</v>
      </c>
      <c r="O137" s="211">
        <f t="shared" si="10"/>
        <v>59.032142</v>
      </c>
    </row>
    <row r="138" spans="2:15">
      <c r="B138" s="210" t="s">
        <v>135</v>
      </c>
      <c r="C138" s="211">
        <f t="shared" si="10"/>
        <v>351.88360599999999</v>
      </c>
      <c r="D138" s="211">
        <f t="shared" si="10"/>
        <v>409.93549100000001</v>
      </c>
      <c r="E138" s="211">
        <f t="shared" si="10"/>
        <v>395.48078299999997</v>
      </c>
      <c r="F138" s="211">
        <f t="shared" si="10"/>
        <v>431.48129999999998</v>
      </c>
      <c r="G138" s="211">
        <f t="shared" si="10"/>
        <v>433.27252499999997</v>
      </c>
      <c r="H138" s="211">
        <f t="shared" si="10"/>
        <v>435.29937000000001</v>
      </c>
      <c r="I138" s="211">
        <f t="shared" si="10"/>
        <v>428.42865999999998</v>
      </c>
      <c r="J138" s="211">
        <f t="shared" si="10"/>
        <v>373.905303</v>
      </c>
      <c r="K138" s="211">
        <f t="shared" si="10"/>
        <v>422.67529400000001</v>
      </c>
      <c r="L138" s="211">
        <f t="shared" si="10"/>
        <v>429.86890699999998</v>
      </c>
      <c r="M138" s="211">
        <f t="shared" si="10"/>
        <v>395.92393399999997</v>
      </c>
      <c r="N138" s="211">
        <f t="shared" si="10"/>
        <v>414.75039800000002</v>
      </c>
      <c r="O138" s="211">
        <f t="shared" si="10"/>
        <v>408.444975</v>
      </c>
    </row>
    <row r="139" spans="2:15">
      <c r="B139" s="210" t="s">
        <v>136</v>
      </c>
      <c r="C139" s="211">
        <f t="shared" si="10"/>
        <v>21139.128938809998</v>
      </c>
      <c r="D139" s="211">
        <f t="shared" si="10"/>
        <v>20218.393608435999</v>
      </c>
      <c r="E139" s="211">
        <f t="shared" si="10"/>
        <v>19406.972181196001</v>
      </c>
      <c r="F139" s="211">
        <f t="shared" si="10"/>
        <v>19438.477871362</v>
      </c>
      <c r="G139" s="211">
        <f t="shared" si="10"/>
        <v>21881.075366413999</v>
      </c>
      <c r="H139" s="211">
        <f t="shared" si="10"/>
        <v>22696.375837543997</v>
      </c>
      <c r="I139" s="211">
        <f t="shared" si="10"/>
        <v>23080.625056903998</v>
      </c>
      <c r="J139" s="211">
        <f t="shared" si="10"/>
        <v>20038.942148127993</v>
      </c>
      <c r="K139" s="211">
        <f t="shared" si="10"/>
        <v>21597.502798859998</v>
      </c>
      <c r="L139" s="211">
        <f t="shared" si="10"/>
        <v>20639.689111888001</v>
      </c>
      <c r="M139" s="211">
        <f t="shared" si="10"/>
        <v>20899.017787637997</v>
      </c>
      <c r="N139" s="211">
        <f t="shared" si="10"/>
        <v>21944.997731913998</v>
      </c>
      <c r="O139" s="211">
        <f t="shared" si="10"/>
        <v>24943.215549856002</v>
      </c>
    </row>
    <row r="140" spans="2:15">
      <c r="B140" s="210" t="s">
        <v>137</v>
      </c>
      <c r="C140" s="211"/>
      <c r="D140" s="211"/>
      <c r="E140" s="211"/>
      <c r="F140" s="211"/>
      <c r="G140" s="211"/>
      <c r="H140" s="211"/>
      <c r="I140" s="211"/>
      <c r="J140" s="211"/>
      <c r="K140" s="211"/>
      <c r="L140" s="211"/>
      <c r="M140" s="211"/>
      <c r="N140" s="211"/>
      <c r="O140" s="211"/>
    </row>
    <row r="141" spans="2:15">
      <c r="B141" s="210" t="s">
        <v>138</v>
      </c>
      <c r="C141" s="211"/>
      <c r="D141" s="211"/>
      <c r="E141" s="211"/>
      <c r="F141" s="211"/>
      <c r="G141" s="211"/>
      <c r="H141" s="211"/>
      <c r="I141" s="211"/>
      <c r="J141" s="211"/>
      <c r="K141" s="211"/>
      <c r="L141" s="211"/>
      <c r="M141" s="211"/>
      <c r="N141" s="211"/>
      <c r="O141" s="211"/>
    </row>
    <row r="142" spans="2:15">
      <c r="B142" s="210" t="s">
        <v>139</v>
      </c>
      <c r="C142" s="211"/>
      <c r="D142" s="211"/>
      <c r="E142" s="211"/>
      <c r="F142" s="211"/>
      <c r="G142" s="211"/>
      <c r="H142" s="211"/>
      <c r="I142" s="211"/>
      <c r="J142" s="211"/>
      <c r="K142" s="211"/>
      <c r="L142" s="211"/>
      <c r="M142" s="211"/>
      <c r="N142" s="211"/>
      <c r="O142" s="211"/>
    </row>
    <row r="143" spans="2:15">
      <c r="B143" s="212" t="s">
        <v>140</v>
      </c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</row>
    <row r="145" spans="2:15">
      <c r="B145" s="214" t="s">
        <v>17</v>
      </c>
      <c r="C145" s="215">
        <f>SUM(C126,C132:C134,C137:C138)</f>
        <v>10144.914530278</v>
      </c>
      <c r="D145" s="215">
        <f t="shared" ref="D145:N145" si="11">SUM(D126,D132:D134,D137:D138)</f>
        <v>8961.2947426039991</v>
      </c>
      <c r="E145" s="215">
        <f t="shared" si="11"/>
        <v>7296.8418862400013</v>
      </c>
      <c r="F145" s="215">
        <f t="shared" si="11"/>
        <v>7807.567507660001</v>
      </c>
      <c r="G145" s="215">
        <f t="shared" si="11"/>
        <v>9507.0830240120013</v>
      </c>
      <c r="H145" s="215">
        <f t="shared" si="11"/>
        <v>10942.998025504001</v>
      </c>
      <c r="I145" s="215">
        <f t="shared" si="11"/>
        <v>9608.3499481439994</v>
      </c>
      <c r="J145" s="215">
        <f t="shared" si="11"/>
        <v>8070.1335141300005</v>
      </c>
      <c r="K145" s="215">
        <f t="shared" si="11"/>
        <v>10213.414166176002</v>
      </c>
      <c r="L145" s="215">
        <f t="shared" si="11"/>
        <v>10752.338240696001</v>
      </c>
      <c r="M145" s="215">
        <f t="shared" si="11"/>
        <v>10885.533524834</v>
      </c>
      <c r="N145" s="215">
        <f t="shared" si="11"/>
        <v>8975.7573471760006</v>
      </c>
      <c r="O145" s="215">
        <f>SUM(O126,O132:O134,O137:O138)</f>
        <v>9836.884988836</v>
      </c>
    </row>
    <row r="146" spans="2:15">
      <c r="B146" s="212" t="s">
        <v>16</v>
      </c>
      <c r="C146" s="213">
        <f>SUM(C127:C131,C135:C136)</f>
        <v>10994.214408532</v>
      </c>
      <c r="D146" s="213">
        <f t="shared" ref="D146:O146" si="12">SUM(D127:D131,D135:D136)</f>
        <v>11257.098865831998</v>
      </c>
      <c r="E146" s="213">
        <f t="shared" si="12"/>
        <v>12110.130294956001</v>
      </c>
      <c r="F146" s="213">
        <f t="shared" si="12"/>
        <v>11630.910363702002</v>
      </c>
      <c r="G146" s="213">
        <f t="shared" si="12"/>
        <v>12373.992342402</v>
      </c>
      <c r="H146" s="213">
        <f t="shared" si="12"/>
        <v>11753.377812039998</v>
      </c>
      <c r="I146" s="213">
        <f t="shared" si="12"/>
        <v>13472.275108759999</v>
      </c>
      <c r="J146" s="213">
        <f t="shared" si="12"/>
        <v>11968.808633998</v>
      </c>
      <c r="K146" s="213">
        <f t="shared" si="12"/>
        <v>11384.088632684001</v>
      </c>
      <c r="L146" s="213">
        <f t="shared" si="12"/>
        <v>9887.3508711920003</v>
      </c>
      <c r="M146" s="213">
        <f t="shared" si="12"/>
        <v>10013.484262804001</v>
      </c>
      <c r="N146" s="213">
        <f t="shared" si="12"/>
        <v>12969.240384737999</v>
      </c>
      <c r="O146" s="213">
        <f t="shared" si="12"/>
        <v>15106.33056102</v>
      </c>
    </row>
    <row r="148" spans="2:15">
      <c r="B148" s="214" t="s">
        <v>17</v>
      </c>
      <c r="C148" s="216">
        <f>SUM(C126/SUM(C145:C146)*100,C132/SUM(C145:C146)*100,C133/SUM(C145:C146)*100,C134/SUM(C145:C146)*100,C137/SUM(C145:C146)*100,C138/SUM(C145:C146)*100)</f>
        <v>47.991166332557007</v>
      </c>
      <c r="D148" s="216">
        <f t="shared" ref="D148:I148" si="13">SUM(D126/SUM(D145:D146)*100,D132/SUM(D145:D146)*100,D133/SUM(D145:D146)*100,D134/SUM(D145:D146)*100,D137/SUM(D145:D146)*100,D138/SUM(D145:D146)*100)</f>
        <v>44.32248632683141</v>
      </c>
      <c r="E148" s="216">
        <f t="shared" si="13"/>
        <v>37.599074281716796</v>
      </c>
      <c r="F148" s="216">
        <f t="shared" si="13"/>
        <v>40.165529211330913</v>
      </c>
      <c r="G148" s="216">
        <f t="shared" si="13"/>
        <v>43.448883863380608</v>
      </c>
      <c r="H148" s="216">
        <f t="shared" si="13"/>
        <v>48.214737471003012</v>
      </c>
      <c r="I148" s="216">
        <f t="shared" si="13"/>
        <v>41.62950493955492</v>
      </c>
      <c r="J148" s="216">
        <f>SUM(J126/SUM(J145:J146)*100,J132/SUM(J145:J146)*100,J133/SUM(J145:J146)*100,J134/SUM(J145:J146)*100,J137/SUM(J145:J146)*100,J138/SUM(J145:J146)*100)</f>
        <v>40.272253168233718</v>
      </c>
      <c r="K148" s="216">
        <f t="shared" ref="K148:O148" si="14">SUM(K126/SUM(K145:K146)*100,K132/SUM(K145:K146)*100,K133/SUM(K145:K146)*100,K134/SUM(K145:K146)*100,K137/SUM(K145:K146)*100,K138/SUM(K145:K146)*100)</f>
        <v>47.289792071308824</v>
      </c>
      <c r="L148" s="216">
        <f t="shared" si="14"/>
        <v>52.095446701776588</v>
      </c>
      <c r="M148" s="216">
        <f t="shared" si="14"/>
        <v>52.086340302906066</v>
      </c>
      <c r="N148" s="216">
        <f t="shared" si="14"/>
        <v>40.901154134651854</v>
      </c>
      <c r="O148" s="216">
        <f t="shared" si="14"/>
        <v>39.437116554496477</v>
      </c>
    </row>
    <row r="149" spans="2:15">
      <c r="B149" s="212" t="s">
        <v>16</v>
      </c>
      <c r="C149" s="298">
        <f t="shared" ref="C149" si="15">100-C148</f>
        <v>52.008833667442993</v>
      </c>
      <c r="D149" s="298">
        <f t="shared" ref="D149:J149" si="16">100-D148</f>
        <v>55.67751367316859</v>
      </c>
      <c r="E149" s="298">
        <f t="shared" si="16"/>
        <v>62.400925718283204</v>
      </c>
      <c r="F149" s="298">
        <f t="shared" si="16"/>
        <v>59.834470788669087</v>
      </c>
      <c r="G149" s="298">
        <f t="shared" si="16"/>
        <v>56.551116136619392</v>
      </c>
      <c r="H149" s="298">
        <f t="shared" si="16"/>
        <v>51.785262528996988</v>
      </c>
      <c r="I149" s="298">
        <f t="shared" si="16"/>
        <v>58.37049506044508</v>
      </c>
      <c r="J149" s="298">
        <f t="shared" si="16"/>
        <v>59.727746831766282</v>
      </c>
      <c r="K149" s="298">
        <f t="shared" ref="K149:O149" si="17">100-K148</f>
        <v>52.710207928691176</v>
      </c>
      <c r="L149" s="298">
        <f t="shared" si="17"/>
        <v>47.904553298223412</v>
      </c>
      <c r="M149" s="298">
        <f t="shared" si="17"/>
        <v>47.913659697093934</v>
      </c>
      <c r="N149" s="298">
        <f t="shared" si="17"/>
        <v>59.098845865348146</v>
      </c>
      <c r="O149" s="298">
        <f t="shared" si="17"/>
        <v>60.562883445503523</v>
      </c>
    </row>
    <row r="153" spans="2:15">
      <c r="B153" s="149" t="s">
        <v>24</v>
      </c>
    </row>
    <row r="154" spans="2:15">
      <c r="B154" s="214"/>
      <c r="C154" s="214"/>
      <c r="D154" s="340" t="s">
        <v>22</v>
      </c>
      <c r="E154" s="340" t="s">
        <v>23</v>
      </c>
    </row>
    <row r="155" spans="2:15">
      <c r="B155" s="212" t="s">
        <v>142</v>
      </c>
      <c r="C155" s="212" t="s">
        <v>143</v>
      </c>
      <c r="D155" s="341"/>
      <c r="E155" s="341"/>
    </row>
    <row r="156" spans="2:15">
      <c r="B156" s="220">
        <f>DATE(YEAR(Dat_01!B$2),MONTH(Dat_01!B$2),Dat_01!A180)</f>
        <v>44743</v>
      </c>
      <c r="C156" s="210">
        <f>Dat_01!A180</f>
        <v>1</v>
      </c>
      <c r="D156" s="221">
        <f>Dat_01!W180</f>
        <v>112.086468</v>
      </c>
      <c r="E156" s="222">
        <f>Dat_01!V180</f>
        <v>15.372930220663356</v>
      </c>
    </row>
    <row r="157" spans="2:15">
      <c r="B157" s="220">
        <f>DATE(YEAR(Dat_01!B$2),MONTH(Dat_01!B$2),Dat_01!A181)</f>
        <v>44744</v>
      </c>
      <c r="C157" s="210">
        <f>Dat_01!A181</f>
        <v>2</v>
      </c>
      <c r="D157" s="221">
        <f>Dat_01!W181</f>
        <v>135.60714300000001</v>
      </c>
      <c r="E157" s="222">
        <f>Dat_01!V181</f>
        <v>19.289304289595233</v>
      </c>
    </row>
    <row r="158" spans="2:15">
      <c r="B158" s="220">
        <f>DATE(YEAR(Dat_01!B$2),MONTH(Dat_01!B$2),Dat_01!A182)</f>
        <v>44745</v>
      </c>
      <c r="C158" s="210">
        <f>Dat_01!A182</f>
        <v>3</v>
      </c>
      <c r="D158" s="221">
        <f>Dat_01!W182</f>
        <v>163.001441</v>
      </c>
      <c r="E158" s="222">
        <f>Dat_01!V182</f>
        <v>23.554011410539275</v>
      </c>
    </row>
    <row r="159" spans="2:15">
      <c r="B159" s="220">
        <f>DATE(YEAR(Dat_01!B$2),MONTH(Dat_01!B$2),Dat_01!A183)</f>
        <v>44746</v>
      </c>
      <c r="C159" s="210">
        <f>Dat_01!A183</f>
        <v>4</v>
      </c>
      <c r="D159" s="221">
        <f>Dat_01!W183</f>
        <v>146.636394</v>
      </c>
      <c r="E159" s="222">
        <f>Dat_01!V183</f>
        <v>18.872942006096316</v>
      </c>
    </row>
    <row r="160" spans="2:15">
      <c r="B160" s="220">
        <f>DATE(YEAR(Dat_01!B$2),MONTH(Dat_01!B$2),Dat_01!A184)</f>
        <v>44747</v>
      </c>
      <c r="C160" s="210">
        <f>Dat_01!A184</f>
        <v>5</v>
      </c>
      <c r="D160" s="221">
        <f>Dat_01!W184</f>
        <v>216.95150000000001</v>
      </c>
      <c r="E160" s="222">
        <f>Dat_01!V184</f>
        <v>26.805458248975235</v>
      </c>
    </row>
    <row r="161" spans="2:5">
      <c r="B161" s="220">
        <f>DATE(YEAR(Dat_01!B$2),MONTH(Dat_01!B$2),Dat_01!A185)</f>
        <v>44748</v>
      </c>
      <c r="C161" s="210">
        <f>Dat_01!A185</f>
        <v>6</v>
      </c>
      <c r="D161" s="221">
        <f>Dat_01!W185</f>
        <v>231.47615299999998</v>
      </c>
      <c r="E161" s="222">
        <f>Dat_01!V185</f>
        <v>29.135845113770468</v>
      </c>
    </row>
    <row r="162" spans="2:5">
      <c r="B162" s="220">
        <f>DATE(YEAR(Dat_01!B$2),MONTH(Dat_01!B$2),Dat_01!A186)</f>
        <v>44749</v>
      </c>
      <c r="C162" s="210">
        <f>Dat_01!A186</f>
        <v>7</v>
      </c>
      <c r="D162" s="221">
        <f>Dat_01!W186</f>
        <v>256.58077900000001</v>
      </c>
      <c r="E162" s="222">
        <f>Dat_01!V186</f>
        <v>31.891950853856489</v>
      </c>
    </row>
    <row r="163" spans="2:5">
      <c r="B163" s="220">
        <f>DATE(YEAR(Dat_01!B$2),MONTH(Dat_01!B$2),Dat_01!A187)</f>
        <v>44750</v>
      </c>
      <c r="C163" s="210">
        <f>Dat_01!A187</f>
        <v>8</v>
      </c>
      <c r="D163" s="221">
        <f>Dat_01!W187</f>
        <v>210.52496100000002</v>
      </c>
      <c r="E163" s="222">
        <f>Dat_01!V187</f>
        <v>26.475380327713367</v>
      </c>
    </row>
    <row r="164" spans="2:5">
      <c r="B164" s="220">
        <f>DATE(YEAR(Dat_01!B$2),MONTH(Dat_01!B$2),Dat_01!A188)</f>
        <v>44751</v>
      </c>
      <c r="C164" s="210">
        <f>Dat_01!A188</f>
        <v>9</v>
      </c>
      <c r="D164" s="221">
        <f>Dat_01!W188</f>
        <v>140.37109000000001</v>
      </c>
      <c r="E164" s="222">
        <f>Dat_01!V188</f>
        <v>19.092211388191775</v>
      </c>
    </row>
    <row r="165" spans="2:5">
      <c r="B165" s="220">
        <f>DATE(YEAR(Dat_01!B$2),MONTH(Dat_01!B$2),Dat_01!A189)</f>
        <v>44752</v>
      </c>
      <c r="C165" s="210">
        <f>Dat_01!A189</f>
        <v>10</v>
      </c>
      <c r="D165" s="221">
        <f>Dat_01!W189</f>
        <v>103.901163</v>
      </c>
      <c r="E165" s="222">
        <f>Dat_01!V189</f>
        <v>14.359341112567813</v>
      </c>
    </row>
    <row r="166" spans="2:5">
      <c r="B166" s="220">
        <f>DATE(YEAR(Dat_01!B$2),MONTH(Dat_01!B$2),Dat_01!A190)</f>
        <v>44753</v>
      </c>
      <c r="C166" s="210">
        <f>Dat_01!A190</f>
        <v>11</v>
      </c>
      <c r="D166" s="221">
        <f>Dat_01!W190</f>
        <v>111.910821</v>
      </c>
      <c r="E166" s="222">
        <f>Dat_01!V190</f>
        <v>13.786706554748578</v>
      </c>
    </row>
    <row r="167" spans="2:5">
      <c r="B167" s="220">
        <f>DATE(YEAR(Dat_01!B$2),MONTH(Dat_01!B$2),Dat_01!A191)</f>
        <v>44754</v>
      </c>
      <c r="C167" s="210">
        <f>Dat_01!A191</f>
        <v>12</v>
      </c>
      <c r="D167" s="221">
        <f>Dat_01!W191</f>
        <v>107.19437300000001</v>
      </c>
      <c r="E167" s="222">
        <f>Dat_01!V191</f>
        <v>12.895887171527812</v>
      </c>
    </row>
    <row r="168" spans="2:5">
      <c r="B168" s="220">
        <f>DATE(YEAR(Dat_01!B$2),MONTH(Dat_01!B$2),Dat_01!A192)</f>
        <v>44755</v>
      </c>
      <c r="C168" s="210">
        <f>Dat_01!A192</f>
        <v>13</v>
      </c>
      <c r="D168" s="221">
        <f>Dat_01!W192</f>
        <v>100.41499899999999</v>
      </c>
      <c r="E168" s="222">
        <f>Dat_01!V192</f>
        <v>11.452184511668602</v>
      </c>
    </row>
    <row r="169" spans="2:5">
      <c r="B169" s="220">
        <f>DATE(YEAR(Dat_01!B$2),MONTH(Dat_01!B$2),Dat_01!A193)</f>
        <v>44756</v>
      </c>
      <c r="C169" s="210">
        <f>Dat_01!A193</f>
        <v>14</v>
      </c>
      <c r="D169" s="221">
        <f>Dat_01!W193</f>
        <v>113.150058</v>
      </c>
      <c r="E169" s="222">
        <f>Dat_01!V193</f>
        <v>13.034128478346588</v>
      </c>
    </row>
    <row r="170" spans="2:5">
      <c r="B170" s="220">
        <f>DATE(YEAR(Dat_01!B$2),MONTH(Dat_01!B$2),Dat_01!A194)</f>
        <v>44757</v>
      </c>
      <c r="C170" s="210">
        <f>Dat_01!A194</f>
        <v>15</v>
      </c>
      <c r="D170" s="221">
        <f>Dat_01!W194</f>
        <v>154.17300899999998</v>
      </c>
      <c r="E170" s="222">
        <f>Dat_01!V194</f>
        <v>17.233311263516956</v>
      </c>
    </row>
    <row r="171" spans="2:5">
      <c r="B171" s="220">
        <f>DATE(YEAR(Dat_01!B$2),MONTH(Dat_01!B$2),Dat_01!A195)</f>
        <v>44758</v>
      </c>
      <c r="C171" s="210">
        <f>Dat_01!A195</f>
        <v>16</v>
      </c>
      <c r="D171" s="221">
        <f>Dat_01!W195</f>
        <v>90.423642999999998</v>
      </c>
      <c r="E171" s="222">
        <f>Dat_01!V195</f>
        <v>10.923310641444605</v>
      </c>
    </row>
    <row r="172" spans="2:5">
      <c r="B172" s="220">
        <f>DATE(YEAR(Dat_01!B$2),MONTH(Dat_01!B$2),Dat_01!A196)</f>
        <v>44759</v>
      </c>
      <c r="C172" s="210">
        <f>Dat_01!A196</f>
        <v>17</v>
      </c>
      <c r="D172" s="221">
        <f>Dat_01!W196</f>
        <v>108.05083900000001</v>
      </c>
      <c r="E172" s="222">
        <f>Dat_01!V196</f>
        <v>13.637158402751409</v>
      </c>
    </row>
    <row r="173" spans="2:5">
      <c r="B173" s="220">
        <f>DATE(YEAR(Dat_01!B$2),MONTH(Dat_01!B$2),Dat_01!A197)</f>
        <v>44760</v>
      </c>
      <c r="C173" s="210">
        <f>Dat_01!A197</f>
        <v>18</v>
      </c>
      <c r="D173" s="221">
        <f>Dat_01!W197</f>
        <v>148.451437</v>
      </c>
      <c r="E173" s="222">
        <f>Dat_01!V197</f>
        <v>16.867106291385817</v>
      </c>
    </row>
    <row r="174" spans="2:5">
      <c r="B174" s="220">
        <f>DATE(YEAR(Dat_01!B$2),MONTH(Dat_01!B$2),Dat_01!A198)</f>
        <v>44761</v>
      </c>
      <c r="C174" s="210">
        <f>Dat_01!A198</f>
        <v>19</v>
      </c>
      <c r="D174" s="221">
        <f>Dat_01!W198</f>
        <v>165.76010099999999</v>
      </c>
      <c r="E174" s="222">
        <f>Dat_01!V198</f>
        <v>19.442986937938681</v>
      </c>
    </row>
    <row r="175" spans="2:5">
      <c r="B175" s="220">
        <f>DATE(YEAR(Dat_01!B$2),MONTH(Dat_01!B$2),Dat_01!A199)</f>
        <v>44762</v>
      </c>
      <c r="C175" s="210">
        <f>Dat_01!A199</f>
        <v>20</v>
      </c>
      <c r="D175" s="221">
        <f>Dat_01!W199</f>
        <v>109.033086</v>
      </c>
      <c r="E175" s="222">
        <f>Dat_01!V199</f>
        <v>12.923908651835362</v>
      </c>
    </row>
    <row r="176" spans="2:5">
      <c r="B176" s="220">
        <f>DATE(YEAR(Dat_01!B$2),MONTH(Dat_01!B$2),Dat_01!A200)</f>
        <v>44763</v>
      </c>
      <c r="C176" s="210">
        <f>Dat_01!A200</f>
        <v>21</v>
      </c>
      <c r="D176" s="221">
        <f>Dat_01!W200</f>
        <v>149.35432</v>
      </c>
      <c r="E176" s="222">
        <f>Dat_01!V200</f>
        <v>17.092157135338059</v>
      </c>
    </row>
    <row r="177" spans="2:27">
      <c r="B177" s="220">
        <f>DATE(YEAR(Dat_01!B$2),MONTH(Dat_01!B$2),Dat_01!A201)</f>
        <v>44764</v>
      </c>
      <c r="C177" s="210">
        <f>Dat_01!A201</f>
        <v>22</v>
      </c>
      <c r="D177" s="221">
        <f>Dat_01!W201</f>
        <v>161.07607000000002</v>
      </c>
      <c r="E177" s="222">
        <f>Dat_01!V201</f>
        <v>18.769242037297882</v>
      </c>
    </row>
    <row r="178" spans="2:27">
      <c r="B178" s="220">
        <f>DATE(YEAR(Dat_01!B$2),MONTH(Dat_01!B$2),Dat_01!A202)</f>
        <v>44765</v>
      </c>
      <c r="C178" s="210">
        <f>Dat_01!A202</f>
        <v>23</v>
      </c>
      <c r="D178" s="221">
        <f>Dat_01!W202</f>
        <v>116.529737</v>
      </c>
      <c r="E178" s="222">
        <f>Dat_01!V202</f>
        <v>14.645577190866973</v>
      </c>
    </row>
    <row r="179" spans="2:27">
      <c r="B179" s="220">
        <f>DATE(YEAR(Dat_01!B$2),MONTH(Dat_01!B$2),Dat_01!A203)</f>
        <v>44766</v>
      </c>
      <c r="C179" s="210">
        <f>Dat_01!A203</f>
        <v>24</v>
      </c>
      <c r="D179" s="221">
        <f>Dat_01!W203</f>
        <v>83.719386</v>
      </c>
      <c r="E179" s="222">
        <f>Dat_01!V203</f>
        <v>11.009694005744537</v>
      </c>
    </row>
    <row r="180" spans="2:27">
      <c r="B180" s="220">
        <f>DATE(YEAR(Dat_01!B$2),MONTH(Dat_01!B$2),Dat_01!A204)</f>
        <v>44767</v>
      </c>
      <c r="C180" s="210">
        <f>Dat_01!A204</f>
        <v>25</v>
      </c>
      <c r="D180" s="221">
        <f>Dat_01!W204</f>
        <v>137.97351599999999</v>
      </c>
      <c r="E180" s="222">
        <f>Dat_01!V204</f>
        <v>16.570579122443451</v>
      </c>
    </row>
    <row r="181" spans="2:27">
      <c r="B181" s="220">
        <f>DATE(YEAR(Dat_01!B$2),MONTH(Dat_01!B$2),Dat_01!A205)</f>
        <v>44768</v>
      </c>
      <c r="C181" s="210">
        <f>Dat_01!A205</f>
        <v>26</v>
      </c>
      <c r="D181" s="221">
        <f>Dat_01!W205</f>
        <v>167.834755</v>
      </c>
      <c r="E181" s="222">
        <f>Dat_01!V205</f>
        <v>19.281404836297234</v>
      </c>
    </row>
    <row r="182" spans="2:27">
      <c r="B182" s="220">
        <f>DATE(YEAR(Dat_01!B$2),MONTH(Dat_01!B$2),Dat_01!A206)</f>
        <v>44769</v>
      </c>
      <c r="C182" s="210">
        <f>Dat_01!A206</f>
        <v>27</v>
      </c>
      <c r="D182" s="221">
        <f>Dat_01!W206</f>
        <v>123.55465600000001</v>
      </c>
      <c r="E182" s="222">
        <f>Dat_01!V206</f>
        <v>14.890945937118827</v>
      </c>
    </row>
    <row r="183" spans="2:27">
      <c r="B183" s="220">
        <f>DATE(YEAR(Dat_01!B$2),MONTH(Dat_01!B$2),Dat_01!A207)</f>
        <v>44770</v>
      </c>
      <c r="C183" s="210">
        <f>Dat_01!A207</f>
        <v>28</v>
      </c>
      <c r="D183" s="221">
        <f>Dat_01!W207</f>
        <v>77.263350000000003</v>
      </c>
      <c r="E183" s="222">
        <f>Dat_01!V207</f>
        <v>9.9993116355082012</v>
      </c>
    </row>
    <row r="184" spans="2:27">
      <c r="B184" s="220">
        <f>DATE(YEAR(Dat_01!B$2),MONTH(Dat_01!B$2),Dat_01!A208)</f>
        <v>44771</v>
      </c>
      <c r="C184" s="210">
        <f>Dat_01!A208</f>
        <v>29</v>
      </c>
      <c r="D184" s="221">
        <f>Dat_01!W208</f>
        <v>112.98418099999999</v>
      </c>
      <c r="E184" s="222">
        <f>Dat_01!V208</f>
        <v>13.903343574635477</v>
      </c>
    </row>
    <row r="185" spans="2:27">
      <c r="B185" s="220">
        <f>DATE(YEAR(Dat_01!B$2),MONTH(Dat_01!B$2),Dat_01!A209)</f>
        <v>44772</v>
      </c>
      <c r="C185" s="210">
        <f>Dat_01!A209</f>
        <v>30</v>
      </c>
      <c r="D185" s="221">
        <f>Dat_01!W209</f>
        <v>188.55821799999998</v>
      </c>
      <c r="E185" s="222">
        <f>Dat_01!V209</f>
        <v>24.739087896714825</v>
      </c>
    </row>
    <row r="186" spans="2:27">
      <c r="B186" s="220">
        <f>DATE(YEAR(Dat_01!B$2),MONTH(Dat_01!B$2),Dat_01!A210)</f>
        <v>44773</v>
      </c>
      <c r="C186" s="210">
        <f>Dat_01!A210</f>
        <v>31</v>
      </c>
      <c r="D186" s="221">
        <f>Dat_01!W210</f>
        <v>136.83623499999999</v>
      </c>
      <c r="E186" s="222">
        <f>Dat_01!V210</f>
        <v>18.684258983941938</v>
      </c>
    </row>
    <row r="187" spans="2:27">
      <c r="B187" s="223"/>
      <c r="C187" s="210"/>
      <c r="D187" s="221"/>
      <c r="E187" s="221"/>
    </row>
    <row r="188" spans="2:27">
      <c r="B188" s="210"/>
      <c r="C188" s="210"/>
      <c r="D188" s="210"/>
      <c r="E188" s="210"/>
    </row>
    <row r="189" spans="2:27">
      <c r="B189" s="212" t="s">
        <v>144</v>
      </c>
      <c r="C189" s="212"/>
      <c r="D189" s="224">
        <f>MAX(D156:D186)</f>
        <v>256.58077900000001</v>
      </c>
      <c r="E189" s="225">
        <f>VLOOKUP(D189,D156:E186,2)</f>
        <v>18.684258983941938</v>
      </c>
    </row>
    <row r="191" spans="2:27">
      <c r="B191" s="149" t="s">
        <v>145</v>
      </c>
    </row>
    <row r="192" spans="2:27">
      <c r="B192" s="226"/>
      <c r="C192" s="227">
        <v>1</v>
      </c>
      <c r="D192" s="227">
        <v>2</v>
      </c>
      <c r="E192" s="227">
        <v>3</v>
      </c>
      <c r="F192" s="227">
        <v>4</v>
      </c>
      <c r="G192" s="227">
        <v>5</v>
      </c>
      <c r="H192" s="227">
        <v>6</v>
      </c>
      <c r="I192" s="227">
        <v>7</v>
      </c>
      <c r="J192" s="227">
        <v>8</v>
      </c>
      <c r="K192" s="227">
        <v>9</v>
      </c>
      <c r="L192" s="227">
        <v>10</v>
      </c>
      <c r="M192" s="227">
        <v>11</v>
      </c>
      <c r="N192" s="227">
        <v>12</v>
      </c>
      <c r="O192" s="227">
        <v>13</v>
      </c>
      <c r="P192" s="227">
        <v>14</v>
      </c>
      <c r="Q192" s="227">
        <v>15</v>
      </c>
      <c r="R192" s="227">
        <v>16</v>
      </c>
      <c r="S192" s="227">
        <v>17</v>
      </c>
      <c r="T192" s="227">
        <v>18</v>
      </c>
      <c r="U192" s="227">
        <v>19</v>
      </c>
      <c r="V192" s="227">
        <v>20</v>
      </c>
      <c r="W192" s="227">
        <v>21</v>
      </c>
      <c r="X192" s="227">
        <v>22</v>
      </c>
      <c r="Y192" s="227">
        <v>23</v>
      </c>
      <c r="Z192" s="227">
        <v>24</v>
      </c>
      <c r="AA192" s="228" t="s">
        <v>15</v>
      </c>
    </row>
    <row r="193" spans="2:27">
      <c r="B193" s="210" t="s">
        <v>5</v>
      </c>
      <c r="C193" s="211">
        <v>9.1643000000000008</v>
      </c>
      <c r="D193" s="211">
        <v>8.7952999999999992</v>
      </c>
      <c r="E193" s="211">
        <v>8.8308</v>
      </c>
      <c r="F193" s="211">
        <v>8.5412999999999997</v>
      </c>
      <c r="G193" s="211">
        <v>8.3774999999999995</v>
      </c>
      <c r="H193" s="211">
        <v>8.2622</v>
      </c>
      <c r="I193" s="211">
        <v>8.3582999999999998</v>
      </c>
      <c r="J193" s="211">
        <v>8.2825000000000006</v>
      </c>
      <c r="K193" s="211">
        <v>7.7236000000000002</v>
      </c>
      <c r="L193" s="211">
        <v>7.4927000000000001</v>
      </c>
      <c r="M193" s="211">
        <v>7.0507</v>
      </c>
      <c r="N193" s="211">
        <v>6.7298999999999998</v>
      </c>
      <c r="O193" s="211">
        <v>5.7401</v>
      </c>
      <c r="P193" s="211">
        <v>5.3799000000000001</v>
      </c>
      <c r="Q193" s="211">
        <v>4.9191000000000003</v>
      </c>
      <c r="R193" s="211">
        <v>5.3954000000000004</v>
      </c>
      <c r="S193" s="211">
        <v>5.3757000000000001</v>
      </c>
      <c r="T193" s="211">
        <v>5.6306000000000003</v>
      </c>
      <c r="U193" s="211">
        <v>5.8331</v>
      </c>
      <c r="V193" s="211">
        <v>6.3666999999999998</v>
      </c>
      <c r="W193" s="211">
        <v>6.7653999999999996</v>
      </c>
      <c r="X193" s="211">
        <v>6.9931999999999999</v>
      </c>
      <c r="Y193" s="211">
        <v>7.2034000000000002</v>
      </c>
      <c r="Z193" s="211">
        <v>7.3064</v>
      </c>
      <c r="AA193" s="211">
        <f t="shared" ref="AA193:AA194" si="18">SUM(C193:Z193)</f>
        <v>170.5181</v>
      </c>
    </row>
    <row r="194" spans="2:27">
      <c r="B194" s="210" t="s">
        <v>10</v>
      </c>
      <c r="C194" s="211">
        <v>25.1279</v>
      </c>
      <c r="D194" s="211">
        <v>24.4297</v>
      </c>
      <c r="E194" s="211">
        <v>23.810600000000001</v>
      </c>
      <c r="F194" s="211">
        <v>23.1861</v>
      </c>
      <c r="G194" s="211">
        <v>22.812899999999999</v>
      </c>
      <c r="H194" s="211">
        <v>22.671399999999998</v>
      </c>
      <c r="I194" s="211">
        <v>22.881699999999999</v>
      </c>
      <c r="J194" s="211">
        <v>22.9634</v>
      </c>
      <c r="K194" s="211">
        <v>23.478000000000002</v>
      </c>
      <c r="L194" s="211">
        <v>24.83</v>
      </c>
      <c r="M194" s="211">
        <v>25.264600000000002</v>
      </c>
      <c r="N194" s="211">
        <v>26.226400000000002</v>
      </c>
      <c r="O194" s="211">
        <v>26.419699999999999</v>
      </c>
      <c r="P194" s="211">
        <v>26.6785</v>
      </c>
      <c r="Q194" s="211">
        <v>26.776900000000001</v>
      </c>
      <c r="R194" s="211">
        <v>26.777999999999999</v>
      </c>
      <c r="S194" s="211">
        <v>26.0596</v>
      </c>
      <c r="T194" s="211">
        <v>25.779599999999999</v>
      </c>
      <c r="U194" s="211">
        <v>26.1708</v>
      </c>
      <c r="V194" s="211">
        <v>27.240100000000002</v>
      </c>
      <c r="W194" s="211">
        <v>27.512499999999999</v>
      </c>
      <c r="X194" s="211">
        <v>27.726400000000002</v>
      </c>
      <c r="Y194" s="211">
        <v>27.232600000000001</v>
      </c>
      <c r="Z194" s="211">
        <v>25.386600000000001</v>
      </c>
      <c r="AA194" s="211">
        <f t="shared" si="18"/>
        <v>607.44400000000019</v>
      </c>
    </row>
    <row r="195" spans="2:27">
      <c r="B195" s="210"/>
      <c r="C195" s="210"/>
      <c r="D195" s="210"/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0"/>
      <c r="Y195" s="210"/>
      <c r="Z195" s="210"/>
      <c r="AA195" s="210"/>
    </row>
    <row r="196" spans="2:27">
      <c r="B196" s="210"/>
      <c r="C196" s="210"/>
      <c r="D196" s="210"/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0"/>
      <c r="Y196" s="210"/>
      <c r="Z196" s="210"/>
      <c r="AA196" s="210"/>
    </row>
    <row r="197" spans="2:27">
      <c r="B197" s="212" t="s">
        <v>125</v>
      </c>
      <c r="C197" s="229">
        <f>C193/C194*100</f>
        <v>36.470616326871728</v>
      </c>
      <c r="D197" s="229">
        <f t="shared" ref="D197:AA197" si="19">D193/D194*100</f>
        <v>36.002488773910443</v>
      </c>
      <c r="E197" s="229">
        <f t="shared" si="19"/>
        <v>37.087683636699623</v>
      </c>
      <c r="F197" s="229">
        <f t="shared" si="19"/>
        <v>36.838019330547176</v>
      </c>
      <c r="G197" s="229">
        <f t="shared" si="19"/>
        <v>36.722643767342163</v>
      </c>
      <c r="H197" s="229">
        <f t="shared" si="19"/>
        <v>36.443272140229546</v>
      </c>
      <c r="I197" s="229">
        <f t="shared" si="19"/>
        <v>36.528317389005188</v>
      </c>
      <c r="J197" s="229">
        <f t="shared" si="19"/>
        <v>36.068265152372909</v>
      </c>
      <c r="K197" s="229">
        <f t="shared" si="19"/>
        <v>32.897180339040801</v>
      </c>
      <c r="L197" s="229">
        <f t="shared" si="19"/>
        <v>30.175996778091026</v>
      </c>
      <c r="M197" s="229">
        <f t="shared" si="19"/>
        <v>27.90742778433064</v>
      </c>
      <c r="N197" s="229">
        <f t="shared" si="19"/>
        <v>25.660784552969524</v>
      </c>
      <c r="O197" s="229">
        <f t="shared" si="19"/>
        <v>21.726590385204979</v>
      </c>
      <c r="P197" s="229">
        <f t="shared" si="19"/>
        <v>20.165676481061528</v>
      </c>
      <c r="Q197" s="229">
        <f t="shared" si="19"/>
        <v>18.370685180136611</v>
      </c>
      <c r="R197" s="229">
        <f t="shared" si="19"/>
        <v>20.148629471954592</v>
      </c>
      <c r="S197" s="229">
        <f t="shared" si="19"/>
        <v>20.62848240187877</v>
      </c>
      <c r="T197" s="229">
        <f t="shared" si="19"/>
        <v>21.841300873558943</v>
      </c>
      <c r="U197" s="229">
        <f t="shared" si="19"/>
        <v>22.288581166796583</v>
      </c>
      <c r="V197" s="229">
        <f t="shared" si="19"/>
        <v>23.372528000998528</v>
      </c>
      <c r="W197" s="229">
        <f t="shared" si="19"/>
        <v>24.590277146751475</v>
      </c>
      <c r="X197" s="229">
        <f t="shared" si="19"/>
        <v>25.222170927347221</v>
      </c>
      <c r="Y197" s="229">
        <f t="shared" si="19"/>
        <v>26.451385471824214</v>
      </c>
      <c r="Z197" s="229">
        <f t="shared" si="19"/>
        <v>28.780537764017232</v>
      </c>
      <c r="AA197" s="229">
        <f t="shared" si="19"/>
        <v>28.071410697940873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2"/>
  <sheetViews>
    <sheetView zoomScale="90" zoomScaleNormal="90" workbookViewId="0"/>
  </sheetViews>
  <sheetFormatPr baseColWidth="10" defaultRowHeight="12.75"/>
  <cols>
    <col min="1" max="1" width="22.140625" bestFit="1" customWidth="1"/>
    <col min="2" max="2" width="33.140625" bestFit="1" customWidth="1"/>
    <col min="3" max="15" width="17.42578125" bestFit="1" customWidth="1"/>
    <col min="16" max="19" width="14.7109375" customWidth="1"/>
    <col min="20" max="26" width="17.5703125" customWidth="1"/>
    <col min="27" max="235" width="14.7109375" customWidth="1"/>
  </cols>
  <sheetData>
    <row r="1" spans="1:13">
      <c r="A1" s="179" t="s">
        <v>30</v>
      </c>
      <c r="B1" s="179" t="s">
        <v>108</v>
      </c>
    </row>
    <row r="2" spans="1:13">
      <c r="A2" s="308" t="s">
        <v>226</v>
      </c>
      <c r="B2" s="308" t="s">
        <v>227</v>
      </c>
    </row>
    <row r="4" spans="1:13">
      <c r="A4" s="174" t="s">
        <v>30</v>
      </c>
      <c r="B4" s="342" t="s">
        <v>226</v>
      </c>
      <c r="C4" s="343"/>
      <c r="D4" s="343"/>
      <c r="E4" s="343"/>
      <c r="F4" s="343"/>
      <c r="G4" s="343"/>
      <c r="H4" s="343"/>
      <c r="I4" s="343"/>
      <c r="J4" s="343"/>
      <c r="L4" s="302" t="s">
        <v>106</v>
      </c>
      <c r="M4" s="303" t="s">
        <v>195</v>
      </c>
    </row>
    <row r="5" spans="1:13">
      <c r="A5" s="174" t="s">
        <v>105</v>
      </c>
      <c r="B5" s="344" t="s">
        <v>98</v>
      </c>
      <c r="C5" s="345"/>
      <c r="D5" s="345"/>
      <c r="E5" s="345"/>
      <c r="F5" s="345"/>
      <c r="G5" s="345"/>
      <c r="H5" s="345"/>
      <c r="I5" s="345"/>
      <c r="J5" s="345"/>
      <c r="L5" s="302" t="s">
        <v>30</v>
      </c>
      <c r="M5" s="303" t="s">
        <v>230</v>
      </c>
    </row>
    <row r="6" spans="1:13">
      <c r="A6" s="174" t="s">
        <v>106</v>
      </c>
      <c r="B6" s="175" t="s">
        <v>99</v>
      </c>
      <c r="C6" s="175" t="s">
        <v>169</v>
      </c>
      <c r="D6" s="175" t="s">
        <v>100</v>
      </c>
      <c r="E6" s="175" t="s">
        <v>101</v>
      </c>
      <c r="F6" s="175" t="s">
        <v>157</v>
      </c>
      <c r="G6" s="175" t="s">
        <v>102</v>
      </c>
      <c r="H6" s="175" t="s">
        <v>103</v>
      </c>
      <c r="I6" s="175" t="s">
        <v>170</v>
      </c>
      <c r="J6" s="175" t="s">
        <v>104</v>
      </c>
      <c r="L6" s="302" t="s">
        <v>196</v>
      </c>
      <c r="M6" s="304"/>
    </row>
    <row r="7" spans="1:13">
      <c r="A7" s="174" t="s">
        <v>107</v>
      </c>
      <c r="B7" s="176"/>
      <c r="C7" s="176"/>
      <c r="D7" s="176"/>
      <c r="E7" s="176"/>
      <c r="F7" s="176"/>
      <c r="G7" s="176"/>
      <c r="H7" s="176"/>
      <c r="I7" s="176"/>
      <c r="J7" s="176"/>
      <c r="L7" s="265" t="s">
        <v>4</v>
      </c>
      <c r="M7" s="305">
        <v>3522.9250000000002</v>
      </c>
    </row>
    <row r="8" spans="1:13">
      <c r="A8" s="308" t="s">
        <v>2</v>
      </c>
      <c r="B8" s="312">
        <v>1041456.428836</v>
      </c>
      <c r="C8" s="312">
        <v>2206779.9777779998</v>
      </c>
      <c r="D8" s="313">
        <v>-0.52806512689999996</v>
      </c>
      <c r="E8" s="312">
        <v>10892485.583992001</v>
      </c>
      <c r="F8" s="312">
        <v>21579928.332508001</v>
      </c>
      <c r="G8" s="313">
        <v>-0.49524922339999999</v>
      </c>
      <c r="H8" s="312">
        <v>18904940.613511998</v>
      </c>
      <c r="I8" s="312">
        <v>32701078.469110001</v>
      </c>
      <c r="J8" s="313">
        <v>-0.42188632609999999</v>
      </c>
      <c r="L8" s="265" t="s">
        <v>130</v>
      </c>
      <c r="M8" s="305">
        <v>24561.845000000001</v>
      </c>
    </row>
    <row r="9" spans="1:13">
      <c r="A9" s="308" t="s">
        <v>81</v>
      </c>
      <c r="B9" s="312">
        <v>216617.61801999999</v>
      </c>
      <c r="C9" s="312">
        <v>115791.574032</v>
      </c>
      <c r="D9" s="313">
        <v>0.87075458500000003</v>
      </c>
      <c r="E9" s="312">
        <v>1898518.5231959999</v>
      </c>
      <c r="F9" s="312">
        <v>1666505.063572</v>
      </c>
      <c r="G9" s="313">
        <v>0.13922157499999999</v>
      </c>
      <c r="H9" s="312">
        <v>2881309.5896279998</v>
      </c>
      <c r="I9" s="312">
        <v>2773243.5732700001</v>
      </c>
      <c r="J9" s="313">
        <v>3.8967372899999998E-2</v>
      </c>
      <c r="L9" s="265" t="s">
        <v>9</v>
      </c>
      <c r="M9" s="305">
        <v>5588.4695000000002</v>
      </c>
    </row>
    <row r="10" spans="1:13">
      <c r="A10" s="308" t="s">
        <v>3</v>
      </c>
      <c r="B10" s="312">
        <v>5073154.1569999997</v>
      </c>
      <c r="C10" s="312">
        <v>5119328.9409999996</v>
      </c>
      <c r="D10" s="313">
        <v>-9.0196947000000006E-3</v>
      </c>
      <c r="E10" s="312">
        <v>32598968.346999999</v>
      </c>
      <c r="F10" s="312">
        <v>31765616.853</v>
      </c>
      <c r="G10" s="313">
        <v>2.6234387299999998E-2</v>
      </c>
      <c r="H10" s="312">
        <v>54874326.766999997</v>
      </c>
      <c r="I10" s="312">
        <v>56229252.855999999</v>
      </c>
      <c r="J10" s="313">
        <v>-2.40964626E-2</v>
      </c>
      <c r="L10" s="265" t="s">
        <v>5</v>
      </c>
      <c r="M10" s="305">
        <v>28910.708500000001</v>
      </c>
    </row>
    <row r="11" spans="1:13">
      <c r="A11" s="308" t="s">
        <v>4</v>
      </c>
      <c r="B11" s="312">
        <v>832237.87</v>
      </c>
      <c r="C11" s="312">
        <v>302417.18099999998</v>
      </c>
      <c r="D11" s="313">
        <v>1.7519530049000001</v>
      </c>
      <c r="E11" s="312">
        <v>4844689.5070000002</v>
      </c>
      <c r="F11" s="312">
        <v>2316234.6809999999</v>
      </c>
      <c r="G11" s="313">
        <v>1.0916229028</v>
      </c>
      <c r="H11" s="312">
        <v>7469678.8720000004</v>
      </c>
      <c r="I11" s="312">
        <v>3730059.4849999999</v>
      </c>
      <c r="J11" s="313">
        <v>1.0025629355000001</v>
      </c>
      <c r="L11" s="265" t="s">
        <v>95</v>
      </c>
      <c r="M11" s="305">
        <v>7.95</v>
      </c>
    </row>
    <row r="12" spans="1:13">
      <c r="A12" s="308" t="s">
        <v>95</v>
      </c>
      <c r="B12" s="312">
        <v>0</v>
      </c>
      <c r="C12" s="312">
        <v>-1E-3</v>
      </c>
      <c r="D12" s="313">
        <v>-1</v>
      </c>
      <c r="E12" s="312">
        <v>0</v>
      </c>
      <c r="F12" s="312">
        <v>-1E-3</v>
      </c>
      <c r="G12" s="313">
        <v>-1</v>
      </c>
      <c r="H12" s="312">
        <v>0</v>
      </c>
      <c r="I12" s="312">
        <v>-1E-3</v>
      </c>
      <c r="J12" s="313">
        <v>-1</v>
      </c>
      <c r="L12" s="265" t="s">
        <v>2</v>
      </c>
      <c r="M12" s="305">
        <v>17092.603029999998</v>
      </c>
    </row>
    <row r="13" spans="1:13">
      <c r="A13" s="308" t="s">
        <v>11</v>
      </c>
      <c r="B13" s="312">
        <v>7767846.8700000001</v>
      </c>
      <c r="C13" s="312">
        <v>3024733.92</v>
      </c>
      <c r="D13" s="313">
        <v>1.5681091545000001</v>
      </c>
      <c r="E13" s="312">
        <v>31799413.756000001</v>
      </c>
      <c r="F13" s="312">
        <v>15955048.915999999</v>
      </c>
      <c r="G13" s="313">
        <v>0.99306275550000001</v>
      </c>
      <c r="H13" s="312">
        <v>53425175.615999997</v>
      </c>
      <c r="I13" s="312">
        <v>34129774.468000002</v>
      </c>
      <c r="J13" s="313">
        <v>0.56535390139999997</v>
      </c>
      <c r="L13" s="265" t="s">
        <v>3</v>
      </c>
      <c r="M13" s="305">
        <v>7117.29</v>
      </c>
    </row>
    <row r="14" spans="1:13">
      <c r="A14" s="308" t="s">
        <v>5</v>
      </c>
      <c r="B14" s="312">
        <v>4381383.8820000002</v>
      </c>
      <c r="C14" s="312">
        <v>4122609.9920000001</v>
      </c>
      <c r="D14" s="313">
        <v>6.2769432599999994E-2</v>
      </c>
      <c r="E14" s="312">
        <v>34508145.266000003</v>
      </c>
      <c r="F14" s="312">
        <v>35096317.700999998</v>
      </c>
      <c r="G14" s="313">
        <v>-1.6758807600000002E-2</v>
      </c>
      <c r="H14" s="312">
        <v>58595802.681000002</v>
      </c>
      <c r="I14" s="312">
        <v>59774908.023999996</v>
      </c>
      <c r="J14" s="313">
        <v>-1.97257575E-2</v>
      </c>
      <c r="L14" s="265" t="s">
        <v>135</v>
      </c>
      <c r="M14" s="305">
        <v>1086.8399999999999</v>
      </c>
    </row>
    <row r="15" spans="1:13">
      <c r="A15" s="308" t="s">
        <v>6</v>
      </c>
      <c r="B15" s="312">
        <v>3279331.9849999999</v>
      </c>
      <c r="C15" s="312">
        <v>2565079.2650000001</v>
      </c>
      <c r="D15" s="313">
        <v>0.27845249449999998</v>
      </c>
      <c r="E15" s="312">
        <v>16869921.984999999</v>
      </c>
      <c r="F15" s="312">
        <v>12230901.356000001</v>
      </c>
      <c r="G15" s="313">
        <v>0.3792868975</v>
      </c>
      <c r="H15" s="312">
        <v>25142552.820999999</v>
      </c>
      <c r="I15" s="312">
        <v>18235523.116</v>
      </c>
      <c r="J15" s="313">
        <v>0.37876784019999998</v>
      </c>
      <c r="L15" s="265" t="s">
        <v>194</v>
      </c>
      <c r="M15" s="305">
        <v>382.93650000000002</v>
      </c>
    </row>
    <row r="16" spans="1:13">
      <c r="A16" s="308" t="s">
        <v>7</v>
      </c>
      <c r="B16" s="312">
        <v>667235.576</v>
      </c>
      <c r="C16" s="312">
        <v>828492.49399999995</v>
      </c>
      <c r="D16" s="313">
        <v>-0.1946389607</v>
      </c>
      <c r="E16" s="312">
        <v>2735498.6979999999</v>
      </c>
      <c r="F16" s="312">
        <v>2992069.969</v>
      </c>
      <c r="G16" s="313">
        <v>-8.5750424800000002E-2</v>
      </c>
      <c r="H16" s="312">
        <v>4448932.4840000002</v>
      </c>
      <c r="I16" s="312">
        <v>4713319.7539999997</v>
      </c>
      <c r="J16" s="313">
        <v>-5.6093641800000003E-2</v>
      </c>
      <c r="L16" s="265" t="s">
        <v>134</v>
      </c>
      <c r="M16" s="305">
        <v>131.6275</v>
      </c>
    </row>
    <row r="17" spans="1:13">
      <c r="A17" s="308" t="s">
        <v>8</v>
      </c>
      <c r="B17" s="312">
        <v>408444.97499999998</v>
      </c>
      <c r="C17" s="312">
        <v>351883.60600000003</v>
      </c>
      <c r="D17" s="313">
        <v>0.16073885809999999</v>
      </c>
      <c r="E17" s="312">
        <v>2873997.4709999999</v>
      </c>
      <c r="F17" s="312">
        <v>2603725.73</v>
      </c>
      <c r="G17" s="313">
        <v>0.1038019243</v>
      </c>
      <c r="H17" s="312">
        <v>4979466.9400000004</v>
      </c>
      <c r="I17" s="312">
        <v>4597658.4689999996</v>
      </c>
      <c r="J17" s="313">
        <v>8.30441133E-2</v>
      </c>
      <c r="L17" s="265" t="s">
        <v>131</v>
      </c>
      <c r="M17" s="305">
        <v>16174.384241</v>
      </c>
    </row>
    <row r="18" spans="1:13">
      <c r="A18" s="308" t="s">
        <v>9</v>
      </c>
      <c r="B18" s="312">
        <v>1052153.912</v>
      </c>
      <c r="C18" s="312">
        <v>2238774.537</v>
      </c>
      <c r="D18" s="313">
        <v>-0.53003132090000005</v>
      </c>
      <c r="E18" s="312">
        <v>12559558.199999999</v>
      </c>
      <c r="F18" s="312">
        <v>15301761.322000001</v>
      </c>
      <c r="G18" s="313">
        <v>-0.17920833189999999</v>
      </c>
      <c r="H18" s="312">
        <v>23294285.401999999</v>
      </c>
      <c r="I18" s="312">
        <v>26897283.752999999</v>
      </c>
      <c r="J18" s="313">
        <v>-0.13395398519999999</v>
      </c>
      <c r="L18" s="265" t="s">
        <v>132</v>
      </c>
      <c r="M18" s="305">
        <v>2304.0129999999999</v>
      </c>
    </row>
    <row r="19" spans="1:13">
      <c r="A19" s="308" t="s">
        <v>69</v>
      </c>
      <c r="B19" s="312">
        <v>59032.142</v>
      </c>
      <c r="C19" s="312">
        <v>70069.195500000002</v>
      </c>
      <c r="D19" s="313">
        <v>-0.15751648670000001</v>
      </c>
      <c r="E19" s="312">
        <v>462362.72600000002</v>
      </c>
      <c r="F19" s="312">
        <v>426725.93550000002</v>
      </c>
      <c r="G19" s="313">
        <v>8.3512127000000005E-2</v>
      </c>
      <c r="H19" s="312">
        <v>786501.37650000001</v>
      </c>
      <c r="I19" s="312">
        <v>750479.12749999994</v>
      </c>
      <c r="J19" s="313">
        <v>4.7999001800000003E-2</v>
      </c>
      <c r="L19" s="265" t="s">
        <v>81</v>
      </c>
      <c r="M19" s="305">
        <v>3331.4</v>
      </c>
    </row>
    <row r="20" spans="1:13">
      <c r="A20" s="308" t="s">
        <v>70</v>
      </c>
      <c r="B20" s="312">
        <v>164320.13399999999</v>
      </c>
      <c r="C20" s="312">
        <v>193168.2555</v>
      </c>
      <c r="D20" s="313">
        <v>-0.1493419373</v>
      </c>
      <c r="E20" s="312">
        <v>1100430.122</v>
      </c>
      <c r="F20" s="312">
        <v>1228569.2625</v>
      </c>
      <c r="G20" s="313">
        <v>-0.10429948429999999</v>
      </c>
      <c r="H20" s="312">
        <v>1982311.8875</v>
      </c>
      <c r="I20" s="312">
        <v>2099864.3445000001</v>
      </c>
      <c r="J20" s="313">
        <v>-5.5980976699999997E-2</v>
      </c>
      <c r="L20" s="306" t="s">
        <v>15</v>
      </c>
      <c r="M20" s="307">
        <v>110212.992271</v>
      </c>
    </row>
    <row r="21" spans="1:13">
      <c r="A21" s="309" t="s">
        <v>10</v>
      </c>
      <c r="B21" s="314">
        <v>24943215.549856</v>
      </c>
      <c r="C21" s="314">
        <v>21139128.93781</v>
      </c>
      <c r="D21" s="315">
        <v>0.17995474759999999</v>
      </c>
      <c r="E21" s="314">
        <v>153143990.185188</v>
      </c>
      <c r="F21" s="314">
        <v>143163405.12108001</v>
      </c>
      <c r="G21" s="315">
        <v>6.9714638699999998E-2</v>
      </c>
      <c r="H21" s="314">
        <v>256785285.05013999</v>
      </c>
      <c r="I21" s="314">
        <v>246632445.43838</v>
      </c>
      <c r="J21" s="315">
        <v>4.1165871700000002E-2</v>
      </c>
    </row>
    <row r="22" spans="1:13">
      <c r="A22" s="308" t="s">
        <v>122</v>
      </c>
      <c r="B22" s="312">
        <v>-413827.48100000003</v>
      </c>
      <c r="C22" s="312">
        <v>-180990.891856</v>
      </c>
      <c r="D22" s="313">
        <v>1.2864547313000001</v>
      </c>
      <c r="E22" s="312">
        <v>-3244618.6427500001</v>
      </c>
      <c r="F22" s="312">
        <v>-2805186.7719820002</v>
      </c>
      <c r="G22" s="313">
        <v>0.15664977290000001</v>
      </c>
      <c r="H22" s="312">
        <v>-4757310.6764979996</v>
      </c>
      <c r="I22" s="312">
        <v>-4477406.1182700004</v>
      </c>
      <c r="J22" s="313">
        <v>6.2514891599999997E-2</v>
      </c>
    </row>
    <row r="23" spans="1:13">
      <c r="A23" s="308" t="s">
        <v>97</v>
      </c>
      <c r="B23" s="312">
        <v>-67033.138000000006</v>
      </c>
      <c r="C23" s="312">
        <v>-45879.220999999998</v>
      </c>
      <c r="D23" s="313">
        <v>0.46107838229999998</v>
      </c>
      <c r="E23" s="312">
        <v>-257297.43900000001</v>
      </c>
      <c r="F23" s="312">
        <v>-713580.19299999997</v>
      </c>
      <c r="G23" s="313">
        <v>-0.63942743710000005</v>
      </c>
      <c r="H23" s="312">
        <v>-433946.21299999999</v>
      </c>
      <c r="I23" s="312">
        <v>-1353103.834</v>
      </c>
      <c r="J23" s="313">
        <v>-0.67929570360000002</v>
      </c>
    </row>
    <row r="24" spans="1:13">
      <c r="A24" s="308" t="s">
        <v>123</v>
      </c>
      <c r="B24" s="312">
        <v>-2422688.003</v>
      </c>
      <c r="C24" s="312">
        <v>647482.12699999998</v>
      </c>
      <c r="D24" s="313">
        <v>-4.7417063760999998</v>
      </c>
      <c r="E24" s="312">
        <v>-9310335.4800000004</v>
      </c>
      <c r="F24" s="312">
        <v>2428205.3339999998</v>
      </c>
      <c r="G24" s="313">
        <v>-4.8342455432999998</v>
      </c>
      <c r="H24" s="312">
        <v>-10843549.617000001</v>
      </c>
      <c r="I24" s="312">
        <v>1961691.135</v>
      </c>
      <c r="J24" s="313">
        <v>-6.5276538817</v>
      </c>
    </row>
    <row r="25" spans="1:13">
      <c r="A25" s="309" t="s">
        <v>124</v>
      </c>
      <c r="B25" s="314">
        <v>22039666.927855998</v>
      </c>
      <c r="C25" s="314">
        <v>21559740.951954</v>
      </c>
      <c r="D25" s="315">
        <v>2.22602849E-2</v>
      </c>
      <c r="E25" s="314">
        <v>140331738.623438</v>
      </c>
      <c r="F25" s="314">
        <v>142072843.490098</v>
      </c>
      <c r="G25" s="315">
        <v>-1.22550153E-2</v>
      </c>
      <c r="H25" s="314">
        <v>240750478.54364201</v>
      </c>
      <c r="I25" s="314">
        <v>242763626.62110999</v>
      </c>
      <c r="J25" s="315">
        <v>-8.2926265000000006E-3</v>
      </c>
    </row>
    <row r="31" spans="1:13">
      <c r="A31" s="105" t="s">
        <v>56</v>
      </c>
      <c r="B31" s="164"/>
      <c r="C31" s="164"/>
      <c r="D31" s="164"/>
      <c r="E31" s="165"/>
      <c r="F31" s="165"/>
    </row>
    <row r="32" spans="1:13">
      <c r="A32" s="106"/>
      <c r="B32" s="89" t="s">
        <v>57</v>
      </c>
      <c r="C32" s="89" t="s">
        <v>14</v>
      </c>
      <c r="D32" s="107"/>
      <c r="E32" s="169"/>
      <c r="F32" s="170" t="s">
        <v>14</v>
      </c>
      <c r="I32" s="44"/>
    </row>
    <row r="33" spans="1:9">
      <c r="A33" s="131" t="s">
        <v>81</v>
      </c>
      <c r="B33" s="127">
        <f>VLOOKUP(A33,L$7:M$21,2,FALSE)</f>
        <v>3331.4</v>
      </c>
      <c r="C33" s="109">
        <f>B33/$B$46*100</f>
        <v>3.0226926348288439</v>
      </c>
      <c r="D33" s="107"/>
      <c r="E33" s="167" t="s">
        <v>16</v>
      </c>
      <c r="F33" s="168">
        <f>SUM(C33:C39)</f>
        <v>40.387993359756123</v>
      </c>
      <c r="I33" s="44"/>
    </row>
    <row r="34" spans="1:9">
      <c r="A34" s="108" t="s">
        <v>3</v>
      </c>
      <c r="B34" s="127">
        <f t="shared" ref="B34:B45" si="0">VLOOKUP(A34,L$7:M$21,2,FALSE)</f>
        <v>7117.29</v>
      </c>
      <c r="C34" s="109">
        <f t="shared" ref="C34:C45" si="1">B34/$B$46*100</f>
        <v>6.457759519403548</v>
      </c>
      <c r="D34" s="107"/>
      <c r="E34" s="171" t="s">
        <v>17</v>
      </c>
      <c r="F34" s="172">
        <f>SUM(C40:C45)</f>
        <v>59.612006640243884</v>
      </c>
      <c r="I34" s="44"/>
    </row>
    <row r="35" spans="1:9">
      <c r="A35" s="108" t="s">
        <v>4</v>
      </c>
      <c r="B35" s="127">
        <f t="shared" si="0"/>
        <v>3522.9250000000002</v>
      </c>
      <c r="C35" s="109">
        <f t="shared" si="1"/>
        <v>3.1964697876431547</v>
      </c>
      <c r="D35" s="107"/>
      <c r="E35" s="165"/>
      <c r="F35" s="165"/>
      <c r="I35" s="44"/>
    </row>
    <row r="36" spans="1:9">
      <c r="A36" s="108" t="s">
        <v>11</v>
      </c>
      <c r="B36" s="127">
        <f t="shared" si="0"/>
        <v>24561.845000000001</v>
      </c>
      <c r="C36" s="109">
        <f t="shared" si="1"/>
        <v>22.285798156723203</v>
      </c>
      <c r="D36" s="107"/>
      <c r="E36" s="165"/>
      <c r="F36" s="165"/>
      <c r="I36" s="44"/>
    </row>
    <row r="37" spans="1:9">
      <c r="A37" s="108" t="s">
        <v>9</v>
      </c>
      <c r="B37" s="127">
        <f t="shared" si="0"/>
        <v>5588.4695000000002</v>
      </c>
      <c r="C37" s="109">
        <f t="shared" si="1"/>
        <v>5.0706086322914192</v>
      </c>
      <c r="D37" s="107"/>
      <c r="E37" s="165"/>
      <c r="F37" s="165"/>
      <c r="I37" s="44"/>
    </row>
    <row r="38" spans="1:9">
      <c r="A38" s="108" t="s">
        <v>197</v>
      </c>
      <c r="B38" s="127">
        <f t="shared" si="0"/>
        <v>7.95</v>
      </c>
      <c r="C38" s="109">
        <f t="shared" si="1"/>
        <v>7.2133056513445735E-3</v>
      </c>
      <c r="D38" s="107"/>
      <c r="E38" s="165"/>
      <c r="F38" s="165"/>
      <c r="I38" s="44"/>
    </row>
    <row r="39" spans="1:9">
      <c r="A39" s="108" t="s">
        <v>70</v>
      </c>
      <c r="B39" s="127">
        <f t="shared" si="0"/>
        <v>382.93650000000002</v>
      </c>
      <c r="C39" s="109">
        <f t="shared" si="1"/>
        <v>0.3474513232146052</v>
      </c>
      <c r="D39" s="107"/>
      <c r="E39" s="165"/>
      <c r="F39" s="165"/>
      <c r="I39" s="44"/>
    </row>
    <row r="40" spans="1:9">
      <c r="A40" s="108" t="s">
        <v>69</v>
      </c>
      <c r="B40" s="127">
        <f t="shared" si="0"/>
        <v>131.6275</v>
      </c>
      <c r="C40" s="109">
        <f t="shared" si="1"/>
        <v>0.11943011190218336</v>
      </c>
      <c r="D40" s="107"/>
      <c r="E40" s="165"/>
      <c r="F40" s="165"/>
      <c r="I40" s="44"/>
    </row>
    <row r="41" spans="1:9">
      <c r="A41" s="108" t="s">
        <v>5</v>
      </c>
      <c r="B41" s="127">
        <f>VLOOKUP(A41,L$7:M$21,2,FALSE)</f>
        <v>28910.708500000001</v>
      </c>
      <c r="C41" s="109">
        <f t="shared" si="1"/>
        <v>26.231670063827117</v>
      </c>
      <c r="D41" s="107"/>
      <c r="E41" s="165"/>
      <c r="F41" s="165"/>
      <c r="I41" s="44"/>
    </row>
    <row r="42" spans="1:9">
      <c r="A42" s="108" t="s">
        <v>2</v>
      </c>
      <c r="B42" s="127">
        <f t="shared" si="0"/>
        <v>17092.603029999998</v>
      </c>
      <c r="C42" s="109">
        <f t="shared" si="1"/>
        <v>15.508700633017403</v>
      </c>
      <c r="D42" s="107"/>
      <c r="E42" s="165"/>
      <c r="F42" s="165"/>
      <c r="I42" s="44"/>
    </row>
    <row r="43" spans="1:9">
      <c r="A43" s="108" t="s">
        <v>6</v>
      </c>
      <c r="B43" s="127">
        <f t="shared" si="0"/>
        <v>16174.384241</v>
      </c>
      <c r="C43" s="109">
        <f t="shared" si="1"/>
        <v>14.675569465738855</v>
      </c>
      <c r="D43" s="107"/>
      <c r="E43" s="165"/>
      <c r="F43" s="165"/>
      <c r="I43" s="44"/>
    </row>
    <row r="44" spans="1:9">
      <c r="A44" s="108" t="s">
        <v>7</v>
      </c>
      <c r="B44" s="127">
        <f t="shared" si="0"/>
        <v>2304.0129999999999</v>
      </c>
      <c r="C44" s="109">
        <f t="shared" si="1"/>
        <v>2.0905094331662091</v>
      </c>
      <c r="D44" s="107"/>
      <c r="E44" s="165"/>
      <c r="F44" s="165"/>
    </row>
    <row r="45" spans="1:9">
      <c r="A45" s="108" t="s">
        <v>8</v>
      </c>
      <c r="B45" s="127">
        <f t="shared" si="0"/>
        <v>1086.8399999999999</v>
      </c>
      <c r="C45" s="109">
        <f t="shared" si="1"/>
        <v>0.98612693259211759</v>
      </c>
      <c r="E45" s="165"/>
      <c r="F45" s="165"/>
    </row>
    <row r="46" spans="1:9">
      <c r="A46" s="110" t="s">
        <v>15</v>
      </c>
      <c r="B46" s="128">
        <f>SUM(B33:B45)</f>
        <v>110212.992271</v>
      </c>
      <c r="C46" s="111">
        <f>SUM(C33:C45)</f>
        <v>100</v>
      </c>
      <c r="D46" s="107" t="str">
        <f>CONCATENATE(TEXT(B46,"#.##0")," MW")</f>
        <v>110.213 MW</v>
      </c>
    </row>
    <row r="48" spans="1:9">
      <c r="A48" s="105" t="s">
        <v>59</v>
      </c>
      <c r="B48" s="164"/>
      <c r="C48" s="164"/>
      <c r="D48" s="164"/>
      <c r="E48" s="165"/>
      <c r="F48" s="165"/>
    </row>
    <row r="49" spans="1:10">
      <c r="A49" s="106"/>
      <c r="B49" s="89" t="s">
        <v>0</v>
      </c>
      <c r="C49" s="89" t="s">
        <v>14</v>
      </c>
      <c r="D49" s="107"/>
      <c r="E49" s="169"/>
      <c r="F49" s="170" t="s">
        <v>14</v>
      </c>
    </row>
    <row r="50" spans="1:10">
      <c r="A50" s="131" t="s">
        <v>81</v>
      </c>
      <c r="B50" s="173">
        <f>VLOOKUP(A33,A$8:B$22,2,FALSE)/1000</f>
        <v>216.61761801999998</v>
      </c>
      <c r="C50" s="109">
        <f t="shared" ref="C50:C61" si="2">B50/$B$62*100</f>
        <v>0.86844303448779092</v>
      </c>
      <c r="D50" s="129"/>
      <c r="E50" s="167" t="s">
        <v>16</v>
      </c>
      <c r="F50" s="168">
        <f>SUM(C50:C55)</f>
        <v>60.562883445503516</v>
      </c>
      <c r="G50" s="168"/>
      <c r="J50" s="44"/>
    </row>
    <row r="51" spans="1:10">
      <c r="A51" s="108" t="s">
        <v>3</v>
      </c>
      <c r="B51" s="173">
        <f t="shared" ref="B51:B54" si="3">VLOOKUP(A34,A$8:B$22,2,FALSE)/1000</f>
        <v>5073.1541569999999</v>
      </c>
      <c r="C51" s="109">
        <f t="shared" si="2"/>
        <v>20.338813762242804</v>
      </c>
      <c r="D51" s="129"/>
      <c r="E51" s="171" t="s">
        <v>17</v>
      </c>
      <c r="F51" s="172">
        <f>SUM(C56:C61)</f>
        <v>39.437116554496477</v>
      </c>
      <c r="J51" s="44"/>
    </row>
    <row r="52" spans="1:10">
      <c r="A52" s="108" t="s">
        <v>4</v>
      </c>
      <c r="B52" s="173">
        <f t="shared" si="3"/>
        <v>832.23787000000004</v>
      </c>
      <c r="C52" s="109">
        <f t="shared" si="2"/>
        <v>3.3365300008595105</v>
      </c>
      <c r="D52" s="129"/>
      <c r="E52" s="165"/>
      <c r="F52" s="165"/>
      <c r="J52" s="44"/>
    </row>
    <row r="53" spans="1:10">
      <c r="A53" s="108" t="s">
        <v>11</v>
      </c>
      <c r="B53" s="173">
        <f t="shared" si="3"/>
        <v>7767.8468700000003</v>
      </c>
      <c r="C53" s="109">
        <f t="shared" si="2"/>
        <v>31.142123013265</v>
      </c>
      <c r="D53" s="129"/>
      <c r="E53" s="165"/>
      <c r="F53" s="165"/>
      <c r="J53" s="44"/>
    </row>
    <row r="54" spans="1:10">
      <c r="A54" s="108" t="s">
        <v>9</v>
      </c>
      <c r="B54" s="173">
        <f t="shared" si="3"/>
        <v>1052.153912</v>
      </c>
      <c r="C54" s="109">
        <f t="shared" si="2"/>
        <v>4.2181967673613521</v>
      </c>
      <c r="D54" s="129"/>
      <c r="E54" s="165"/>
      <c r="F54" s="166"/>
      <c r="J54" s="44"/>
    </row>
    <row r="55" spans="1:10">
      <c r="A55" s="108" t="s">
        <v>70</v>
      </c>
      <c r="B55" s="173">
        <f t="shared" ref="B55:B61" si="4">VLOOKUP(A39,A$8:B$22,2,FALSE)/1000</f>
        <v>164.320134</v>
      </c>
      <c r="C55" s="109">
        <f t="shared" si="2"/>
        <v>0.6587768672870592</v>
      </c>
      <c r="D55" s="129"/>
      <c r="E55" s="165"/>
      <c r="F55" s="165"/>
      <c r="J55" s="44"/>
    </row>
    <row r="56" spans="1:10">
      <c r="A56" s="108" t="s">
        <v>69</v>
      </c>
      <c r="B56" s="173">
        <f t="shared" si="4"/>
        <v>59.032142</v>
      </c>
      <c r="C56" s="109">
        <f t="shared" si="2"/>
        <v>0.23666612623383593</v>
      </c>
      <c r="D56" s="129"/>
      <c r="E56" s="165"/>
      <c r="F56" s="165"/>
      <c r="J56" s="44"/>
    </row>
    <row r="57" spans="1:10">
      <c r="A57" s="108" t="s">
        <v>5</v>
      </c>
      <c r="B57" s="173">
        <f t="shared" si="4"/>
        <v>4381.3838820000001</v>
      </c>
      <c r="C57" s="109">
        <f t="shared" si="2"/>
        <v>17.565433266783817</v>
      </c>
      <c r="D57" s="129"/>
      <c r="E57" s="165"/>
      <c r="F57" s="165"/>
      <c r="J57" s="44"/>
    </row>
    <row r="58" spans="1:10">
      <c r="A58" s="108" t="s">
        <v>2</v>
      </c>
      <c r="B58" s="173">
        <f t="shared" si="4"/>
        <v>1041.456428836</v>
      </c>
      <c r="C58" s="109">
        <f t="shared" si="2"/>
        <v>4.1753094213308533</v>
      </c>
      <c r="D58" s="129"/>
      <c r="E58" s="165"/>
      <c r="F58" s="165"/>
      <c r="J58" s="44"/>
    </row>
    <row r="59" spans="1:10">
      <c r="A59" s="108" t="s">
        <v>6</v>
      </c>
      <c r="B59" s="173">
        <f t="shared" si="4"/>
        <v>3279.3319849999998</v>
      </c>
      <c r="C59" s="109">
        <f t="shared" si="2"/>
        <v>13.147190178609236</v>
      </c>
      <c r="D59" s="129"/>
      <c r="E59" s="165"/>
      <c r="F59" s="165"/>
      <c r="J59" s="44"/>
    </row>
    <row r="60" spans="1:10">
      <c r="A60" s="108" t="s">
        <v>7</v>
      </c>
      <c r="B60" s="173">
        <f t="shared" si="4"/>
        <v>667.23557600000004</v>
      </c>
      <c r="C60" s="109">
        <f t="shared" si="2"/>
        <v>2.6750182816900363</v>
      </c>
      <c r="D60" s="129"/>
      <c r="E60" s="165"/>
      <c r="F60" s="165"/>
      <c r="J60" s="44"/>
    </row>
    <row r="61" spans="1:10">
      <c r="A61" s="108" t="s">
        <v>8</v>
      </c>
      <c r="B61" s="173">
        <f t="shared" si="4"/>
        <v>408.444975</v>
      </c>
      <c r="C61" s="109">
        <f t="shared" si="2"/>
        <v>1.6374992798486958</v>
      </c>
      <c r="D61" s="129"/>
      <c r="E61" s="165"/>
      <c r="F61" s="165"/>
      <c r="J61" s="44"/>
    </row>
    <row r="62" spans="1:10">
      <c r="A62" s="110" t="s">
        <v>15</v>
      </c>
      <c r="B62" s="128">
        <f>SUM(B50:B61)</f>
        <v>24943.215549856002</v>
      </c>
      <c r="C62" s="111">
        <f>SUM(C50:C61)</f>
        <v>100</v>
      </c>
      <c r="D62" s="165"/>
      <c r="E62" s="165"/>
      <c r="F62" s="165"/>
    </row>
    <row r="66" spans="1:8">
      <c r="A66" s="174" t="s">
        <v>31</v>
      </c>
      <c r="B66" s="324" t="s">
        <v>232</v>
      </c>
      <c r="G66" s="174" t="s">
        <v>31</v>
      </c>
      <c r="H66" s="324" t="s">
        <v>185</v>
      </c>
    </row>
    <row r="67" spans="1:8">
      <c r="A67" s="174" t="s">
        <v>106</v>
      </c>
      <c r="B67" s="175" t="s">
        <v>109</v>
      </c>
      <c r="G67" s="174" t="s">
        <v>106</v>
      </c>
      <c r="H67" s="175" t="s">
        <v>109</v>
      </c>
    </row>
    <row r="68" spans="1:8">
      <c r="A68" s="174" t="s">
        <v>110</v>
      </c>
      <c r="B68" s="176"/>
      <c r="G68" s="174" t="s">
        <v>111</v>
      </c>
      <c r="H68" s="176"/>
    </row>
    <row r="69" spans="1:8">
      <c r="A69" s="308" t="s">
        <v>2</v>
      </c>
      <c r="B69" s="177">
        <v>27.860362311999999</v>
      </c>
      <c r="G69" s="308" t="s">
        <v>2</v>
      </c>
      <c r="H69" s="177">
        <v>121.007533024</v>
      </c>
    </row>
    <row r="70" spans="1:8">
      <c r="A70" s="308" t="s">
        <v>81</v>
      </c>
      <c r="B70" s="177">
        <v>4.9951253659999999</v>
      </c>
      <c r="G70" s="308" t="s">
        <v>81</v>
      </c>
      <c r="H70" s="177">
        <v>5.3139561840000002</v>
      </c>
    </row>
    <row r="71" spans="1:8">
      <c r="A71" s="308" t="s">
        <v>3</v>
      </c>
      <c r="B71" s="177">
        <v>166.12173999999999</v>
      </c>
      <c r="G71" s="308" t="s">
        <v>3</v>
      </c>
      <c r="H71" s="177">
        <v>133.41947400000001</v>
      </c>
    </row>
    <row r="72" spans="1:8">
      <c r="A72" s="308" t="s">
        <v>4</v>
      </c>
      <c r="B72" s="177">
        <v>30.845268999999998</v>
      </c>
      <c r="G72" s="308" t="s">
        <v>4</v>
      </c>
      <c r="H72" s="177">
        <v>-0.45725399999999999</v>
      </c>
    </row>
    <row r="73" spans="1:8">
      <c r="A73" s="308" t="s">
        <v>95</v>
      </c>
      <c r="B73" s="177">
        <v>0</v>
      </c>
      <c r="G73" s="308" t="s">
        <v>95</v>
      </c>
      <c r="H73" s="177">
        <v>0</v>
      </c>
    </row>
    <row r="74" spans="1:8">
      <c r="A74" s="308" t="s">
        <v>11</v>
      </c>
      <c r="B74" s="177">
        <v>123.741721</v>
      </c>
      <c r="G74" s="308" t="s">
        <v>11</v>
      </c>
      <c r="H74" s="177">
        <v>22.139078999999999</v>
      </c>
    </row>
    <row r="75" spans="1:8">
      <c r="A75" s="308" t="s">
        <v>5</v>
      </c>
      <c r="B75" s="177">
        <v>256.58077900000001</v>
      </c>
      <c r="G75" s="308" t="s">
        <v>5</v>
      </c>
      <c r="H75" s="177">
        <v>378.94424199999997</v>
      </c>
    </row>
    <row r="76" spans="1:8">
      <c r="A76" s="308" t="s">
        <v>6</v>
      </c>
      <c r="B76" s="177">
        <v>113.978488</v>
      </c>
      <c r="G76" s="308" t="s">
        <v>6</v>
      </c>
      <c r="H76" s="177">
        <v>28.244374000000001</v>
      </c>
    </row>
    <row r="77" spans="1:8">
      <c r="A77" s="308" t="s">
        <v>7</v>
      </c>
      <c r="B77" s="177">
        <v>24.584816</v>
      </c>
      <c r="G77" s="308" t="s">
        <v>7</v>
      </c>
      <c r="H77" s="177">
        <v>1.316433</v>
      </c>
    </row>
    <row r="78" spans="1:8">
      <c r="A78" s="308" t="s">
        <v>8</v>
      </c>
      <c r="B78" s="177">
        <v>12.977625</v>
      </c>
      <c r="G78" s="308" t="s">
        <v>8</v>
      </c>
      <c r="H78" s="177">
        <v>13.719782</v>
      </c>
    </row>
    <row r="79" spans="1:8">
      <c r="A79" s="308" t="s">
        <v>9</v>
      </c>
      <c r="B79" s="177">
        <v>35.967416999999998</v>
      </c>
      <c r="G79" s="308" t="s">
        <v>9</v>
      </c>
      <c r="H79" s="177">
        <v>56.536898000000001</v>
      </c>
    </row>
    <row r="80" spans="1:8">
      <c r="A80" s="308" t="s">
        <v>69</v>
      </c>
      <c r="B80" s="177">
        <v>1.873783</v>
      </c>
      <c r="G80" s="308" t="s">
        <v>69</v>
      </c>
      <c r="H80" s="177">
        <v>1.747736</v>
      </c>
    </row>
    <row r="81" spans="1:11">
      <c r="A81" s="308" t="s">
        <v>70</v>
      </c>
      <c r="B81" s="177">
        <v>5.0043379999999997</v>
      </c>
      <c r="G81" s="308" t="s">
        <v>70</v>
      </c>
      <c r="H81" s="177">
        <v>5.0778590000000001</v>
      </c>
    </row>
    <row r="82" spans="1:11">
      <c r="A82" s="309" t="s">
        <v>10</v>
      </c>
      <c r="B82" s="178">
        <v>804.53146367800002</v>
      </c>
      <c r="G82" s="309" t="s">
        <v>10</v>
      </c>
      <c r="H82" s="178">
        <v>767.01011220800001</v>
      </c>
    </row>
    <row r="83" spans="1:11">
      <c r="A83" s="308" t="s">
        <v>122</v>
      </c>
      <c r="B83" s="177">
        <v>-22.880794999999999</v>
      </c>
      <c r="G83" s="308" t="s">
        <v>122</v>
      </c>
      <c r="H83" s="177">
        <v>-65.728476000000001</v>
      </c>
    </row>
    <row r="84" spans="1:11">
      <c r="A84" s="308" t="s">
        <v>97</v>
      </c>
      <c r="B84" s="177">
        <v>-3.7007289999999999</v>
      </c>
      <c r="G84" s="308" t="s">
        <v>97</v>
      </c>
      <c r="H84" s="177">
        <v>-3.9743140000000001</v>
      </c>
    </row>
    <row r="85" spans="1:11">
      <c r="A85" s="308" t="s">
        <v>123</v>
      </c>
      <c r="B85" s="177">
        <v>-71.157480000000007</v>
      </c>
      <c r="G85" s="308" t="s">
        <v>123</v>
      </c>
      <c r="H85" s="177">
        <v>-58.300165</v>
      </c>
    </row>
    <row r="86" spans="1:11">
      <c r="A86" s="309" t="s">
        <v>124</v>
      </c>
      <c r="B86" s="178">
        <v>706.792459678</v>
      </c>
      <c r="G86" s="309" t="s">
        <v>124</v>
      </c>
      <c r="H86" s="178">
        <v>639.00715720799997</v>
      </c>
    </row>
    <row r="91" spans="1:11">
      <c r="B91" s="184" t="str">
        <f>"Mes " &amp;B66</f>
        <v>Mes 07/07/2022</v>
      </c>
      <c r="H91" s="184" t="str">
        <f>"Histórico " &amp;H66</f>
        <v>Histórico 30/01/2021</v>
      </c>
    </row>
    <row r="92" spans="1:11">
      <c r="A92" s="149" t="str">
        <f>"Estructura de generacion mensual de energía eléctrica peninsular " &amp; B66</f>
        <v>Estructura de generacion mensual de energía eléctrica peninsular 07/07/2022</v>
      </c>
      <c r="B92" s="164"/>
      <c r="C92" s="164"/>
      <c r="D92" s="164"/>
      <c r="E92" s="183" t="str">
        <f>CONCATENATE("Mes",CHAR(13),MID(A92,66,10))</f>
        <v>Mes_x000D_07/07/2022</v>
      </c>
      <c r="G92" s="149" t="str">
        <f>"Estructura de generacion mensual de energía eléctrica peninsular " &amp; H66</f>
        <v>Estructura de generacion mensual de energía eléctrica peninsular 30/01/2021</v>
      </c>
      <c r="H92" s="164"/>
      <c r="I92" s="164"/>
      <c r="J92" s="164"/>
      <c r="K92" s="164"/>
    </row>
    <row r="93" spans="1:11">
      <c r="A93" s="106"/>
      <c r="B93" s="89" t="s">
        <v>14</v>
      </c>
      <c r="C93" s="107"/>
      <c r="G93" s="106"/>
      <c r="H93" s="89" t="s">
        <v>14</v>
      </c>
      <c r="I93" s="107"/>
    </row>
    <row r="94" spans="1:11">
      <c r="A94" s="108" t="s">
        <v>81</v>
      </c>
      <c r="B94" s="182">
        <f>IF(B$72&lt;0,VLOOKUP(A94,A$69:B$84,2,FALSE)/SUM(B$69:B$71,B$73:B$81)*100,VLOOKUP(A94,A$69:B$84,2,FALSE)/VLOOKUP("Generación",A$69:B$84,2,FALSE)*100)</f>
        <v>0.62087383670046414</v>
      </c>
      <c r="C94" s="107"/>
      <c r="G94" s="108" t="s">
        <v>81</v>
      </c>
      <c r="H94" s="182">
        <f>VLOOKUP(G94,G$69:H$84,2,FALSE)/VLOOKUP("Generación",G$69:H$84,2,FALSE)*100</f>
        <v>0.6928143579101792</v>
      </c>
      <c r="I94" s="107"/>
    </row>
    <row r="95" spans="1:11">
      <c r="A95" s="108" t="s">
        <v>3</v>
      </c>
      <c r="B95" s="182">
        <f>IF(B$72&lt;0,VLOOKUP(A95,A$69:B$84,2,FALSE)/SUM(B$69:B$71,B$73:B$81)*100,VLOOKUP(A95,A$69:B$84,2,FALSE)/VLOOKUP("Generación",A$69:B$84,2,FALSE)*100)</f>
        <v>20.648258955660605</v>
      </c>
      <c r="C95" s="107"/>
      <c r="G95" s="108" t="s">
        <v>3</v>
      </c>
      <c r="H95" s="182">
        <f>VLOOKUP(G95,G$69:H$84,2,FALSE)/VLOOKUP("Generación",G$69:H$84,2,FALSE)*100</f>
        <v>17.394747719286773</v>
      </c>
      <c r="I95" s="107"/>
    </row>
    <row r="96" spans="1:11">
      <c r="A96" s="108" t="s">
        <v>4</v>
      </c>
      <c r="B96" s="182">
        <f>IF(B$72&lt;0,,VLOOKUP(A96,A$69:B$84,2,FALSE)/VLOOKUP("Generación",A$69:B$84,2,FALSE)*100)</f>
        <v>3.8339419143395106</v>
      </c>
      <c r="C96" s="107"/>
      <c r="D96" s="165"/>
      <c r="E96" s="165"/>
      <c r="G96" s="108" t="s">
        <v>4</v>
      </c>
      <c r="H96" s="182">
        <f>IF(H$72&lt;0,,VLOOKUP(G96,G$69:H$84,2,FALSE)/VLOOKUP("Generación",G$69:H$84,2,FALSE)*100)</f>
        <v>0</v>
      </c>
      <c r="I96" s="107"/>
      <c r="J96" s="165"/>
      <c r="K96" s="165"/>
    </row>
    <row r="97" spans="1:11">
      <c r="A97" s="108" t="s">
        <v>11</v>
      </c>
      <c r="B97" s="182">
        <f t="shared" ref="B97:B105" si="5">IF(B$72&lt;0,VLOOKUP(A97,A$69:B$84,2,FALSE)/SUM(B$69:B$71,B$73:B$81)*100,VLOOKUP(A97,A$69:B$84,2,FALSE)/VLOOKUP("Generación",A$69:B$84,2,FALSE)*100)</f>
        <v>15.380594369088033</v>
      </c>
      <c r="C97" s="107"/>
      <c r="D97" s="165"/>
      <c r="E97" s="165"/>
      <c r="G97" s="108" t="s">
        <v>11</v>
      </c>
      <c r="H97" s="182">
        <f t="shared" ref="H97:H105" si="6">VLOOKUP(G97,G$69:H$84,2,FALSE)/VLOOKUP("Generación",G$69:H$84,2,FALSE)*100</f>
        <v>2.8864129230666857</v>
      </c>
      <c r="I97" s="107"/>
      <c r="J97" s="165"/>
      <c r="K97" s="165"/>
    </row>
    <row r="98" spans="1:11">
      <c r="A98" s="108" t="s">
        <v>9</v>
      </c>
      <c r="B98" s="182">
        <f t="shared" si="5"/>
        <v>4.4706041495967321</v>
      </c>
      <c r="C98" s="107"/>
      <c r="D98" s="107"/>
      <c r="E98" s="107"/>
      <c r="G98" s="108" t="s">
        <v>9</v>
      </c>
      <c r="H98" s="182">
        <f t="shared" si="6"/>
        <v>7.3710759610778336</v>
      </c>
      <c r="I98" s="107"/>
      <c r="J98" s="107"/>
      <c r="K98" s="107"/>
    </row>
    <row r="99" spans="1:11">
      <c r="A99" s="108" t="s">
        <v>70</v>
      </c>
      <c r="B99" s="182">
        <f t="shared" si="5"/>
        <v>0.62201892976592155</v>
      </c>
      <c r="C99" s="107"/>
      <c r="D99" s="107"/>
      <c r="E99" s="107"/>
      <c r="G99" s="108" t="s">
        <v>70</v>
      </c>
      <c r="H99" s="182">
        <f t="shared" si="6"/>
        <v>0.66203286230246883</v>
      </c>
      <c r="I99" s="107"/>
      <c r="J99" s="107"/>
      <c r="K99" s="107"/>
    </row>
    <row r="100" spans="1:11">
      <c r="A100" s="108" t="s">
        <v>69</v>
      </c>
      <c r="B100" s="182">
        <f t="shared" si="5"/>
        <v>0.23290363206353726</v>
      </c>
      <c r="C100" s="107"/>
      <c r="D100" s="107"/>
      <c r="E100" s="107"/>
      <c r="G100" s="108" t="s">
        <v>69</v>
      </c>
      <c r="H100" s="182">
        <f t="shared" si="6"/>
        <v>0.22786348865320355</v>
      </c>
      <c r="I100" s="107"/>
      <c r="J100" s="107"/>
      <c r="K100" s="107"/>
    </row>
    <row r="101" spans="1:11">
      <c r="A101" s="108" t="s">
        <v>5</v>
      </c>
      <c r="B101" s="182">
        <f t="shared" si="5"/>
        <v>31.891950853856489</v>
      </c>
      <c r="C101" s="107"/>
      <c r="D101" s="107"/>
      <c r="E101" s="107"/>
      <c r="G101" s="108" t="s">
        <v>5</v>
      </c>
      <c r="H101" s="182">
        <f t="shared" si="6"/>
        <v>49.40537757828632</v>
      </c>
      <c r="I101" s="107"/>
      <c r="J101" s="107"/>
      <c r="K101" s="107"/>
    </row>
    <row r="102" spans="1:11">
      <c r="A102" s="108" t="s">
        <v>2</v>
      </c>
      <c r="B102" s="182">
        <f t="shared" si="5"/>
        <v>3.4629301114754951</v>
      </c>
      <c r="C102" s="107"/>
      <c r="D102" s="107"/>
      <c r="E102" s="107"/>
      <c r="G102" s="108" t="s">
        <v>2</v>
      </c>
      <c r="H102" s="182">
        <f t="shared" si="6"/>
        <v>15.776523816049092</v>
      </c>
      <c r="I102" s="107"/>
      <c r="J102" s="107"/>
      <c r="K102" s="107"/>
    </row>
    <row r="103" spans="1:11">
      <c r="A103" s="108" t="s">
        <v>6</v>
      </c>
      <c r="B103" s="182">
        <f t="shared" si="5"/>
        <v>14.167064079624106</v>
      </c>
      <c r="C103" s="107"/>
      <c r="D103" s="107"/>
      <c r="E103" s="107"/>
      <c r="G103" s="108" t="s">
        <v>6</v>
      </c>
      <c r="H103" s="182">
        <f t="shared" si="6"/>
        <v>3.6823991692485811</v>
      </c>
      <c r="I103" s="107"/>
      <c r="J103" s="107"/>
      <c r="K103" s="107"/>
    </row>
    <row r="104" spans="1:11">
      <c r="A104" s="108" t="s">
        <v>7</v>
      </c>
      <c r="B104" s="182">
        <f t="shared" si="5"/>
        <v>3.0557929813717832</v>
      </c>
      <c r="C104" s="107"/>
      <c r="D104" s="107"/>
      <c r="E104" s="107"/>
      <c r="G104" s="108" t="s">
        <v>7</v>
      </c>
      <c r="H104" s="182">
        <f t="shared" si="6"/>
        <v>0.17163176587207835</v>
      </c>
      <c r="I104" s="107"/>
      <c r="J104" s="107"/>
      <c r="K104" s="107"/>
    </row>
    <row r="105" spans="1:11">
      <c r="A105" s="108" t="s">
        <v>8</v>
      </c>
      <c r="B105" s="182">
        <f t="shared" si="5"/>
        <v>1.6130661864573232</v>
      </c>
      <c r="C105" s="164"/>
      <c r="D105" s="164"/>
      <c r="E105" s="164"/>
      <c r="G105" s="108" t="s">
        <v>8</v>
      </c>
      <c r="H105" s="182">
        <f t="shared" si="6"/>
        <v>1.7887354784025886</v>
      </c>
      <c r="I105" s="165"/>
      <c r="J105" s="165"/>
      <c r="K105" s="165"/>
    </row>
    <row r="106" spans="1:11">
      <c r="A106" s="110" t="s">
        <v>15</v>
      </c>
      <c r="B106" s="111">
        <f>SUM(B94:B105)</f>
        <v>100</v>
      </c>
      <c r="C106" s="164"/>
      <c r="D106" s="164"/>
      <c r="E106" s="164"/>
      <c r="G106" s="110" t="s">
        <v>15</v>
      </c>
      <c r="H106" s="111">
        <f>SUM(H94:H105)</f>
        <v>100.0596151201558</v>
      </c>
      <c r="I106" s="165"/>
      <c r="J106" s="165"/>
      <c r="K106" s="165"/>
    </row>
    <row r="108" spans="1:11">
      <c r="A108" s="169"/>
      <c r="B108" s="170" t="s">
        <v>14</v>
      </c>
      <c r="G108" s="169"/>
      <c r="H108" s="170" t="s">
        <v>14</v>
      </c>
    </row>
    <row r="109" spans="1:11">
      <c r="A109" s="167" t="s">
        <v>16</v>
      </c>
      <c r="B109" s="168">
        <f>SUM(B94:B99)</f>
        <v>45.576292155151265</v>
      </c>
      <c r="G109" s="167" t="s">
        <v>16</v>
      </c>
      <c r="H109" s="168">
        <f>SUM(H94:H99)</f>
        <v>29.007083823643939</v>
      </c>
    </row>
    <row r="110" spans="1:11">
      <c r="A110" s="171" t="s">
        <v>17</v>
      </c>
      <c r="B110" s="172">
        <f>SUM(B100:B105)</f>
        <v>54.423707844848728</v>
      </c>
      <c r="G110" s="171" t="s">
        <v>17</v>
      </c>
      <c r="H110" s="172">
        <f>SUM(H100:H105)</f>
        <v>71.052531296511859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74" t="s">
        <v>105</v>
      </c>
      <c r="B115" s="342" t="s">
        <v>98</v>
      </c>
      <c r="C115" s="343"/>
      <c r="D115" s="343"/>
      <c r="E115" s="343"/>
      <c r="F115" s="343"/>
      <c r="G115" s="343"/>
      <c r="H115" s="343"/>
      <c r="I115" s="343"/>
      <c r="J115" s="343"/>
      <c r="K115" s="343"/>
      <c r="L115" s="343"/>
      <c r="M115" s="343"/>
      <c r="N115" s="343"/>
      <c r="O115" s="343"/>
      <c r="P115" s="343"/>
      <c r="Q115" s="343"/>
      <c r="R115" s="343"/>
      <c r="S115" s="343"/>
      <c r="T115" s="343"/>
      <c r="U115" s="343"/>
      <c r="V115" s="343"/>
      <c r="W115" s="343"/>
      <c r="X115" s="343"/>
      <c r="Y115" s="343"/>
      <c r="Z115" s="343"/>
    </row>
    <row r="116" spans="1:26">
      <c r="A116" s="174" t="s">
        <v>106</v>
      </c>
      <c r="B116" s="346" t="s">
        <v>109</v>
      </c>
      <c r="C116" s="347"/>
      <c r="D116" s="347"/>
      <c r="E116" s="347"/>
      <c r="F116" s="347"/>
      <c r="G116" s="347"/>
      <c r="H116" s="347"/>
      <c r="I116" s="347"/>
      <c r="J116" s="347"/>
      <c r="K116" s="347"/>
      <c r="L116" s="347"/>
      <c r="M116" s="347"/>
      <c r="N116" s="347"/>
      <c r="O116" s="347"/>
      <c r="P116" s="347"/>
      <c r="Q116" s="347"/>
      <c r="R116" s="347"/>
      <c r="S116" s="347"/>
      <c r="T116" s="347"/>
      <c r="U116" s="347"/>
      <c r="V116" s="347"/>
      <c r="W116" s="347"/>
      <c r="X116" s="347"/>
      <c r="Y116" s="347"/>
      <c r="Z116" s="347"/>
    </row>
    <row r="117" spans="1:26">
      <c r="A117" s="179" t="s">
        <v>30</v>
      </c>
      <c r="B117" s="324" t="s">
        <v>178</v>
      </c>
      <c r="C117" s="324" t="s">
        <v>179</v>
      </c>
      <c r="D117" s="324" t="s">
        <v>180</v>
      </c>
      <c r="E117" s="324" t="s">
        <v>181</v>
      </c>
      <c r="F117" s="324" t="s">
        <v>182</v>
      </c>
      <c r="G117" s="324" t="s">
        <v>183</v>
      </c>
      <c r="H117" s="324" t="s">
        <v>184</v>
      </c>
      <c r="I117" s="324" t="s">
        <v>186</v>
      </c>
      <c r="J117" s="324" t="s">
        <v>187</v>
      </c>
      <c r="K117" s="324" t="s">
        <v>189</v>
      </c>
      <c r="L117" s="324" t="s">
        <v>191</v>
      </c>
      <c r="M117" s="324" t="s">
        <v>193</v>
      </c>
      <c r="N117" s="324" t="s">
        <v>198</v>
      </c>
      <c r="O117" s="324" t="s">
        <v>199</v>
      </c>
      <c r="P117" s="324" t="s">
        <v>201</v>
      </c>
      <c r="Q117" s="324" t="s">
        <v>202</v>
      </c>
      <c r="R117" s="324" t="s">
        <v>203</v>
      </c>
      <c r="S117" s="324" t="s">
        <v>204</v>
      </c>
      <c r="T117" s="324" t="s">
        <v>207</v>
      </c>
      <c r="U117" s="324" t="s">
        <v>216</v>
      </c>
      <c r="V117" s="324" t="s">
        <v>217</v>
      </c>
      <c r="W117" s="324" t="s">
        <v>218</v>
      </c>
      <c r="X117" s="324" t="s">
        <v>221</v>
      </c>
      <c r="Y117" s="324" t="s">
        <v>225</v>
      </c>
      <c r="Z117" s="324" t="s">
        <v>226</v>
      </c>
    </row>
    <row r="118" spans="1:26">
      <c r="A118" s="174" t="s">
        <v>107</v>
      </c>
      <c r="B118" s="310"/>
      <c r="C118" s="310"/>
      <c r="D118" s="310"/>
      <c r="E118" s="310"/>
      <c r="F118" s="310"/>
      <c r="G118" s="310"/>
      <c r="H118" s="310"/>
      <c r="I118" s="310"/>
      <c r="J118" s="310"/>
      <c r="K118" s="310"/>
      <c r="L118" s="310"/>
      <c r="M118" s="310"/>
      <c r="N118" s="310"/>
      <c r="O118" s="310"/>
      <c r="P118" s="310"/>
      <c r="Q118" s="310"/>
      <c r="R118" s="310"/>
      <c r="S118" s="310"/>
      <c r="T118" s="310"/>
      <c r="U118" s="310"/>
      <c r="V118" s="310"/>
      <c r="W118" s="310"/>
      <c r="X118" s="310"/>
      <c r="Y118" s="310"/>
      <c r="Z118" s="310"/>
    </row>
    <row r="119" spans="1:26">
      <c r="A119" s="308" t="s">
        <v>2</v>
      </c>
      <c r="B119" s="177">
        <v>1837.7447382079999</v>
      </c>
      <c r="C119" s="177">
        <v>1889.222701444</v>
      </c>
      <c r="D119" s="177">
        <v>1671.404721372</v>
      </c>
      <c r="E119" s="177">
        <v>1905.510075942</v>
      </c>
      <c r="F119" s="177">
        <v>2463.028327296</v>
      </c>
      <c r="G119" s="177">
        <v>3191.9843105479999</v>
      </c>
      <c r="H119" s="177">
        <v>4057.0491571819998</v>
      </c>
      <c r="I119" s="177">
        <v>4517.3439469479999</v>
      </c>
      <c r="J119" s="177">
        <v>3715.13373508</v>
      </c>
      <c r="K119" s="177">
        <v>2744.8811701320001</v>
      </c>
      <c r="L119" s="177">
        <v>2159.2153889599999</v>
      </c>
      <c r="M119" s="177">
        <v>2179.5249564280002</v>
      </c>
      <c r="N119" s="177">
        <v>2206.7799777780001</v>
      </c>
      <c r="O119" s="177">
        <v>1879.5875821039999</v>
      </c>
      <c r="P119" s="177">
        <v>1393.78333174</v>
      </c>
      <c r="Q119" s="177">
        <v>1021.4348056600001</v>
      </c>
      <c r="R119" s="177">
        <v>1193.7558425120001</v>
      </c>
      <c r="S119" s="177">
        <v>2523.893467504</v>
      </c>
      <c r="T119" s="177">
        <v>2053.5241761440002</v>
      </c>
      <c r="U119" s="177">
        <v>1145.6069011300001</v>
      </c>
      <c r="V119" s="177">
        <v>1763.8028711760001</v>
      </c>
      <c r="W119" s="177">
        <v>1779.2985286959999</v>
      </c>
      <c r="X119" s="177">
        <v>1918.4741703340001</v>
      </c>
      <c r="Y119" s="177">
        <v>1190.322507676</v>
      </c>
      <c r="Z119" s="177">
        <v>1041.456428836</v>
      </c>
    </row>
    <row r="120" spans="1:26">
      <c r="A120" s="308" t="s">
        <v>81</v>
      </c>
      <c r="B120" s="177">
        <v>167.16093403400001</v>
      </c>
      <c r="C120" s="177">
        <v>158.85512120000001</v>
      </c>
      <c r="D120" s="177">
        <v>187.66733834799999</v>
      </c>
      <c r="E120" s="177">
        <v>233.25786839</v>
      </c>
      <c r="F120" s="177">
        <v>206.00259686199999</v>
      </c>
      <c r="G120" s="177">
        <v>320.95558489799998</v>
      </c>
      <c r="H120" s="177">
        <v>320.531387408</v>
      </c>
      <c r="I120" s="177">
        <v>401.29321896599998</v>
      </c>
      <c r="J120" s="177">
        <v>330.79456254199999</v>
      </c>
      <c r="K120" s="177">
        <v>153.67971897199999</v>
      </c>
      <c r="L120" s="177">
        <v>238.70894406400001</v>
      </c>
      <c r="M120" s="177">
        <v>105.70565758799999</v>
      </c>
      <c r="N120" s="177">
        <v>115.791574032</v>
      </c>
      <c r="O120" s="177">
        <v>159.74251133199999</v>
      </c>
      <c r="P120" s="177">
        <v>118.239862456</v>
      </c>
      <c r="Q120" s="177">
        <v>232.11323870199999</v>
      </c>
      <c r="R120" s="177">
        <v>202.78682990199999</v>
      </c>
      <c r="S120" s="177">
        <v>269.90862404000001</v>
      </c>
      <c r="T120" s="177">
        <v>215.45218475999999</v>
      </c>
      <c r="U120" s="177">
        <v>285.08618899800001</v>
      </c>
      <c r="V120" s="177">
        <v>273.84815268400001</v>
      </c>
      <c r="W120" s="177">
        <v>336.71035219200002</v>
      </c>
      <c r="X120" s="177">
        <v>299.88006930400002</v>
      </c>
      <c r="Y120" s="177">
        <v>270.92395723800001</v>
      </c>
      <c r="Z120" s="177">
        <v>216.61761802000001</v>
      </c>
    </row>
    <row r="121" spans="1:26">
      <c r="A121" s="308" t="s">
        <v>3</v>
      </c>
      <c r="B121" s="177">
        <v>5159.0058550000003</v>
      </c>
      <c r="C121" s="177">
        <v>5151.9174220000004</v>
      </c>
      <c r="D121" s="177">
        <v>4871.2094020000004</v>
      </c>
      <c r="E121" s="177">
        <v>4530.2764660000003</v>
      </c>
      <c r="F121" s="177">
        <v>4639.700503</v>
      </c>
      <c r="G121" s="177">
        <v>5270.5322100000003</v>
      </c>
      <c r="H121" s="177">
        <v>5199.7405159999998</v>
      </c>
      <c r="I121" s="177">
        <v>4358.5151070000002</v>
      </c>
      <c r="J121" s="177">
        <v>4833.0650020000003</v>
      </c>
      <c r="K121" s="177">
        <v>4197.3329299999996</v>
      </c>
      <c r="L121" s="177">
        <v>4373.2505520000004</v>
      </c>
      <c r="M121" s="177">
        <v>3684.3838049999999</v>
      </c>
      <c r="N121" s="177">
        <v>5119.3289409999998</v>
      </c>
      <c r="O121" s="177">
        <v>5151.2435720000003</v>
      </c>
      <c r="P121" s="177">
        <v>4890.5065249999998</v>
      </c>
      <c r="Q121" s="177">
        <v>4748.3949460000003</v>
      </c>
      <c r="R121" s="177">
        <v>3562.3582710000001</v>
      </c>
      <c r="S121" s="177">
        <v>3922.855106</v>
      </c>
      <c r="T121" s="177">
        <v>5048.424951</v>
      </c>
      <c r="U121" s="177">
        <v>4771.058908</v>
      </c>
      <c r="V121" s="177">
        <v>4766.7915640000001</v>
      </c>
      <c r="W121" s="177">
        <v>4413.7242699999997</v>
      </c>
      <c r="X121" s="177">
        <v>4066.3553310000002</v>
      </c>
      <c r="Y121" s="177">
        <v>4459.4591659999996</v>
      </c>
      <c r="Z121" s="177">
        <v>5073.1541569999999</v>
      </c>
    </row>
    <row r="122" spans="1:26">
      <c r="A122" s="308" t="s">
        <v>4</v>
      </c>
      <c r="B122" s="177">
        <v>302.88836099999997</v>
      </c>
      <c r="C122" s="177">
        <v>338.292575</v>
      </c>
      <c r="D122" s="177">
        <v>282.41486099999997</v>
      </c>
      <c r="E122" s="177">
        <v>234.94852399999999</v>
      </c>
      <c r="F122" s="177">
        <v>336.17887100000002</v>
      </c>
      <c r="G122" s="177">
        <v>221.98997299999999</v>
      </c>
      <c r="H122" s="177">
        <v>558.50496999999996</v>
      </c>
      <c r="I122" s="177">
        <v>176.80514199999999</v>
      </c>
      <c r="J122" s="177">
        <v>242.790505</v>
      </c>
      <c r="K122" s="177">
        <v>270.69138700000002</v>
      </c>
      <c r="L122" s="177">
        <v>333.03452900000002</v>
      </c>
      <c r="M122" s="177">
        <v>431.99096700000001</v>
      </c>
      <c r="N122" s="177">
        <v>302.41718100000003</v>
      </c>
      <c r="O122" s="177">
        <v>320.34443199999998</v>
      </c>
      <c r="P122" s="177">
        <v>477.92579699999999</v>
      </c>
      <c r="Q122" s="177">
        <v>528.18759499999999</v>
      </c>
      <c r="R122" s="177">
        <v>577.43674399999998</v>
      </c>
      <c r="S122" s="177">
        <v>721.09479699999997</v>
      </c>
      <c r="T122" s="177">
        <v>710.59119999999996</v>
      </c>
      <c r="U122" s="177">
        <v>571.69617900000003</v>
      </c>
      <c r="V122" s="177">
        <v>705.89505599999995</v>
      </c>
      <c r="W122" s="177">
        <v>691.80370400000004</v>
      </c>
      <c r="X122" s="177">
        <v>528.38689499999998</v>
      </c>
      <c r="Y122" s="177">
        <v>804.07860300000004</v>
      </c>
      <c r="Z122" s="177">
        <v>832.23787000000004</v>
      </c>
    </row>
    <row r="123" spans="1:26">
      <c r="A123" s="308" t="s">
        <v>95</v>
      </c>
      <c r="B123" s="177">
        <v>0</v>
      </c>
      <c r="C123" s="177">
        <v>0</v>
      </c>
      <c r="D123" s="177">
        <v>0</v>
      </c>
      <c r="E123" s="177">
        <v>0</v>
      </c>
      <c r="F123" s="177">
        <v>0</v>
      </c>
      <c r="G123" s="177">
        <v>0</v>
      </c>
      <c r="H123" s="177">
        <v>0</v>
      </c>
      <c r="I123" s="177">
        <v>0</v>
      </c>
      <c r="J123" s="177">
        <v>0</v>
      </c>
      <c r="K123" s="177">
        <v>0</v>
      </c>
      <c r="L123" s="177">
        <v>0</v>
      </c>
      <c r="M123" s="177">
        <v>0</v>
      </c>
      <c r="N123" s="177">
        <v>-9.9999999999999995E-7</v>
      </c>
      <c r="O123" s="177">
        <v>0</v>
      </c>
      <c r="P123" s="177">
        <v>0</v>
      </c>
      <c r="Q123" s="177">
        <v>0</v>
      </c>
      <c r="R123" s="177">
        <v>0</v>
      </c>
      <c r="S123" s="177">
        <v>0</v>
      </c>
      <c r="T123" s="177">
        <v>0</v>
      </c>
      <c r="U123" s="177">
        <v>0</v>
      </c>
      <c r="V123" s="177">
        <v>0</v>
      </c>
      <c r="W123" s="177">
        <v>0</v>
      </c>
      <c r="X123" s="177">
        <v>0</v>
      </c>
      <c r="Y123" s="177">
        <v>0</v>
      </c>
      <c r="Z123" s="177">
        <v>0</v>
      </c>
    </row>
    <row r="124" spans="1:26">
      <c r="A124" s="308" t="s">
        <v>11</v>
      </c>
      <c r="B124" s="177">
        <v>5829.9045759999999</v>
      </c>
      <c r="C124" s="177">
        <v>5051.1759519999996</v>
      </c>
      <c r="D124" s="177">
        <v>4546.3016939999998</v>
      </c>
      <c r="E124" s="177">
        <v>2791.077628</v>
      </c>
      <c r="F124" s="177">
        <v>3221.2788070000001</v>
      </c>
      <c r="G124" s="177">
        <v>2564.8914709999999</v>
      </c>
      <c r="H124" s="177">
        <v>2188.3044850000001</v>
      </c>
      <c r="I124" s="177">
        <v>1086.83896</v>
      </c>
      <c r="J124" s="177">
        <v>1649.4169910000001</v>
      </c>
      <c r="K124" s="177">
        <v>2864.730763</v>
      </c>
      <c r="L124" s="177">
        <v>2004.7763130000001</v>
      </c>
      <c r="M124" s="177">
        <v>3136.247484</v>
      </c>
      <c r="N124" s="177">
        <v>3024.7339200000001</v>
      </c>
      <c r="O124" s="177">
        <v>3325.1556350000001</v>
      </c>
      <c r="P124" s="177">
        <v>4296.9849320000003</v>
      </c>
      <c r="Q124" s="177">
        <v>3806.271381</v>
      </c>
      <c r="R124" s="177">
        <v>5697.61654</v>
      </c>
      <c r="S124" s="177">
        <v>4499.7333719999997</v>
      </c>
      <c r="T124" s="177">
        <v>5197.395829</v>
      </c>
      <c r="U124" s="177">
        <v>4086.8628920000001</v>
      </c>
      <c r="V124" s="177">
        <v>3253.5901749999998</v>
      </c>
      <c r="W124" s="177">
        <v>2573.7803039999999</v>
      </c>
      <c r="X124" s="177">
        <v>3092.3859029999999</v>
      </c>
      <c r="Y124" s="177">
        <v>5827.5517829999999</v>
      </c>
      <c r="Z124" s="177">
        <v>7767.8468700000003</v>
      </c>
    </row>
    <row r="125" spans="1:26">
      <c r="A125" s="308" t="s">
        <v>5</v>
      </c>
      <c r="B125" s="177">
        <v>4101.0742440000004</v>
      </c>
      <c r="C125" s="177">
        <v>3509.000794</v>
      </c>
      <c r="D125" s="177">
        <v>3962.2042179999999</v>
      </c>
      <c r="E125" s="177">
        <v>5673.8364600000004</v>
      </c>
      <c r="F125" s="177">
        <v>4154.8920449999996</v>
      </c>
      <c r="G125" s="177">
        <v>7378.656806</v>
      </c>
      <c r="H125" s="177">
        <v>7019.2756399999998</v>
      </c>
      <c r="I125" s="177">
        <v>6236.045451</v>
      </c>
      <c r="J125" s="177">
        <v>5521.6295369999998</v>
      </c>
      <c r="K125" s="177">
        <v>4042.470217</v>
      </c>
      <c r="L125" s="177">
        <v>4620.8345870000003</v>
      </c>
      <c r="M125" s="177">
        <v>3533.4522769999999</v>
      </c>
      <c r="N125" s="177">
        <v>4122.6099919999997</v>
      </c>
      <c r="O125" s="177">
        <v>3598.5848070000002</v>
      </c>
      <c r="P125" s="177">
        <v>3123.0617010000001</v>
      </c>
      <c r="Q125" s="177">
        <v>4231.9807010000004</v>
      </c>
      <c r="R125" s="177">
        <v>6320.8397629999999</v>
      </c>
      <c r="S125" s="177">
        <v>6813.1904430000004</v>
      </c>
      <c r="T125" s="177">
        <v>5352.3559729999997</v>
      </c>
      <c r="U125" s="177">
        <v>4621.4652409999999</v>
      </c>
      <c r="V125" s="177">
        <v>6418.3320880000001</v>
      </c>
      <c r="W125" s="177">
        <v>5534.8026630000004</v>
      </c>
      <c r="X125" s="177">
        <v>4570.5633260000004</v>
      </c>
      <c r="Y125" s="177">
        <v>3629.2420929999998</v>
      </c>
      <c r="Z125" s="177">
        <v>4381.3838820000001</v>
      </c>
    </row>
    <row r="126" spans="1:26">
      <c r="A126" s="308" t="s">
        <v>6</v>
      </c>
      <c r="B126" s="177">
        <v>1863.4338660000001</v>
      </c>
      <c r="C126" s="177">
        <v>1779.0468550000001</v>
      </c>
      <c r="D126" s="177">
        <v>1428.9023930000001</v>
      </c>
      <c r="E126" s="177">
        <v>1285.2068999999999</v>
      </c>
      <c r="F126" s="177">
        <v>790.714696</v>
      </c>
      <c r="G126" s="177">
        <v>720.75091599999996</v>
      </c>
      <c r="H126" s="177">
        <v>823.16130999999996</v>
      </c>
      <c r="I126" s="177">
        <v>946.13526300000001</v>
      </c>
      <c r="J126" s="177">
        <v>1650.9516610000001</v>
      </c>
      <c r="K126" s="177">
        <v>1628.091469</v>
      </c>
      <c r="L126" s="177">
        <v>2339.523584</v>
      </c>
      <c r="M126" s="177">
        <v>2277.9588039999999</v>
      </c>
      <c r="N126" s="177">
        <v>2565.0792649999999</v>
      </c>
      <c r="O126" s="177">
        <v>2343.78982</v>
      </c>
      <c r="P126" s="177">
        <v>1881.431521</v>
      </c>
      <c r="Q126" s="177">
        <v>1732.6711969999999</v>
      </c>
      <c r="R126" s="177">
        <v>1320.8873840000001</v>
      </c>
      <c r="S126" s="177">
        <v>993.85091399999999</v>
      </c>
      <c r="T126" s="177">
        <v>1534.160668</v>
      </c>
      <c r="U126" s="177">
        <v>1653.6707039999999</v>
      </c>
      <c r="V126" s="177">
        <v>1416.057168</v>
      </c>
      <c r="W126" s="177">
        <v>2530.8183819999999</v>
      </c>
      <c r="X126" s="177">
        <v>3311.8440599999999</v>
      </c>
      <c r="Y126" s="177">
        <v>3144.0390179999999</v>
      </c>
      <c r="Z126" s="177">
        <v>3279.3319849999998</v>
      </c>
    </row>
    <row r="127" spans="1:26">
      <c r="A127" s="308" t="s">
        <v>7</v>
      </c>
      <c r="B127" s="177">
        <v>796.17204200000003</v>
      </c>
      <c r="C127" s="177">
        <v>744.54166099999998</v>
      </c>
      <c r="D127" s="177">
        <v>452.15923299999997</v>
      </c>
      <c r="E127" s="177">
        <v>340.27470899999997</v>
      </c>
      <c r="F127" s="177">
        <v>108.048269</v>
      </c>
      <c r="G127" s="177">
        <v>76.225913000000006</v>
      </c>
      <c r="H127" s="177">
        <v>102.634029</v>
      </c>
      <c r="I127" s="177">
        <v>138.18132700000001</v>
      </c>
      <c r="J127" s="177">
        <v>355.01542699999999</v>
      </c>
      <c r="K127" s="177">
        <v>266.78751899999997</v>
      </c>
      <c r="L127" s="177">
        <v>645.59745699999996</v>
      </c>
      <c r="M127" s="177">
        <v>655.361716</v>
      </c>
      <c r="N127" s="177">
        <v>828.49249399999997</v>
      </c>
      <c r="O127" s="177">
        <v>661.44510200000002</v>
      </c>
      <c r="P127" s="177">
        <v>447.44465700000001</v>
      </c>
      <c r="Q127" s="177">
        <v>328.16178000000002</v>
      </c>
      <c r="R127" s="177">
        <v>172.42624599999999</v>
      </c>
      <c r="S127" s="177">
        <v>103.956001</v>
      </c>
      <c r="T127" s="177">
        <v>170.90534199999999</v>
      </c>
      <c r="U127" s="177">
        <v>208.578486</v>
      </c>
      <c r="V127" s="177">
        <v>120.568316</v>
      </c>
      <c r="W127" s="177">
        <v>412.77760999999998</v>
      </c>
      <c r="X127" s="177">
        <v>621.24744099999998</v>
      </c>
      <c r="Y127" s="177">
        <v>534.18592699999999</v>
      </c>
      <c r="Z127" s="177">
        <v>667.23557600000004</v>
      </c>
    </row>
    <row r="128" spans="1:26">
      <c r="A128" s="308" t="s">
        <v>8</v>
      </c>
      <c r="B128" s="177">
        <v>348.81331</v>
      </c>
      <c r="C128" s="177">
        <v>368.076976</v>
      </c>
      <c r="D128" s="177">
        <v>395.43069100000002</v>
      </c>
      <c r="E128" s="177">
        <v>414.55981100000002</v>
      </c>
      <c r="F128" s="177">
        <v>393.76221500000003</v>
      </c>
      <c r="G128" s="177">
        <v>422.10304600000001</v>
      </c>
      <c r="H128" s="177">
        <v>390.17391600000002</v>
      </c>
      <c r="I128" s="177">
        <v>364.41521899999998</v>
      </c>
      <c r="J128" s="177">
        <v>358.52949899999999</v>
      </c>
      <c r="K128" s="177">
        <v>391.44703399999997</v>
      </c>
      <c r="L128" s="177">
        <v>390.09081300000003</v>
      </c>
      <c r="M128" s="177">
        <v>357.18564300000003</v>
      </c>
      <c r="N128" s="177">
        <v>351.88360599999999</v>
      </c>
      <c r="O128" s="177">
        <v>409.93549100000001</v>
      </c>
      <c r="P128" s="177">
        <v>395.48078299999997</v>
      </c>
      <c r="Q128" s="177">
        <v>431.48129999999998</v>
      </c>
      <c r="R128" s="177">
        <v>433.27252499999997</v>
      </c>
      <c r="S128" s="177">
        <v>435.29937000000001</v>
      </c>
      <c r="T128" s="177">
        <v>428.42865999999998</v>
      </c>
      <c r="U128" s="177">
        <v>373.905303</v>
      </c>
      <c r="V128" s="177">
        <v>422.67529400000001</v>
      </c>
      <c r="W128" s="177">
        <v>429.86890699999998</v>
      </c>
      <c r="X128" s="177">
        <v>395.92393399999997</v>
      </c>
      <c r="Y128" s="177">
        <v>414.75039800000002</v>
      </c>
      <c r="Z128" s="177">
        <v>408.444975</v>
      </c>
    </row>
    <row r="129" spans="1:26">
      <c r="A129" s="308" t="s">
        <v>9</v>
      </c>
      <c r="B129" s="177">
        <v>2301.8315189999998</v>
      </c>
      <c r="C129" s="177">
        <v>2192.3780729999999</v>
      </c>
      <c r="D129" s="177">
        <v>2308.1109540000002</v>
      </c>
      <c r="E129" s="177">
        <v>2351.6789010000002</v>
      </c>
      <c r="F129" s="177">
        <v>2390.2806930000002</v>
      </c>
      <c r="G129" s="177">
        <v>2353.0738099999999</v>
      </c>
      <c r="H129" s="177">
        <v>2401.1708629999998</v>
      </c>
      <c r="I129" s="177">
        <v>1834.5240309999999</v>
      </c>
      <c r="J129" s="177">
        <v>2249.828117</v>
      </c>
      <c r="K129" s="177">
        <v>2190.0643239999999</v>
      </c>
      <c r="L129" s="177">
        <v>2203.7572810000001</v>
      </c>
      <c r="M129" s="177">
        <v>2183.6421690000002</v>
      </c>
      <c r="N129" s="177">
        <v>2238.7745369999998</v>
      </c>
      <c r="O129" s="177">
        <v>2102.2103360000001</v>
      </c>
      <c r="P129" s="177">
        <v>2159.0921499999999</v>
      </c>
      <c r="Q129" s="177">
        <v>2136.4721209999998</v>
      </c>
      <c r="R129" s="177">
        <v>2168.9871889999999</v>
      </c>
      <c r="S129" s="177">
        <v>2167.9654059999998</v>
      </c>
      <c r="T129" s="177">
        <v>2140.854178</v>
      </c>
      <c r="U129" s="177">
        <v>2115.5816890000001</v>
      </c>
      <c r="V129" s="177">
        <v>2210.0593690000001</v>
      </c>
      <c r="W129" s="177">
        <v>1707.4825519999999</v>
      </c>
      <c r="X129" s="177">
        <v>1868.3740499999999</v>
      </c>
      <c r="Y129" s="177">
        <v>1465.0524499999999</v>
      </c>
      <c r="Z129" s="177">
        <v>1052.153912</v>
      </c>
    </row>
    <row r="130" spans="1:26">
      <c r="A130" s="308" t="s">
        <v>69</v>
      </c>
      <c r="B130" s="177">
        <v>31.820180000000001</v>
      </c>
      <c r="C130" s="177">
        <v>66.037119500000003</v>
      </c>
      <c r="D130" s="177">
        <v>58.507686499999998</v>
      </c>
      <c r="E130" s="177">
        <v>64.967821499999999</v>
      </c>
      <c r="F130" s="177">
        <v>67.556750500000007</v>
      </c>
      <c r="G130" s="177">
        <v>66.683813999999998</v>
      </c>
      <c r="H130" s="177">
        <v>52.060037999999999</v>
      </c>
      <c r="I130" s="177">
        <v>57.768275000000003</v>
      </c>
      <c r="J130" s="177">
        <v>61.963368000000003</v>
      </c>
      <c r="K130" s="177">
        <v>66.322567500000005</v>
      </c>
      <c r="L130" s="177">
        <v>53.009402999999999</v>
      </c>
      <c r="M130" s="177">
        <v>65.533088500000005</v>
      </c>
      <c r="N130" s="177">
        <v>70.069195500000006</v>
      </c>
      <c r="O130" s="177">
        <v>67.951940500000006</v>
      </c>
      <c r="P130" s="177">
        <v>55.639892500000002</v>
      </c>
      <c r="Q130" s="177">
        <v>61.837724000000001</v>
      </c>
      <c r="R130" s="177">
        <v>65.901263499999999</v>
      </c>
      <c r="S130" s="177">
        <v>72.807829999999996</v>
      </c>
      <c r="T130" s="177">
        <v>68.975128999999995</v>
      </c>
      <c r="U130" s="177">
        <v>66.906879000000004</v>
      </c>
      <c r="V130" s="177">
        <v>71.978429000000006</v>
      </c>
      <c r="W130" s="177">
        <v>64.772149999999996</v>
      </c>
      <c r="X130" s="177">
        <v>67.480593499999998</v>
      </c>
      <c r="Y130" s="177">
        <v>63.217403500000003</v>
      </c>
      <c r="Z130" s="177">
        <v>59.032142</v>
      </c>
    </row>
    <row r="131" spans="1:26">
      <c r="A131" s="308" t="s">
        <v>70</v>
      </c>
      <c r="B131" s="177">
        <v>129.766637</v>
      </c>
      <c r="C131" s="177">
        <v>178.96316150000001</v>
      </c>
      <c r="D131" s="177">
        <v>173.89508950000001</v>
      </c>
      <c r="E131" s="177">
        <v>156.7486255</v>
      </c>
      <c r="F131" s="177">
        <v>180.74303649999999</v>
      </c>
      <c r="G131" s="177">
        <v>180.94516899999999</v>
      </c>
      <c r="H131" s="177">
        <v>175.14184499999999</v>
      </c>
      <c r="I131" s="177">
        <v>161.44275200000001</v>
      </c>
      <c r="J131" s="177">
        <v>173.707269</v>
      </c>
      <c r="K131" s="177">
        <v>170.05904150000001</v>
      </c>
      <c r="L131" s="177">
        <v>170.74740800000001</v>
      </c>
      <c r="M131" s="177">
        <v>184.30269150000001</v>
      </c>
      <c r="N131" s="177">
        <v>193.16825549999999</v>
      </c>
      <c r="O131" s="177">
        <v>198.4023795</v>
      </c>
      <c r="P131" s="177">
        <v>167.38102850000001</v>
      </c>
      <c r="Q131" s="177">
        <v>179.471082</v>
      </c>
      <c r="R131" s="177">
        <v>164.8067685</v>
      </c>
      <c r="S131" s="177">
        <v>171.82050699999999</v>
      </c>
      <c r="T131" s="177">
        <v>159.55676600000001</v>
      </c>
      <c r="U131" s="177">
        <v>138.52277699999999</v>
      </c>
      <c r="V131" s="177">
        <v>173.90431599999999</v>
      </c>
      <c r="W131" s="177">
        <v>163.84968900000001</v>
      </c>
      <c r="X131" s="177">
        <v>158.1020145</v>
      </c>
      <c r="Y131" s="177">
        <v>142.17442550000001</v>
      </c>
      <c r="Z131" s="177">
        <v>164.320134</v>
      </c>
    </row>
    <row r="132" spans="1:26">
      <c r="A132" s="309" t="s">
        <v>10</v>
      </c>
      <c r="B132" s="178">
        <v>22869.616262242002</v>
      </c>
      <c r="C132" s="178">
        <v>21427.508411644001</v>
      </c>
      <c r="D132" s="178">
        <v>20338.208281719999</v>
      </c>
      <c r="E132" s="178">
        <v>19982.343790332001</v>
      </c>
      <c r="F132" s="178">
        <v>18952.186810158</v>
      </c>
      <c r="G132" s="178">
        <v>22768.793023446</v>
      </c>
      <c r="H132" s="178">
        <v>23287.748156590002</v>
      </c>
      <c r="I132" s="178">
        <v>20279.308692914001</v>
      </c>
      <c r="J132" s="178">
        <v>21142.825673621999</v>
      </c>
      <c r="K132" s="178">
        <v>18986.558141104</v>
      </c>
      <c r="L132" s="178">
        <v>19532.546260023999</v>
      </c>
      <c r="M132" s="178">
        <v>18795.289259016001</v>
      </c>
      <c r="N132" s="178">
        <v>21139.128937810001</v>
      </c>
      <c r="O132" s="178">
        <v>20218.393608435999</v>
      </c>
      <c r="P132" s="178">
        <v>19406.972181196001</v>
      </c>
      <c r="Q132" s="178">
        <v>19438.477871362</v>
      </c>
      <c r="R132" s="178">
        <v>21881.075366413999</v>
      </c>
      <c r="S132" s="178">
        <v>22696.375837544001</v>
      </c>
      <c r="T132" s="178">
        <v>23080.625056903998</v>
      </c>
      <c r="U132" s="178">
        <v>20038.942148128001</v>
      </c>
      <c r="V132" s="178">
        <v>21597.502798860001</v>
      </c>
      <c r="W132" s="178">
        <v>20639.689111888001</v>
      </c>
      <c r="X132" s="178">
        <v>20899.017787638</v>
      </c>
      <c r="Y132" s="178">
        <v>21944.997731914002</v>
      </c>
      <c r="Z132" s="178">
        <v>24943.215549855999</v>
      </c>
    </row>
    <row r="133" spans="1:26">
      <c r="A133" s="308" t="s">
        <v>122</v>
      </c>
      <c r="B133" s="177">
        <v>-303.18012404799998</v>
      </c>
      <c r="C133" s="177">
        <v>-259.28085923999998</v>
      </c>
      <c r="D133" s="177">
        <v>-221.76098604800001</v>
      </c>
      <c r="E133" s="177">
        <v>-366.70103899999998</v>
      </c>
      <c r="F133" s="177">
        <v>-296.43086299999999</v>
      </c>
      <c r="G133" s="177">
        <v>-528.04559900000004</v>
      </c>
      <c r="H133" s="177">
        <v>-610.89696300000003</v>
      </c>
      <c r="I133" s="177">
        <v>-789.64869999999996</v>
      </c>
      <c r="J133" s="177">
        <v>-463.99294998200003</v>
      </c>
      <c r="K133" s="177">
        <v>-216.71217380799999</v>
      </c>
      <c r="L133" s="177">
        <v>-393.88363104799998</v>
      </c>
      <c r="M133" s="177">
        <v>-149.061462288</v>
      </c>
      <c r="N133" s="177">
        <v>-180.99089185599999</v>
      </c>
      <c r="O133" s="177">
        <v>-186.569471096</v>
      </c>
      <c r="P133" s="177">
        <v>-161.032901917</v>
      </c>
      <c r="Q133" s="177">
        <v>-369.79346692000001</v>
      </c>
      <c r="R133" s="177">
        <v>-273.34553799999998</v>
      </c>
      <c r="S133" s="177">
        <v>-521.950655815</v>
      </c>
      <c r="T133" s="177">
        <v>-388.13858196799998</v>
      </c>
      <c r="U133" s="177">
        <v>-484.65485798399999</v>
      </c>
      <c r="V133" s="177">
        <v>-413.67226971000002</v>
      </c>
      <c r="W133" s="177">
        <v>-596.65590999999995</v>
      </c>
      <c r="X133" s="177">
        <v>-443.344168088</v>
      </c>
      <c r="Y133" s="177">
        <v>-504.32537400000001</v>
      </c>
      <c r="Z133" s="177">
        <v>-413.82748099999998</v>
      </c>
    </row>
    <row r="134" spans="1:26">
      <c r="A134" s="308" t="s">
        <v>97</v>
      </c>
      <c r="B134" s="177">
        <v>-168.331695</v>
      </c>
      <c r="C134" s="177">
        <v>-182.71595500000001</v>
      </c>
      <c r="D134" s="177">
        <v>-116.274961</v>
      </c>
      <c r="E134" s="177">
        <v>-105.943506</v>
      </c>
      <c r="F134" s="177">
        <v>-96.327618999999999</v>
      </c>
      <c r="G134" s="177">
        <v>-138.26159999999999</v>
      </c>
      <c r="H134" s="177">
        <v>-138.25041200000001</v>
      </c>
      <c r="I134" s="177">
        <v>-113.412009</v>
      </c>
      <c r="J134" s="177">
        <v>-127.985573</v>
      </c>
      <c r="K134" s="177">
        <v>-111.02179700000001</v>
      </c>
      <c r="L134" s="177">
        <v>-111.601713</v>
      </c>
      <c r="M134" s="177">
        <v>-65.429468</v>
      </c>
      <c r="N134" s="177">
        <v>-45.879221000000001</v>
      </c>
      <c r="O134" s="177">
        <v>-40.107311000000003</v>
      </c>
      <c r="P134" s="177">
        <v>-37.549396999999999</v>
      </c>
      <c r="Q134" s="177">
        <v>-38.285525</v>
      </c>
      <c r="R134" s="177">
        <v>-28.435708999999999</v>
      </c>
      <c r="S134" s="177">
        <v>-32.270831999999999</v>
      </c>
      <c r="T134" s="177">
        <v>-31.159338999999999</v>
      </c>
      <c r="U134" s="177">
        <v>-27.502502</v>
      </c>
      <c r="V134" s="177">
        <v>-30.689281000000001</v>
      </c>
      <c r="W134" s="177">
        <v>-33.641058999999998</v>
      </c>
      <c r="X134" s="177">
        <v>-32.047055999999998</v>
      </c>
      <c r="Y134" s="177">
        <v>-35.225064000000003</v>
      </c>
      <c r="Z134" s="177">
        <v>-67.033137999999994</v>
      </c>
    </row>
    <row r="135" spans="1:26">
      <c r="A135" s="308" t="s">
        <v>123</v>
      </c>
      <c r="B135" s="177">
        <v>-450.84462000000002</v>
      </c>
      <c r="C135" s="177">
        <v>-239.66814099999999</v>
      </c>
      <c r="D135" s="177">
        <v>-625.62728200000004</v>
      </c>
      <c r="E135" s="177">
        <v>108.16498300000001</v>
      </c>
      <c r="F135" s="177">
        <v>1090.931722</v>
      </c>
      <c r="G135" s="177">
        <v>-800.31548099999998</v>
      </c>
      <c r="H135" s="177">
        <v>214.90690699999999</v>
      </c>
      <c r="I135" s="177">
        <v>-162.58580799999999</v>
      </c>
      <c r="J135" s="177">
        <v>189.854399</v>
      </c>
      <c r="K135" s="177">
        <v>256.56955599999998</v>
      </c>
      <c r="L135" s="177">
        <v>269.05148300000002</v>
      </c>
      <c r="M135" s="177">
        <v>1012.9266699999999</v>
      </c>
      <c r="N135" s="177">
        <v>647.48212699999999</v>
      </c>
      <c r="O135" s="177">
        <v>661.02223300000003</v>
      </c>
      <c r="P135" s="177">
        <v>482.31085000000002</v>
      </c>
      <c r="Q135" s="177">
        <v>-47.900078000000001</v>
      </c>
      <c r="R135" s="177">
        <v>-1305.145933</v>
      </c>
      <c r="S135" s="177">
        <v>-1323.501209</v>
      </c>
      <c r="T135" s="177">
        <v>-1179.9777730000001</v>
      </c>
      <c r="U135" s="177">
        <v>-467.91134399999999</v>
      </c>
      <c r="V135" s="177">
        <v>-880.29854699999999</v>
      </c>
      <c r="W135" s="177">
        <v>-1586.9072699999999</v>
      </c>
      <c r="X135" s="177">
        <v>-1313.823038</v>
      </c>
      <c r="Y135" s="177">
        <v>-1458.729505</v>
      </c>
      <c r="Z135" s="177">
        <v>-2422.6880030000002</v>
      </c>
    </row>
    <row r="136" spans="1:26">
      <c r="A136" s="309" t="s">
        <v>124</v>
      </c>
      <c r="B136" s="178">
        <v>21947.259823193999</v>
      </c>
      <c r="C136" s="178">
        <v>20745.843456404</v>
      </c>
      <c r="D136" s="178">
        <v>19374.545052672001</v>
      </c>
      <c r="E136" s="178">
        <v>19617.864228332</v>
      </c>
      <c r="F136" s="178">
        <v>19650.360050158</v>
      </c>
      <c r="G136" s="178">
        <v>21302.170343446</v>
      </c>
      <c r="H136" s="178">
        <v>22753.507688590002</v>
      </c>
      <c r="I136" s="178">
        <v>19213.662175914</v>
      </c>
      <c r="J136" s="178">
        <v>20740.701549640002</v>
      </c>
      <c r="K136" s="178">
        <v>18915.393726295999</v>
      </c>
      <c r="L136" s="178">
        <v>19296.112398976002</v>
      </c>
      <c r="M136" s="178">
        <v>19593.724998728001</v>
      </c>
      <c r="N136" s="178">
        <v>21559.740951954002</v>
      </c>
      <c r="O136" s="178">
        <v>20652.739059340001</v>
      </c>
      <c r="P136" s="178">
        <v>19690.700732279001</v>
      </c>
      <c r="Q136" s="178">
        <v>18982.498801442001</v>
      </c>
      <c r="R136" s="178">
        <v>20274.148186414001</v>
      </c>
      <c r="S136" s="178">
        <v>20818.653140728999</v>
      </c>
      <c r="T136" s="178">
        <v>21481.349362935998</v>
      </c>
      <c r="U136" s="178">
        <v>19058.873444143999</v>
      </c>
      <c r="V136" s="178">
        <v>20272.842701149999</v>
      </c>
      <c r="W136" s="178">
        <v>18422.484872887999</v>
      </c>
      <c r="X136" s="178">
        <v>19109.80352555</v>
      </c>
      <c r="Y136" s="178">
        <v>19946.717788914</v>
      </c>
      <c r="Z136" s="178">
        <v>22039.666927856</v>
      </c>
    </row>
    <row r="140" spans="1:26" s="185" customFormat="1" ht="12">
      <c r="A140" s="191" t="s">
        <v>30</v>
      </c>
      <c r="B140" s="191" t="str">
        <f t="shared" ref="B140:N140" si="7">MID(UPPER(TEXT(B141,"mmm")),1,1)</f>
        <v>J</v>
      </c>
      <c r="C140" s="191" t="str">
        <f t="shared" si="7"/>
        <v>A</v>
      </c>
      <c r="D140" s="191" t="str">
        <f t="shared" si="7"/>
        <v>S</v>
      </c>
      <c r="E140" s="191" t="str">
        <f t="shared" si="7"/>
        <v>O</v>
      </c>
      <c r="F140" s="191" t="str">
        <f t="shared" si="7"/>
        <v>N</v>
      </c>
      <c r="G140" s="191" t="str">
        <f t="shared" si="7"/>
        <v>D</v>
      </c>
      <c r="H140" s="191" t="str">
        <f t="shared" si="7"/>
        <v>E</v>
      </c>
      <c r="I140" s="191" t="str">
        <f t="shared" si="7"/>
        <v>F</v>
      </c>
      <c r="J140" s="191" t="str">
        <f t="shared" si="7"/>
        <v>M</v>
      </c>
      <c r="K140" s="191" t="str">
        <f t="shared" si="7"/>
        <v>A</v>
      </c>
      <c r="L140" s="191" t="str">
        <f t="shared" si="7"/>
        <v>M</v>
      </c>
      <c r="M140" s="191" t="str">
        <f t="shared" si="7"/>
        <v>J</v>
      </c>
      <c r="N140" s="191" t="str">
        <f t="shared" si="7"/>
        <v>J</v>
      </c>
    </row>
    <row r="141" spans="1:26" s="185" customFormat="1" ht="12">
      <c r="A141" s="191" t="s">
        <v>112</v>
      </c>
      <c r="B141" s="191" t="str">
        <f>TEXT(EDATE(C141,-1),"mmmm aaaa")</f>
        <v>julio 2021</v>
      </c>
      <c r="C141" s="191" t="str">
        <f t="shared" ref="C141:M141" si="8">TEXT(EDATE(D141,-1),"mmmm aaaa")</f>
        <v>agosto 2021</v>
      </c>
      <c r="D141" s="191" t="str">
        <f t="shared" si="8"/>
        <v>septiembre 2021</v>
      </c>
      <c r="E141" s="191" t="str">
        <f t="shared" si="8"/>
        <v>octubre 2021</v>
      </c>
      <c r="F141" s="191" t="str">
        <f t="shared" si="8"/>
        <v>noviembre 2021</v>
      </c>
      <c r="G141" s="191" t="str">
        <f t="shared" si="8"/>
        <v>diciembre 2021</v>
      </c>
      <c r="H141" s="191" t="str">
        <f t="shared" si="8"/>
        <v>enero 2022</v>
      </c>
      <c r="I141" s="191" t="str">
        <f t="shared" si="8"/>
        <v>febrero 2022</v>
      </c>
      <c r="J141" s="191" t="str">
        <f t="shared" si="8"/>
        <v>marzo 2022</v>
      </c>
      <c r="K141" s="191" t="str">
        <f t="shared" si="8"/>
        <v>abril 2022</v>
      </c>
      <c r="L141" s="191" t="str">
        <f t="shared" si="8"/>
        <v>mayo 2022</v>
      </c>
      <c r="M141" s="191" t="str">
        <f t="shared" si="8"/>
        <v>junio 2022</v>
      </c>
      <c r="N141" s="191" t="str">
        <f>A2</f>
        <v>Julio 2022</v>
      </c>
    </row>
    <row r="142" spans="1:26" s="188" customFormat="1" ht="12">
      <c r="A142" s="186" t="s">
        <v>2</v>
      </c>
      <c r="B142" s="187">
        <f t="shared" ref="B142:N142" si="9">HLOOKUP(B$141,$117:$133,3,FALSE)</f>
        <v>2206.7799777780001</v>
      </c>
      <c r="C142" s="187">
        <f t="shared" si="9"/>
        <v>1879.5875821039999</v>
      </c>
      <c r="D142" s="187">
        <f t="shared" si="9"/>
        <v>1393.78333174</v>
      </c>
      <c r="E142" s="187">
        <f t="shared" si="9"/>
        <v>1021.4348056600001</v>
      </c>
      <c r="F142" s="187">
        <f t="shared" si="9"/>
        <v>1193.7558425120001</v>
      </c>
      <c r="G142" s="187">
        <f t="shared" si="9"/>
        <v>2523.893467504</v>
      </c>
      <c r="H142" s="187">
        <f t="shared" si="9"/>
        <v>2053.5241761440002</v>
      </c>
      <c r="I142" s="187">
        <f t="shared" si="9"/>
        <v>1145.6069011300001</v>
      </c>
      <c r="J142" s="187">
        <f t="shared" si="9"/>
        <v>1763.8028711760001</v>
      </c>
      <c r="K142" s="187">
        <f t="shared" si="9"/>
        <v>1779.2985286959999</v>
      </c>
      <c r="L142" s="187">
        <f t="shared" si="9"/>
        <v>1918.4741703340001</v>
      </c>
      <c r="M142" s="187">
        <f t="shared" si="9"/>
        <v>1190.322507676</v>
      </c>
      <c r="N142" s="187">
        <f t="shared" si="9"/>
        <v>1041.456428836</v>
      </c>
    </row>
    <row r="143" spans="1:26" s="188" customFormat="1" ht="12">
      <c r="A143" s="186" t="s">
        <v>81</v>
      </c>
      <c r="B143" s="187">
        <f t="shared" ref="B143:N143" si="10">HLOOKUP(B$141,$117:$133,4,FALSE)</f>
        <v>115.791574032</v>
      </c>
      <c r="C143" s="187">
        <f t="shared" si="10"/>
        <v>159.74251133199999</v>
      </c>
      <c r="D143" s="187">
        <f t="shared" si="10"/>
        <v>118.239862456</v>
      </c>
      <c r="E143" s="187">
        <f t="shared" si="10"/>
        <v>232.11323870199999</v>
      </c>
      <c r="F143" s="187">
        <f t="shared" si="10"/>
        <v>202.78682990199999</v>
      </c>
      <c r="G143" s="187">
        <f t="shared" si="10"/>
        <v>269.90862404000001</v>
      </c>
      <c r="H143" s="187">
        <f t="shared" si="10"/>
        <v>215.45218475999999</v>
      </c>
      <c r="I143" s="187">
        <f t="shared" si="10"/>
        <v>285.08618899800001</v>
      </c>
      <c r="J143" s="187">
        <f t="shared" si="10"/>
        <v>273.84815268400001</v>
      </c>
      <c r="K143" s="187">
        <f t="shared" si="10"/>
        <v>336.71035219200002</v>
      </c>
      <c r="L143" s="187">
        <f t="shared" si="10"/>
        <v>299.88006930400002</v>
      </c>
      <c r="M143" s="187">
        <f t="shared" si="10"/>
        <v>270.92395723800001</v>
      </c>
      <c r="N143" s="187">
        <f t="shared" si="10"/>
        <v>216.61761802000001</v>
      </c>
    </row>
    <row r="144" spans="1:26" s="188" customFormat="1" ht="12">
      <c r="A144" s="186" t="s">
        <v>3</v>
      </c>
      <c r="B144" s="187">
        <f t="shared" ref="B144:N144" si="11">HLOOKUP(B$141,$117:$133,5,FALSE)</f>
        <v>5119.3289409999998</v>
      </c>
      <c r="C144" s="187">
        <f t="shared" si="11"/>
        <v>5151.2435720000003</v>
      </c>
      <c r="D144" s="187">
        <f t="shared" si="11"/>
        <v>4890.5065249999998</v>
      </c>
      <c r="E144" s="187">
        <f t="shared" si="11"/>
        <v>4748.3949460000003</v>
      </c>
      <c r="F144" s="187">
        <f t="shared" si="11"/>
        <v>3562.3582710000001</v>
      </c>
      <c r="G144" s="187">
        <f t="shared" si="11"/>
        <v>3922.855106</v>
      </c>
      <c r="H144" s="187">
        <f t="shared" si="11"/>
        <v>5048.424951</v>
      </c>
      <c r="I144" s="187">
        <f t="shared" si="11"/>
        <v>4771.058908</v>
      </c>
      <c r="J144" s="187">
        <f t="shared" si="11"/>
        <v>4766.7915640000001</v>
      </c>
      <c r="K144" s="187">
        <f t="shared" si="11"/>
        <v>4413.7242699999997</v>
      </c>
      <c r="L144" s="187">
        <f t="shared" si="11"/>
        <v>4066.3553310000002</v>
      </c>
      <c r="M144" s="187">
        <f t="shared" si="11"/>
        <v>4459.4591659999996</v>
      </c>
      <c r="N144" s="187">
        <f t="shared" si="11"/>
        <v>5073.1541569999999</v>
      </c>
    </row>
    <row r="145" spans="1:15" s="188" customFormat="1" ht="12">
      <c r="A145" s="186" t="s">
        <v>4</v>
      </c>
      <c r="B145" s="187">
        <f t="shared" ref="B145:N145" si="12">HLOOKUP(B$141,$117:$133,6,FALSE)</f>
        <v>302.41718100000003</v>
      </c>
      <c r="C145" s="187">
        <f t="shared" si="12"/>
        <v>320.34443199999998</v>
      </c>
      <c r="D145" s="187">
        <f t="shared" si="12"/>
        <v>477.92579699999999</v>
      </c>
      <c r="E145" s="187">
        <f t="shared" si="12"/>
        <v>528.18759499999999</v>
      </c>
      <c r="F145" s="187">
        <f t="shared" si="12"/>
        <v>577.43674399999998</v>
      </c>
      <c r="G145" s="187">
        <f t="shared" si="12"/>
        <v>721.09479699999997</v>
      </c>
      <c r="H145" s="187">
        <f t="shared" si="12"/>
        <v>710.59119999999996</v>
      </c>
      <c r="I145" s="187">
        <f t="shared" si="12"/>
        <v>571.69617900000003</v>
      </c>
      <c r="J145" s="187">
        <f t="shared" si="12"/>
        <v>705.89505599999995</v>
      </c>
      <c r="K145" s="187">
        <f t="shared" si="12"/>
        <v>691.80370400000004</v>
      </c>
      <c r="L145" s="187">
        <f t="shared" si="12"/>
        <v>528.38689499999998</v>
      </c>
      <c r="M145" s="187">
        <f t="shared" si="12"/>
        <v>804.07860300000004</v>
      </c>
      <c r="N145" s="187">
        <f t="shared" si="12"/>
        <v>832.23787000000004</v>
      </c>
    </row>
    <row r="146" spans="1:15" s="188" customFormat="1" ht="12">
      <c r="A146" s="186" t="s">
        <v>11</v>
      </c>
      <c r="B146" s="187">
        <f t="shared" ref="B146:N146" si="13">HLOOKUP(B$141,$117:$133,8,FALSE)</f>
        <v>3024.7339200000001</v>
      </c>
      <c r="C146" s="187">
        <f t="shared" si="13"/>
        <v>3325.1556350000001</v>
      </c>
      <c r="D146" s="187">
        <f t="shared" si="13"/>
        <v>4296.9849320000003</v>
      </c>
      <c r="E146" s="187">
        <f t="shared" si="13"/>
        <v>3806.271381</v>
      </c>
      <c r="F146" s="187">
        <f t="shared" si="13"/>
        <v>5697.61654</v>
      </c>
      <c r="G146" s="187">
        <f t="shared" si="13"/>
        <v>4499.7333719999997</v>
      </c>
      <c r="H146" s="187">
        <f t="shared" si="13"/>
        <v>5197.395829</v>
      </c>
      <c r="I146" s="187">
        <f t="shared" si="13"/>
        <v>4086.8628920000001</v>
      </c>
      <c r="J146" s="187">
        <f t="shared" si="13"/>
        <v>3253.5901749999998</v>
      </c>
      <c r="K146" s="187">
        <f t="shared" si="13"/>
        <v>2573.7803039999999</v>
      </c>
      <c r="L146" s="187">
        <f t="shared" si="13"/>
        <v>3092.3859029999999</v>
      </c>
      <c r="M146" s="187">
        <f t="shared" si="13"/>
        <v>5827.5517829999999</v>
      </c>
      <c r="N146" s="187">
        <f t="shared" si="13"/>
        <v>7767.8468700000003</v>
      </c>
    </row>
    <row r="147" spans="1:15" s="188" customFormat="1" ht="12">
      <c r="A147" s="186" t="s">
        <v>5</v>
      </c>
      <c r="B147" s="187">
        <f t="shared" ref="B147:N147" si="14">HLOOKUP(B$141,$117:$133,9,FALSE)</f>
        <v>4122.6099919999997</v>
      </c>
      <c r="C147" s="187">
        <f t="shared" si="14"/>
        <v>3598.5848070000002</v>
      </c>
      <c r="D147" s="187">
        <f t="shared" si="14"/>
        <v>3123.0617010000001</v>
      </c>
      <c r="E147" s="187">
        <f t="shared" si="14"/>
        <v>4231.9807010000004</v>
      </c>
      <c r="F147" s="187">
        <f t="shared" si="14"/>
        <v>6320.8397629999999</v>
      </c>
      <c r="G147" s="187">
        <f t="shared" si="14"/>
        <v>6813.1904430000004</v>
      </c>
      <c r="H147" s="187">
        <f t="shared" si="14"/>
        <v>5352.3559729999997</v>
      </c>
      <c r="I147" s="187">
        <f t="shared" si="14"/>
        <v>4621.4652409999999</v>
      </c>
      <c r="J147" s="187">
        <f t="shared" si="14"/>
        <v>6418.3320880000001</v>
      </c>
      <c r="K147" s="187">
        <f t="shared" si="14"/>
        <v>5534.8026630000004</v>
      </c>
      <c r="L147" s="187">
        <f t="shared" si="14"/>
        <v>4570.5633260000004</v>
      </c>
      <c r="M147" s="187">
        <f t="shared" si="14"/>
        <v>3629.2420929999998</v>
      </c>
      <c r="N147" s="187">
        <f t="shared" si="14"/>
        <v>4381.3838820000001</v>
      </c>
    </row>
    <row r="148" spans="1:15" s="188" customFormat="1" ht="12">
      <c r="A148" s="186" t="s">
        <v>6</v>
      </c>
      <c r="B148" s="187">
        <f t="shared" ref="B148:N148" si="15">HLOOKUP(B$141,$117:$133,10,FALSE)</f>
        <v>2565.0792649999999</v>
      </c>
      <c r="C148" s="187">
        <f t="shared" si="15"/>
        <v>2343.78982</v>
      </c>
      <c r="D148" s="187">
        <f t="shared" si="15"/>
        <v>1881.431521</v>
      </c>
      <c r="E148" s="187">
        <f t="shared" si="15"/>
        <v>1732.6711969999999</v>
      </c>
      <c r="F148" s="187">
        <f t="shared" si="15"/>
        <v>1320.8873840000001</v>
      </c>
      <c r="G148" s="187">
        <f t="shared" si="15"/>
        <v>993.85091399999999</v>
      </c>
      <c r="H148" s="187">
        <f t="shared" si="15"/>
        <v>1534.160668</v>
      </c>
      <c r="I148" s="187">
        <f t="shared" si="15"/>
        <v>1653.6707039999999</v>
      </c>
      <c r="J148" s="187">
        <f t="shared" si="15"/>
        <v>1416.057168</v>
      </c>
      <c r="K148" s="187">
        <f t="shared" si="15"/>
        <v>2530.8183819999999</v>
      </c>
      <c r="L148" s="187">
        <f t="shared" si="15"/>
        <v>3311.8440599999999</v>
      </c>
      <c r="M148" s="187">
        <f t="shared" si="15"/>
        <v>3144.0390179999999</v>
      </c>
      <c r="N148" s="187">
        <f t="shared" si="15"/>
        <v>3279.3319849999998</v>
      </c>
    </row>
    <row r="149" spans="1:15" s="188" customFormat="1" ht="12">
      <c r="A149" s="186" t="s">
        <v>7</v>
      </c>
      <c r="B149" s="187">
        <f t="shared" ref="B149:N149" si="16">HLOOKUP(B$141,$117:$133,11,FALSE)</f>
        <v>828.49249399999997</v>
      </c>
      <c r="C149" s="187">
        <f t="shared" si="16"/>
        <v>661.44510200000002</v>
      </c>
      <c r="D149" s="187">
        <f t="shared" si="16"/>
        <v>447.44465700000001</v>
      </c>
      <c r="E149" s="187">
        <f t="shared" si="16"/>
        <v>328.16178000000002</v>
      </c>
      <c r="F149" s="187">
        <f t="shared" si="16"/>
        <v>172.42624599999999</v>
      </c>
      <c r="G149" s="187">
        <f t="shared" si="16"/>
        <v>103.956001</v>
      </c>
      <c r="H149" s="187">
        <f t="shared" si="16"/>
        <v>170.90534199999999</v>
      </c>
      <c r="I149" s="187">
        <f t="shared" si="16"/>
        <v>208.578486</v>
      </c>
      <c r="J149" s="187">
        <f t="shared" si="16"/>
        <v>120.568316</v>
      </c>
      <c r="K149" s="187">
        <f t="shared" si="16"/>
        <v>412.77760999999998</v>
      </c>
      <c r="L149" s="187">
        <f t="shared" si="16"/>
        <v>621.24744099999998</v>
      </c>
      <c r="M149" s="187">
        <f t="shared" si="16"/>
        <v>534.18592699999999</v>
      </c>
      <c r="N149" s="187">
        <f t="shared" si="16"/>
        <v>667.23557600000004</v>
      </c>
    </row>
    <row r="150" spans="1:15" s="188" customFormat="1" ht="12">
      <c r="A150" s="186" t="s">
        <v>8</v>
      </c>
      <c r="B150" s="187">
        <f t="shared" ref="B150:N150" si="17">HLOOKUP(B$141,$117:$133,12,FALSE)</f>
        <v>351.88360599999999</v>
      </c>
      <c r="C150" s="187">
        <f t="shared" si="17"/>
        <v>409.93549100000001</v>
      </c>
      <c r="D150" s="187">
        <f t="shared" si="17"/>
        <v>395.48078299999997</v>
      </c>
      <c r="E150" s="187">
        <f t="shared" si="17"/>
        <v>431.48129999999998</v>
      </c>
      <c r="F150" s="187">
        <f t="shared" si="17"/>
        <v>433.27252499999997</v>
      </c>
      <c r="G150" s="187">
        <f t="shared" si="17"/>
        <v>435.29937000000001</v>
      </c>
      <c r="H150" s="187">
        <f t="shared" si="17"/>
        <v>428.42865999999998</v>
      </c>
      <c r="I150" s="187">
        <f t="shared" si="17"/>
        <v>373.905303</v>
      </c>
      <c r="J150" s="187">
        <f t="shared" si="17"/>
        <v>422.67529400000001</v>
      </c>
      <c r="K150" s="187">
        <f t="shared" si="17"/>
        <v>429.86890699999998</v>
      </c>
      <c r="L150" s="187">
        <f t="shared" si="17"/>
        <v>395.92393399999997</v>
      </c>
      <c r="M150" s="187">
        <f t="shared" si="17"/>
        <v>414.75039800000002</v>
      </c>
      <c r="N150" s="187">
        <f t="shared" si="17"/>
        <v>408.444975</v>
      </c>
    </row>
    <row r="151" spans="1:15" s="188" customFormat="1" ht="12">
      <c r="A151" s="186" t="s">
        <v>9</v>
      </c>
      <c r="B151" s="187">
        <f t="shared" ref="B151:N151" si="18">HLOOKUP(B$141,$117:$133,13,FALSE)</f>
        <v>2238.7745369999998</v>
      </c>
      <c r="C151" s="187">
        <f t="shared" si="18"/>
        <v>2102.2103360000001</v>
      </c>
      <c r="D151" s="187">
        <f t="shared" si="18"/>
        <v>2159.0921499999999</v>
      </c>
      <c r="E151" s="187">
        <f t="shared" si="18"/>
        <v>2136.4721209999998</v>
      </c>
      <c r="F151" s="187">
        <f t="shared" si="18"/>
        <v>2168.9871889999999</v>
      </c>
      <c r="G151" s="187">
        <f t="shared" si="18"/>
        <v>2167.9654059999998</v>
      </c>
      <c r="H151" s="187">
        <f t="shared" si="18"/>
        <v>2140.854178</v>
      </c>
      <c r="I151" s="187">
        <f t="shared" si="18"/>
        <v>2115.5816890000001</v>
      </c>
      <c r="J151" s="187">
        <f t="shared" si="18"/>
        <v>2210.0593690000001</v>
      </c>
      <c r="K151" s="187">
        <f t="shared" si="18"/>
        <v>1707.4825519999999</v>
      </c>
      <c r="L151" s="187">
        <f t="shared" si="18"/>
        <v>1868.3740499999999</v>
      </c>
      <c r="M151" s="187">
        <f t="shared" si="18"/>
        <v>1465.0524499999999</v>
      </c>
      <c r="N151" s="187">
        <f t="shared" si="18"/>
        <v>1052.153912</v>
      </c>
    </row>
    <row r="152" spans="1:15" s="188" customFormat="1" ht="12">
      <c r="A152" s="186" t="s">
        <v>70</v>
      </c>
      <c r="B152" s="187">
        <f t="shared" ref="B152:N152" si="19">HLOOKUP(B$141,$117:$133,15,FALSE)</f>
        <v>193.16825549999999</v>
      </c>
      <c r="C152" s="187">
        <f t="shared" si="19"/>
        <v>198.4023795</v>
      </c>
      <c r="D152" s="187">
        <f t="shared" si="19"/>
        <v>167.38102850000001</v>
      </c>
      <c r="E152" s="187">
        <f t="shared" si="19"/>
        <v>179.471082</v>
      </c>
      <c r="F152" s="187">
        <f t="shared" si="19"/>
        <v>164.8067685</v>
      </c>
      <c r="G152" s="187">
        <f t="shared" si="19"/>
        <v>171.82050699999999</v>
      </c>
      <c r="H152" s="187">
        <f t="shared" si="19"/>
        <v>159.55676600000001</v>
      </c>
      <c r="I152" s="187">
        <f t="shared" si="19"/>
        <v>138.52277699999999</v>
      </c>
      <c r="J152" s="187">
        <f t="shared" si="19"/>
        <v>173.90431599999999</v>
      </c>
      <c r="K152" s="187">
        <f t="shared" si="19"/>
        <v>163.84968900000001</v>
      </c>
      <c r="L152" s="187">
        <f t="shared" si="19"/>
        <v>158.1020145</v>
      </c>
      <c r="M152" s="187">
        <f t="shared" si="19"/>
        <v>142.17442550000001</v>
      </c>
      <c r="N152" s="187">
        <f t="shared" si="19"/>
        <v>164.320134</v>
      </c>
    </row>
    <row r="153" spans="1:15" s="188" customFormat="1" ht="12">
      <c r="A153" s="186" t="s">
        <v>69</v>
      </c>
      <c r="B153" s="187">
        <f t="shared" ref="B153:N153" si="20">HLOOKUP(B$141,$117:$133,14,FALSE)</f>
        <v>70.069195500000006</v>
      </c>
      <c r="C153" s="187">
        <f t="shared" si="20"/>
        <v>67.951940500000006</v>
      </c>
      <c r="D153" s="187">
        <f t="shared" si="20"/>
        <v>55.639892500000002</v>
      </c>
      <c r="E153" s="187">
        <f t="shared" si="20"/>
        <v>61.837724000000001</v>
      </c>
      <c r="F153" s="187">
        <f t="shared" si="20"/>
        <v>65.901263499999999</v>
      </c>
      <c r="G153" s="187">
        <f t="shared" si="20"/>
        <v>72.807829999999996</v>
      </c>
      <c r="H153" s="187">
        <f t="shared" si="20"/>
        <v>68.975128999999995</v>
      </c>
      <c r="I153" s="187">
        <f t="shared" si="20"/>
        <v>66.906879000000004</v>
      </c>
      <c r="J153" s="187">
        <f t="shared" si="20"/>
        <v>71.978429000000006</v>
      </c>
      <c r="K153" s="187">
        <f t="shared" si="20"/>
        <v>64.772149999999996</v>
      </c>
      <c r="L153" s="187">
        <f t="shared" si="20"/>
        <v>67.480593499999998</v>
      </c>
      <c r="M153" s="187">
        <f t="shared" si="20"/>
        <v>63.217403500000003</v>
      </c>
      <c r="N153" s="187">
        <f t="shared" si="20"/>
        <v>59.032142</v>
      </c>
    </row>
    <row r="154" spans="1:15" s="188" customFormat="1" ht="12">
      <c r="A154" s="189" t="s">
        <v>96</v>
      </c>
      <c r="B154" s="190">
        <f>SUM(B142:B153)</f>
        <v>21139.128938809998</v>
      </c>
      <c r="C154" s="190">
        <f t="shared" ref="C154:N154" si="21">SUM(C142:C153)</f>
        <v>20218.393608435999</v>
      </c>
      <c r="D154" s="190">
        <f t="shared" si="21"/>
        <v>19406.972181196001</v>
      </c>
      <c r="E154" s="190">
        <f t="shared" si="21"/>
        <v>19438.477871362</v>
      </c>
      <c r="F154" s="190">
        <f t="shared" si="21"/>
        <v>21881.075366413999</v>
      </c>
      <c r="G154" s="190">
        <f t="shared" si="21"/>
        <v>22696.375837543997</v>
      </c>
      <c r="H154" s="190">
        <f t="shared" si="21"/>
        <v>23080.625056903998</v>
      </c>
      <c r="I154" s="190">
        <f t="shared" si="21"/>
        <v>20038.942148127993</v>
      </c>
      <c r="J154" s="190">
        <f t="shared" si="21"/>
        <v>21597.502798859998</v>
      </c>
      <c r="K154" s="190">
        <f t="shared" si="21"/>
        <v>20639.689111888001</v>
      </c>
      <c r="L154" s="190">
        <f t="shared" si="21"/>
        <v>20899.017787637997</v>
      </c>
      <c r="M154" s="190">
        <f t="shared" si="21"/>
        <v>21944.997731913998</v>
      </c>
      <c r="N154" s="190">
        <f t="shared" si="21"/>
        <v>24943.215549856002</v>
      </c>
    </row>
    <row r="156" spans="1:15" s="188" customFormat="1" ht="12">
      <c r="A156" s="192" t="s">
        <v>115</v>
      </c>
      <c r="B156" s="202">
        <f>B142+B147+B148+B149+B150+B153</f>
        <v>10144.914530278</v>
      </c>
      <c r="C156" s="202">
        <f t="shared" ref="C156:M156" si="22">C142+C147+C148+C149+C150+C153</f>
        <v>8961.2947426039991</v>
      </c>
      <c r="D156" s="202">
        <f t="shared" si="22"/>
        <v>7296.8418862400013</v>
      </c>
      <c r="E156" s="202">
        <f t="shared" si="22"/>
        <v>7807.567507660001</v>
      </c>
      <c r="F156" s="202">
        <f t="shared" si="22"/>
        <v>9507.0830240120013</v>
      </c>
      <c r="G156" s="202">
        <f t="shared" si="22"/>
        <v>10942.998025504001</v>
      </c>
      <c r="H156" s="202">
        <f t="shared" si="22"/>
        <v>9608.3499481439994</v>
      </c>
      <c r="I156" s="202">
        <f t="shared" si="22"/>
        <v>8070.1335141300005</v>
      </c>
      <c r="J156" s="202">
        <f t="shared" si="22"/>
        <v>10213.414166176002</v>
      </c>
      <c r="K156" s="202">
        <f t="shared" si="22"/>
        <v>10752.338240696001</v>
      </c>
      <c r="L156" s="202">
        <f t="shared" si="22"/>
        <v>10885.533524834</v>
      </c>
      <c r="M156" s="202">
        <f t="shared" si="22"/>
        <v>8975.7573471760006</v>
      </c>
      <c r="N156" s="202">
        <f>N142+N147+N148+N149+N150+N153</f>
        <v>9836.884988836</v>
      </c>
    </row>
    <row r="157" spans="1:15" s="188" customFormat="1" ht="12">
      <c r="A157" s="192" t="s">
        <v>116</v>
      </c>
      <c r="B157" s="202">
        <f>B143+B144+B145+B146+B151+B152</f>
        <v>10994.214408532</v>
      </c>
      <c r="C157" s="202">
        <f t="shared" ref="C157:N157" si="23">C143+C144+C145+C146+C151+C152</f>
        <v>11257.098865831998</v>
      </c>
      <c r="D157" s="202">
        <f t="shared" si="23"/>
        <v>12110.130294956001</v>
      </c>
      <c r="E157" s="202">
        <f t="shared" si="23"/>
        <v>11630.910363702002</v>
      </c>
      <c r="F157" s="202">
        <f t="shared" si="23"/>
        <v>12373.992342402</v>
      </c>
      <c r="G157" s="202">
        <f t="shared" si="23"/>
        <v>11753.377812039998</v>
      </c>
      <c r="H157" s="202">
        <f t="shared" si="23"/>
        <v>13472.275108759999</v>
      </c>
      <c r="I157" s="202">
        <f t="shared" si="23"/>
        <v>11968.808633998</v>
      </c>
      <c r="J157" s="202">
        <f t="shared" si="23"/>
        <v>11384.088632684001</v>
      </c>
      <c r="K157" s="202">
        <f t="shared" si="23"/>
        <v>9887.3508711920003</v>
      </c>
      <c r="L157" s="202">
        <f t="shared" si="23"/>
        <v>10013.484262804001</v>
      </c>
      <c r="M157" s="202">
        <f t="shared" si="23"/>
        <v>12969.240384737999</v>
      </c>
      <c r="N157" s="202">
        <f t="shared" si="23"/>
        <v>15106.33056102</v>
      </c>
    </row>
    <row r="158" spans="1:15" s="188" customFormat="1" ht="12">
      <c r="A158" s="192" t="s">
        <v>117</v>
      </c>
      <c r="B158" s="193">
        <f>B142/B$154*100+B147/B$154*100+B148/B$154*100+B149/B$154*100+B150/B$154*100+B153/B$154*100</f>
        <v>47.991166332557007</v>
      </c>
      <c r="C158" s="193">
        <f t="shared" ref="C158:N158" si="24">C142/C$154*100+C147/C$154*100+C148/C$154*100+C149/C$154*100+C150/C$154*100+C153/C$154*100</f>
        <v>44.322486326831402</v>
      </c>
      <c r="D158" s="193">
        <f t="shared" si="24"/>
        <v>37.599074281716803</v>
      </c>
      <c r="E158" s="193">
        <f t="shared" si="24"/>
        <v>40.16552921133092</v>
      </c>
      <c r="F158" s="193">
        <f t="shared" si="24"/>
        <v>43.448883863380608</v>
      </c>
      <c r="G158" s="193">
        <f t="shared" si="24"/>
        <v>48.214737471003019</v>
      </c>
      <c r="H158" s="193">
        <f t="shared" si="24"/>
        <v>41.62950493955492</v>
      </c>
      <c r="I158" s="193">
        <f t="shared" si="24"/>
        <v>40.272253168233732</v>
      </c>
      <c r="J158" s="193">
        <f t="shared" si="24"/>
        <v>47.289792071308845</v>
      </c>
      <c r="K158" s="193">
        <f t="shared" si="24"/>
        <v>52.095446701776588</v>
      </c>
      <c r="L158" s="193">
        <f t="shared" si="24"/>
        <v>52.086340302906081</v>
      </c>
      <c r="M158" s="193">
        <f t="shared" si="24"/>
        <v>40.901154134651861</v>
      </c>
      <c r="N158" s="193">
        <f t="shared" si="24"/>
        <v>39.437116554496477</v>
      </c>
      <c r="O158" s="255">
        <f>N158-B158</f>
        <v>-8.5540497780605307</v>
      </c>
    </row>
    <row r="159" spans="1:15" s="188" customFormat="1" ht="12">
      <c r="A159" s="192" t="s">
        <v>118</v>
      </c>
      <c r="B159" s="193">
        <f>B143/B$154*100+B144/B$154*100+B145/B$154*100+B151/B$154*100+B152/B$154*100+B146/B$154*100</f>
        <v>52.008833667443</v>
      </c>
      <c r="C159" s="193">
        <f>C143/C$154*100+C144/C$154*100+C145/C$154*100+C151/C$154*100+C152/C$154*100+C146/C$154*100</f>
        <v>55.677513673168605</v>
      </c>
      <c r="D159" s="193">
        <f>D143/D$154*100+D144/D$154*100+D145/D$154*100+D151/D$154*100+D152/D$154*100+D146/D$154*100</f>
        <v>62.400925718283197</v>
      </c>
      <c r="E159" s="193">
        <f>E143/E$154*100+E144/E$154*100+E145/E$154*100+E151/E$154*100+E152/E$154*100+E146/E$154*100</f>
        <v>59.83447078866908</v>
      </c>
      <c r="F159" s="193">
        <f t="shared" ref="F159:M159" si="25">100-F158</f>
        <v>56.551116136619392</v>
      </c>
      <c r="G159" s="193">
        <f t="shared" si="25"/>
        <v>51.785262528996981</v>
      </c>
      <c r="H159" s="193">
        <f t="shared" si="25"/>
        <v>58.37049506044508</v>
      </c>
      <c r="I159" s="193">
        <f t="shared" si="25"/>
        <v>59.727746831766268</v>
      </c>
      <c r="J159" s="193">
        <f t="shared" si="25"/>
        <v>52.710207928691155</v>
      </c>
      <c r="K159" s="193">
        <f t="shared" si="25"/>
        <v>47.904553298223412</v>
      </c>
      <c r="L159" s="193">
        <f t="shared" si="25"/>
        <v>47.913659697093919</v>
      </c>
      <c r="M159" s="193">
        <f t="shared" si="25"/>
        <v>59.098845865348139</v>
      </c>
      <c r="N159" s="193">
        <f t="shared" ref="N159" si="26">100-N158</f>
        <v>60.562883445503523</v>
      </c>
    </row>
    <row r="160" spans="1:15" s="188" customFormat="1" ht="12">
      <c r="A160" s="192"/>
      <c r="B160" s="192"/>
    </row>
    <row r="161" spans="1:19" s="188" customFormat="1" ht="12">
      <c r="A161" s="192" t="s">
        <v>84</v>
      </c>
      <c r="B161" s="192"/>
      <c r="N161" s="255"/>
    </row>
    <row r="162" spans="1:19" s="188" customFormat="1" ht="12">
      <c r="A162" s="192" t="s">
        <v>85</v>
      </c>
      <c r="B162" s="192"/>
    </row>
    <row r="164" spans="1:19" s="188" customFormat="1" ht="12">
      <c r="A164" s="192" t="s">
        <v>19</v>
      </c>
      <c r="B164" s="187">
        <f>B142+B144+B147+B148+B149+B150+B153</f>
        <v>15264.243471278</v>
      </c>
      <c r="C164" s="187">
        <f t="shared" ref="C164:N164" si="27">C142+C144+C147+C148+C149+C150+C153</f>
        <v>14112.538314604</v>
      </c>
      <c r="D164" s="187">
        <f t="shared" si="27"/>
        <v>12187.34841124</v>
      </c>
      <c r="E164" s="187">
        <f t="shared" si="27"/>
        <v>12555.96245366</v>
      </c>
      <c r="F164" s="187">
        <f t="shared" si="27"/>
        <v>13069.441295011999</v>
      </c>
      <c r="G164" s="187">
        <f t="shared" si="27"/>
        <v>14865.853131504002</v>
      </c>
      <c r="H164" s="187">
        <f t="shared" si="27"/>
        <v>14656.774899144</v>
      </c>
      <c r="I164" s="187">
        <f t="shared" si="27"/>
        <v>12841.19242213</v>
      </c>
      <c r="J164" s="187">
        <f t="shared" si="27"/>
        <v>14980.205730176001</v>
      </c>
      <c r="K164" s="187">
        <f t="shared" si="27"/>
        <v>15166.062510696</v>
      </c>
      <c r="L164" s="187">
        <f t="shared" si="27"/>
        <v>14951.888855834</v>
      </c>
      <c r="M164" s="187">
        <f t="shared" si="27"/>
        <v>13435.216513176001</v>
      </c>
      <c r="N164" s="187">
        <f t="shared" si="27"/>
        <v>14910.039145836001</v>
      </c>
    </row>
    <row r="165" spans="1:19" s="188" customFormat="1" ht="12">
      <c r="A165" s="192" t="s">
        <v>20</v>
      </c>
      <c r="B165" s="187">
        <f>B145+B146+B151+B152</f>
        <v>5759.0938935000004</v>
      </c>
      <c r="C165" s="187">
        <f t="shared" ref="C165:N165" si="28">C145+C146+C151+C152</f>
        <v>5946.1127825000003</v>
      </c>
      <c r="D165" s="187">
        <f t="shared" si="28"/>
        <v>7101.3839074999996</v>
      </c>
      <c r="E165" s="187">
        <f t="shared" si="28"/>
        <v>6650.4021789999997</v>
      </c>
      <c r="F165" s="187">
        <f t="shared" si="28"/>
        <v>8608.8472414999997</v>
      </c>
      <c r="G165" s="187">
        <f t="shared" si="28"/>
        <v>7560.6140820000001</v>
      </c>
      <c r="H165" s="187">
        <f t="shared" si="28"/>
        <v>8208.3979729999992</v>
      </c>
      <c r="I165" s="187">
        <f t="shared" si="28"/>
        <v>6912.6635370000004</v>
      </c>
      <c r="J165" s="187">
        <f t="shared" si="28"/>
        <v>6343.4489159999994</v>
      </c>
      <c r="K165" s="187">
        <f t="shared" si="28"/>
        <v>5136.916248999999</v>
      </c>
      <c r="L165" s="187">
        <f t="shared" si="28"/>
        <v>5647.2488625000005</v>
      </c>
      <c r="M165" s="187">
        <f t="shared" si="28"/>
        <v>8238.8572614999994</v>
      </c>
      <c r="N165" s="187">
        <f t="shared" si="28"/>
        <v>9816.5587859999996</v>
      </c>
    </row>
    <row r="166" spans="1:19" s="188" customFormat="1" ht="12">
      <c r="A166" s="192" t="s">
        <v>113</v>
      </c>
      <c r="B166" s="193">
        <f>B142/(B$154-B$143)*100+B147/(B$154-B$143)*100+B148/(B$154-B$143)*100+B149/(B$154-B$143)*100+B150/(B$154-B$143)*100+B144/(B$154-B$143)*100+B153/(B$154-B$143)*100</f>
        <v>72.606186194069025</v>
      </c>
      <c r="C166" s="193">
        <f t="shared" ref="C166:N166" si="29">C142/(C$154-C$143)*100+C147/(C$154-C$143)*100+C148/(C$154-C$143)*100+C149/(C$154-C$143)*100+C150/(C$154-C$143)*100+C144/(C$154-C$143)*100+C153/(C$154-C$143)*100</f>
        <v>70.356367665428508</v>
      </c>
      <c r="D166" s="193">
        <f t="shared" si="29"/>
        <v>63.183770762370735</v>
      </c>
      <c r="E166" s="193">
        <f t="shared" si="29"/>
        <v>65.373966879233677</v>
      </c>
      <c r="F166" s="193">
        <f t="shared" si="29"/>
        <v>60.288160077764388</v>
      </c>
      <c r="G166" s="193">
        <f t="shared" si="29"/>
        <v>66.287092790756589</v>
      </c>
      <c r="H166" s="193">
        <f t="shared" si="29"/>
        <v>64.10087070454621</v>
      </c>
      <c r="I166" s="193">
        <f t="shared" si="29"/>
        <v>65.006004137612209</v>
      </c>
      <c r="J166" s="193">
        <f t="shared" si="29"/>
        <v>70.251586694415082</v>
      </c>
      <c r="K166" s="193">
        <f t="shared" si="29"/>
        <v>74.698706481447758</v>
      </c>
      <c r="L166" s="193">
        <f t="shared" si="29"/>
        <v>72.585023025144707</v>
      </c>
      <c r="M166" s="193">
        <f t="shared" si="29"/>
        <v>61.987500148097283</v>
      </c>
      <c r="N166" s="193">
        <f t="shared" si="29"/>
        <v>60.299597975178862</v>
      </c>
      <c r="O166" s="290">
        <f>N166-B166</f>
        <v>-12.306588218890163</v>
      </c>
    </row>
    <row r="167" spans="1:19" s="188" customFormat="1" ht="12">
      <c r="A167" s="192" t="s">
        <v>114</v>
      </c>
      <c r="B167" s="193">
        <f>B151/(B$154-B$143)*100+B152/(B$154-B$143)*100+B145/(B$154-B$143)*100+B146/(B$154-B$143)*100</f>
        <v>27.393813805930971</v>
      </c>
      <c r="C167" s="193">
        <f t="shared" ref="C167:N167" si="30">C151/(C$154-C$143)*100+C152/(C$154-C$143)*100+C145/(C$154-C$143)*100+C146/(C$154-C$143)*100</f>
        <v>29.643632334571492</v>
      </c>
      <c r="D167" s="193">
        <f t="shared" si="30"/>
        <v>36.816229237629258</v>
      </c>
      <c r="E167" s="193">
        <f t="shared" si="30"/>
        <v>34.626033120766323</v>
      </c>
      <c r="F167" s="193">
        <f t="shared" si="30"/>
        <v>39.711839922235619</v>
      </c>
      <c r="G167" s="193">
        <f t="shared" si="30"/>
        <v>33.712907209243411</v>
      </c>
      <c r="H167" s="193">
        <f t="shared" si="30"/>
        <v>35.899129295453797</v>
      </c>
      <c r="I167" s="193">
        <f t="shared" si="30"/>
        <v>34.993995862387827</v>
      </c>
      <c r="J167" s="193">
        <f t="shared" si="30"/>
        <v>29.748413305584933</v>
      </c>
      <c r="K167" s="193">
        <f t="shared" si="30"/>
        <v>25.301293518552228</v>
      </c>
      <c r="L167" s="193">
        <f t="shared" si="30"/>
        <v>27.414976974855307</v>
      </c>
      <c r="M167" s="193">
        <f t="shared" si="30"/>
        <v>38.012499851902717</v>
      </c>
      <c r="N167" s="193">
        <f t="shared" si="30"/>
        <v>39.70040202482113</v>
      </c>
    </row>
    <row r="168" spans="1:19" s="188" customFormat="1" ht="12">
      <c r="A168" s="192"/>
      <c r="B168" s="192"/>
    </row>
    <row r="169" spans="1:19" s="188" customFormat="1" ht="12">
      <c r="A169" s="192" t="s">
        <v>220</v>
      </c>
      <c r="B169" s="192"/>
      <c r="N169" s="255"/>
    </row>
    <row r="170" spans="1:19" s="188" customFormat="1" ht="12">
      <c r="A170" s="192" t="s">
        <v>127</v>
      </c>
      <c r="B170" s="192"/>
    </row>
    <row r="175" spans="1:19">
      <c r="A175" s="174" t="s">
        <v>105</v>
      </c>
      <c r="B175" s="342" t="s">
        <v>98</v>
      </c>
      <c r="C175" s="343"/>
      <c r="D175" s="343"/>
      <c r="E175" s="343"/>
      <c r="F175" s="343"/>
      <c r="G175" s="343"/>
      <c r="H175" s="343"/>
      <c r="I175" s="343"/>
      <c r="J175" s="343"/>
      <c r="K175" s="343"/>
      <c r="L175" s="343"/>
      <c r="M175" s="343"/>
      <c r="N175" s="343"/>
      <c r="O175" s="343"/>
      <c r="P175" s="343"/>
      <c r="Q175" s="343"/>
      <c r="R175" s="343"/>
      <c r="S175" s="343"/>
    </row>
    <row r="176" spans="1:19">
      <c r="A176" s="174" t="s">
        <v>106</v>
      </c>
      <c r="B176" s="346" t="s">
        <v>119</v>
      </c>
      <c r="C176" s="347"/>
      <c r="D176" s="347"/>
      <c r="E176" s="347"/>
      <c r="F176" s="347"/>
      <c r="G176" s="347"/>
      <c r="H176" s="347"/>
      <c r="I176" s="347"/>
      <c r="J176" s="347"/>
      <c r="K176" s="347"/>
      <c r="L176" s="347"/>
      <c r="M176" s="347"/>
      <c r="N176" s="347"/>
      <c r="O176" s="347"/>
      <c r="P176" s="347"/>
      <c r="Q176" s="347"/>
      <c r="R176" s="347"/>
      <c r="S176" s="347"/>
    </row>
    <row r="177" spans="1:23">
      <c r="A177" s="179" t="s">
        <v>30</v>
      </c>
      <c r="B177" s="344" t="s">
        <v>226</v>
      </c>
      <c r="C177" s="345"/>
      <c r="D177" s="345"/>
      <c r="E177" s="345"/>
      <c r="F177" s="345"/>
      <c r="G177" s="345"/>
      <c r="H177" s="345"/>
      <c r="I177" s="345"/>
      <c r="J177" s="345"/>
      <c r="K177" s="345"/>
      <c r="L177" s="345"/>
      <c r="M177" s="345"/>
      <c r="N177" s="345"/>
      <c r="O177" s="345"/>
      <c r="P177" s="345"/>
      <c r="Q177" s="345"/>
      <c r="R177" s="345"/>
      <c r="S177" s="345"/>
    </row>
    <row r="178" spans="1:23">
      <c r="A178" s="179" t="s">
        <v>107</v>
      </c>
      <c r="B178" s="324" t="s">
        <v>2</v>
      </c>
      <c r="C178" s="324" t="s">
        <v>81</v>
      </c>
      <c r="D178" s="324" t="s">
        <v>3</v>
      </c>
      <c r="E178" s="324" t="s">
        <v>4</v>
      </c>
      <c r="F178" s="324" t="s">
        <v>95</v>
      </c>
      <c r="G178" s="324" t="s">
        <v>11</v>
      </c>
      <c r="H178" s="324" t="s">
        <v>5</v>
      </c>
      <c r="I178" s="324" t="s">
        <v>6</v>
      </c>
      <c r="J178" s="324" t="s">
        <v>7</v>
      </c>
      <c r="K178" s="324" t="s">
        <v>8</v>
      </c>
      <c r="L178" s="324" t="s">
        <v>9</v>
      </c>
      <c r="M178" s="324" t="s">
        <v>69</v>
      </c>
      <c r="N178" s="324" t="s">
        <v>70</v>
      </c>
      <c r="O178" s="194" t="s">
        <v>10</v>
      </c>
      <c r="P178" s="324" t="s">
        <v>122</v>
      </c>
      <c r="Q178" s="324" t="s">
        <v>97</v>
      </c>
      <c r="R178" s="324" t="s">
        <v>123</v>
      </c>
      <c r="S178" s="194" t="s">
        <v>124</v>
      </c>
      <c r="V178" s="196" t="s">
        <v>23</v>
      </c>
      <c r="W178" s="196" t="s">
        <v>22</v>
      </c>
    </row>
    <row r="179" spans="1:23" ht="14.25">
      <c r="A179" s="174" t="s">
        <v>31</v>
      </c>
      <c r="B179" s="310"/>
      <c r="C179" s="310"/>
      <c r="D179" s="310"/>
      <c r="E179" s="310"/>
      <c r="F179" s="310"/>
      <c r="G179" s="310"/>
      <c r="H179" s="310"/>
      <c r="I179" s="310"/>
      <c r="J179" s="310"/>
      <c r="K179" s="310"/>
      <c r="L179" s="310"/>
      <c r="M179" s="310"/>
      <c r="N179" s="310"/>
      <c r="O179" s="195"/>
      <c r="P179" s="310"/>
      <c r="Q179" s="310"/>
      <c r="R179" s="310"/>
      <c r="S179" s="195"/>
      <c r="V179" s="197"/>
      <c r="W179" s="197"/>
    </row>
    <row r="180" spans="1:23" ht="14.25">
      <c r="A180" s="311">
        <v>1</v>
      </c>
      <c r="B180" s="177">
        <v>39192.859956</v>
      </c>
      <c r="C180" s="177">
        <v>8786.3415160000004</v>
      </c>
      <c r="D180" s="177">
        <v>166720.66699999999</v>
      </c>
      <c r="E180" s="177">
        <v>24138.877</v>
      </c>
      <c r="F180" s="177">
        <v>0</v>
      </c>
      <c r="G180" s="177">
        <v>181480.174</v>
      </c>
      <c r="H180" s="177">
        <v>112086.46799999999</v>
      </c>
      <c r="I180" s="177">
        <v>114767.34299999999</v>
      </c>
      <c r="J180" s="177">
        <v>23867.38</v>
      </c>
      <c r="K180" s="177">
        <v>14735.65</v>
      </c>
      <c r="L180" s="177">
        <v>35817.826999999997</v>
      </c>
      <c r="M180" s="177">
        <v>2071.1345000000001</v>
      </c>
      <c r="N180" s="177">
        <v>5451.1094999999996</v>
      </c>
      <c r="O180" s="178">
        <v>729115.83147199999</v>
      </c>
      <c r="P180" s="177">
        <v>-8490.77</v>
      </c>
      <c r="Q180" s="177">
        <v>-1237.4639999999999</v>
      </c>
      <c r="R180" s="177">
        <v>-52415.03</v>
      </c>
      <c r="S180" s="178">
        <v>666972.56747200002</v>
      </c>
      <c r="V180" s="198">
        <f>IFERROR($H180/$O180*100,"")</f>
        <v>15.372930220663356</v>
      </c>
      <c r="W180" s="197">
        <f>IF($H180=0,"",$H180/1000)</f>
        <v>112.086468</v>
      </c>
    </row>
    <row r="181" spans="1:23" ht="14.25">
      <c r="A181" s="311">
        <v>2</v>
      </c>
      <c r="B181" s="177">
        <v>34248.843489999999</v>
      </c>
      <c r="C181" s="177">
        <v>4150.4498919999996</v>
      </c>
      <c r="D181" s="177">
        <v>161048.481</v>
      </c>
      <c r="E181" s="177">
        <v>28057.788</v>
      </c>
      <c r="F181" s="177">
        <v>0</v>
      </c>
      <c r="G181" s="177">
        <v>150858.15599999999</v>
      </c>
      <c r="H181" s="177">
        <v>135607.14300000001</v>
      </c>
      <c r="I181" s="177">
        <v>109675.197</v>
      </c>
      <c r="J181" s="177">
        <v>23350.18</v>
      </c>
      <c r="K181" s="177">
        <v>14266.473</v>
      </c>
      <c r="L181" s="177">
        <v>34328.160000000003</v>
      </c>
      <c r="M181" s="177">
        <v>2028.7940000000001</v>
      </c>
      <c r="N181" s="177">
        <v>5397.6180000000004</v>
      </c>
      <c r="O181" s="178">
        <v>703017.28338200005</v>
      </c>
      <c r="P181" s="177">
        <v>-10860.361000000001</v>
      </c>
      <c r="Q181" s="177">
        <v>-1433.376</v>
      </c>
      <c r="R181" s="177">
        <v>-71471.031000000003</v>
      </c>
      <c r="S181" s="178">
        <v>619252.51538200001</v>
      </c>
      <c r="V181" s="198">
        <f t="shared" ref="V181:V210" si="31">IFERROR($H181/$O181*100,"")</f>
        <v>19.289304289595233</v>
      </c>
      <c r="W181" s="197">
        <f t="shared" ref="W181:W210" si="32">IF($H181=0,"",$H181/1000)</f>
        <v>135.60714300000001</v>
      </c>
    </row>
    <row r="182" spans="1:23" ht="14.25">
      <c r="A182" s="311">
        <v>3</v>
      </c>
      <c r="B182" s="177">
        <v>31800.751420000001</v>
      </c>
      <c r="C182" s="177">
        <v>7168.9811479999998</v>
      </c>
      <c r="D182" s="177">
        <v>166023.65599999999</v>
      </c>
      <c r="E182" s="177">
        <v>26007.399000000001</v>
      </c>
      <c r="F182" s="177">
        <v>0</v>
      </c>
      <c r="G182" s="177">
        <v>129116.189</v>
      </c>
      <c r="H182" s="177">
        <v>163001.44099999999</v>
      </c>
      <c r="I182" s="177">
        <v>97875.432000000001</v>
      </c>
      <c r="J182" s="177">
        <v>17310.659</v>
      </c>
      <c r="K182" s="177">
        <v>13021.83</v>
      </c>
      <c r="L182" s="177">
        <v>33399.088000000003</v>
      </c>
      <c r="M182" s="177">
        <v>2042.461</v>
      </c>
      <c r="N182" s="177">
        <v>5264.7269999999999</v>
      </c>
      <c r="O182" s="178">
        <v>692032.61456799996</v>
      </c>
      <c r="P182" s="177">
        <v>-20182.731</v>
      </c>
      <c r="Q182" s="177">
        <v>-1865.6780000000001</v>
      </c>
      <c r="R182" s="177">
        <v>-85065.995999999999</v>
      </c>
      <c r="S182" s="178">
        <v>584918.20956800005</v>
      </c>
      <c r="V182" s="198">
        <f t="shared" si="31"/>
        <v>23.554011410539275</v>
      </c>
      <c r="W182" s="197">
        <f t="shared" si="32"/>
        <v>163.001441</v>
      </c>
    </row>
    <row r="183" spans="1:23" ht="14.25">
      <c r="A183" s="311">
        <v>4</v>
      </c>
      <c r="B183" s="177">
        <v>33540.123246000003</v>
      </c>
      <c r="C183" s="177">
        <v>2192.5431699999999</v>
      </c>
      <c r="D183" s="177">
        <v>165961.98499999999</v>
      </c>
      <c r="E183" s="177">
        <v>30777.475999999999</v>
      </c>
      <c r="F183" s="177">
        <v>0</v>
      </c>
      <c r="G183" s="177">
        <v>205448.139</v>
      </c>
      <c r="H183" s="177">
        <v>146636.394</v>
      </c>
      <c r="I183" s="177">
        <v>115393.959</v>
      </c>
      <c r="J183" s="177">
        <v>20171.179</v>
      </c>
      <c r="K183" s="177">
        <v>12750.584999999999</v>
      </c>
      <c r="L183" s="177">
        <v>36646.603999999999</v>
      </c>
      <c r="M183" s="177">
        <v>2019.5464999999999</v>
      </c>
      <c r="N183" s="177">
        <v>5427.7385000000004</v>
      </c>
      <c r="O183" s="178">
        <v>776966.27241600002</v>
      </c>
      <c r="P183" s="177">
        <v>-2819.1689999999999</v>
      </c>
      <c r="Q183" s="177">
        <v>-1400.242</v>
      </c>
      <c r="R183" s="177">
        <v>-87082.709000000003</v>
      </c>
      <c r="S183" s="178">
        <v>685664.15241600003</v>
      </c>
      <c r="V183" s="198">
        <f t="shared" si="31"/>
        <v>18.872942006096316</v>
      </c>
      <c r="W183" s="197">
        <f t="shared" si="32"/>
        <v>146.636394</v>
      </c>
    </row>
    <row r="184" spans="1:23" ht="14.25">
      <c r="A184" s="311">
        <v>5</v>
      </c>
      <c r="B184" s="177">
        <v>30836.781324</v>
      </c>
      <c r="C184" s="177">
        <v>3660.2978240000002</v>
      </c>
      <c r="D184" s="177">
        <v>165890.364</v>
      </c>
      <c r="E184" s="177">
        <v>29251.662</v>
      </c>
      <c r="F184" s="177">
        <v>0</v>
      </c>
      <c r="G184" s="177">
        <v>182477.185</v>
      </c>
      <c r="H184" s="177">
        <v>216951.5</v>
      </c>
      <c r="I184" s="177">
        <v>102158.79</v>
      </c>
      <c r="J184" s="177">
        <v>20832.010999999999</v>
      </c>
      <c r="K184" s="177">
        <v>12942.725</v>
      </c>
      <c r="L184" s="177">
        <v>36984.004999999997</v>
      </c>
      <c r="M184" s="177">
        <v>2008.972</v>
      </c>
      <c r="N184" s="177">
        <v>5361.3909999999996</v>
      </c>
      <c r="O184" s="178">
        <v>809355.68414799997</v>
      </c>
      <c r="P184" s="177">
        <v>-13519.145</v>
      </c>
      <c r="Q184" s="177">
        <v>-1944.95</v>
      </c>
      <c r="R184" s="177">
        <v>-77519.303</v>
      </c>
      <c r="S184" s="178">
        <v>716372.28614800004</v>
      </c>
      <c r="V184" s="198">
        <f t="shared" si="31"/>
        <v>26.805458248975235</v>
      </c>
      <c r="W184" s="197">
        <f t="shared" si="32"/>
        <v>216.95150000000001</v>
      </c>
    </row>
    <row r="185" spans="1:23" ht="14.25">
      <c r="A185" s="311">
        <v>6</v>
      </c>
      <c r="B185" s="177">
        <v>30122.747732</v>
      </c>
      <c r="C185" s="177">
        <v>5654.0394299999998</v>
      </c>
      <c r="D185" s="177">
        <v>162095.421</v>
      </c>
      <c r="E185" s="177">
        <v>30914.038</v>
      </c>
      <c r="F185" s="177">
        <v>0</v>
      </c>
      <c r="G185" s="177">
        <v>155161.68700000001</v>
      </c>
      <c r="H185" s="177">
        <v>231476.15299999999</v>
      </c>
      <c r="I185" s="177">
        <v>98331.005000000005</v>
      </c>
      <c r="J185" s="177">
        <v>22191</v>
      </c>
      <c r="K185" s="177">
        <v>13324.201999999999</v>
      </c>
      <c r="L185" s="177">
        <v>37769.646999999997</v>
      </c>
      <c r="M185" s="177">
        <v>1981.8979999999999</v>
      </c>
      <c r="N185" s="177">
        <v>5450.2359999999999</v>
      </c>
      <c r="O185" s="178">
        <v>794472.07416199998</v>
      </c>
      <c r="P185" s="177">
        <v>-8088.3680000000004</v>
      </c>
      <c r="Q185" s="177">
        <v>-2065.0030000000002</v>
      </c>
      <c r="R185" s="177">
        <v>-69774.331000000006</v>
      </c>
      <c r="S185" s="178">
        <v>714544.37216200004</v>
      </c>
      <c r="V185" s="198">
        <f t="shared" si="31"/>
        <v>29.135845113770468</v>
      </c>
      <c r="W185" s="197">
        <f t="shared" si="32"/>
        <v>231.47615299999998</v>
      </c>
    </row>
    <row r="186" spans="1:23" ht="14.25">
      <c r="A186" s="311">
        <v>7</v>
      </c>
      <c r="B186" s="177">
        <v>27860.362312000001</v>
      </c>
      <c r="C186" s="177">
        <v>4995.1253660000002</v>
      </c>
      <c r="D186" s="177">
        <v>166121.74</v>
      </c>
      <c r="E186" s="177">
        <v>30845.269</v>
      </c>
      <c r="F186" s="177">
        <v>0</v>
      </c>
      <c r="G186" s="177">
        <v>123741.72100000001</v>
      </c>
      <c r="H186" s="177">
        <v>256580.77900000001</v>
      </c>
      <c r="I186" s="177">
        <v>113978.488</v>
      </c>
      <c r="J186" s="177">
        <v>24584.815999999999</v>
      </c>
      <c r="K186" s="177">
        <v>12977.625</v>
      </c>
      <c r="L186" s="177">
        <v>35967.417000000001</v>
      </c>
      <c r="M186" s="177">
        <v>1873.7829999999999</v>
      </c>
      <c r="N186" s="177">
        <v>5004.3379999999997</v>
      </c>
      <c r="O186" s="178">
        <v>804531.46367800003</v>
      </c>
      <c r="P186" s="177">
        <v>-22880.794999999998</v>
      </c>
      <c r="Q186" s="177">
        <v>-3700.7289999999998</v>
      </c>
      <c r="R186" s="177">
        <v>-71157.48</v>
      </c>
      <c r="S186" s="178">
        <v>706792.45967799996</v>
      </c>
      <c r="V186" s="198">
        <f t="shared" si="31"/>
        <v>31.891950853856489</v>
      </c>
      <c r="W186" s="197">
        <f t="shared" si="32"/>
        <v>256.58077900000001</v>
      </c>
    </row>
    <row r="187" spans="1:23" ht="14.25">
      <c r="A187" s="311">
        <v>8</v>
      </c>
      <c r="B187" s="177">
        <v>28605.687441999999</v>
      </c>
      <c r="C187" s="177">
        <v>12506.152142000001</v>
      </c>
      <c r="D187" s="177">
        <v>166281.33799999999</v>
      </c>
      <c r="E187" s="177">
        <v>29272.191999999999</v>
      </c>
      <c r="F187" s="177">
        <v>0</v>
      </c>
      <c r="G187" s="177">
        <v>152374.46799999999</v>
      </c>
      <c r="H187" s="177">
        <v>210524.96100000001</v>
      </c>
      <c r="I187" s="177">
        <v>114582.95600000001</v>
      </c>
      <c r="J187" s="177">
        <v>24270.165000000001</v>
      </c>
      <c r="K187" s="177">
        <v>12763.013000000001</v>
      </c>
      <c r="L187" s="177">
        <v>37177.171000000002</v>
      </c>
      <c r="M187" s="177">
        <v>1753.9760000000001</v>
      </c>
      <c r="N187" s="177">
        <v>5060.4859999999999</v>
      </c>
      <c r="O187" s="178">
        <v>795172.56558399997</v>
      </c>
      <c r="P187" s="177">
        <v>-7481.0230000000001</v>
      </c>
      <c r="Q187" s="177">
        <v>-2168.5100000000002</v>
      </c>
      <c r="R187" s="177">
        <v>-75267.627999999997</v>
      </c>
      <c r="S187" s="178">
        <v>710255.404584</v>
      </c>
      <c r="V187" s="198">
        <f t="shared" si="31"/>
        <v>26.475380327713367</v>
      </c>
      <c r="W187" s="197">
        <f t="shared" si="32"/>
        <v>210.52496100000002</v>
      </c>
    </row>
    <row r="188" spans="1:23" ht="14.25">
      <c r="A188" s="311">
        <v>9</v>
      </c>
      <c r="B188" s="177">
        <v>29451.886245999998</v>
      </c>
      <c r="C188" s="177">
        <v>7675.4439199999997</v>
      </c>
      <c r="D188" s="177">
        <v>165852.05499999999</v>
      </c>
      <c r="E188" s="177">
        <v>25349.528999999999</v>
      </c>
      <c r="F188" s="177">
        <v>0</v>
      </c>
      <c r="G188" s="177">
        <v>170306.872</v>
      </c>
      <c r="H188" s="177">
        <v>140371.09</v>
      </c>
      <c r="I188" s="177">
        <v>116887.514</v>
      </c>
      <c r="J188" s="177">
        <v>22685.817999999999</v>
      </c>
      <c r="K188" s="177">
        <v>13212.289000000001</v>
      </c>
      <c r="L188" s="177">
        <v>36668.951000000001</v>
      </c>
      <c r="M188" s="177">
        <v>1743.3579999999999</v>
      </c>
      <c r="N188" s="177">
        <v>5022.1779999999999</v>
      </c>
      <c r="O188" s="178">
        <v>735226.98416600004</v>
      </c>
      <c r="P188" s="177">
        <v>-10528.466</v>
      </c>
      <c r="Q188" s="177">
        <v>-2206.5259999999998</v>
      </c>
      <c r="R188" s="177">
        <v>-77732.441000000006</v>
      </c>
      <c r="S188" s="178">
        <v>644759.55116599996</v>
      </c>
      <c r="V188" s="198">
        <f t="shared" si="31"/>
        <v>19.092211388191775</v>
      </c>
      <c r="W188" s="197">
        <f t="shared" si="32"/>
        <v>140.37109000000001</v>
      </c>
    </row>
    <row r="189" spans="1:23" ht="14.25">
      <c r="A189" s="311">
        <v>10</v>
      </c>
      <c r="B189" s="177">
        <v>25674.528679999999</v>
      </c>
      <c r="C189" s="177">
        <v>3947.4740139999999</v>
      </c>
      <c r="D189" s="177">
        <v>165744.6</v>
      </c>
      <c r="E189" s="177">
        <v>22273.967000000001</v>
      </c>
      <c r="F189" s="177">
        <v>0</v>
      </c>
      <c r="G189" s="177">
        <v>215115.005</v>
      </c>
      <c r="H189" s="177">
        <v>103901.163</v>
      </c>
      <c r="I189" s="177">
        <v>109090.54700000001</v>
      </c>
      <c r="J189" s="177">
        <v>22367.754000000001</v>
      </c>
      <c r="K189" s="177">
        <v>13450.333000000001</v>
      </c>
      <c r="L189" s="177">
        <v>35054.525000000001</v>
      </c>
      <c r="M189" s="177">
        <v>1804.374</v>
      </c>
      <c r="N189" s="177">
        <v>5154.6329999999998</v>
      </c>
      <c r="O189" s="178">
        <v>723578.90369399998</v>
      </c>
      <c r="P189" s="177">
        <v>-27499.173999999999</v>
      </c>
      <c r="Q189" s="177">
        <v>-1831.2919999999999</v>
      </c>
      <c r="R189" s="177">
        <v>-87811.573000000004</v>
      </c>
      <c r="S189" s="178">
        <v>606436.86469399999</v>
      </c>
      <c r="V189" s="198">
        <f t="shared" si="31"/>
        <v>14.359341112567813</v>
      </c>
      <c r="W189" s="197">
        <f t="shared" si="32"/>
        <v>103.901163</v>
      </c>
    </row>
    <row r="190" spans="1:23" ht="14.25">
      <c r="A190" s="311">
        <v>11</v>
      </c>
      <c r="B190" s="177">
        <v>34990.017776000001</v>
      </c>
      <c r="C190" s="177">
        <v>3603.6573360000002</v>
      </c>
      <c r="D190" s="177">
        <v>165384.03200000001</v>
      </c>
      <c r="E190" s="177">
        <v>28807.71</v>
      </c>
      <c r="F190" s="177">
        <v>0</v>
      </c>
      <c r="G190" s="177">
        <v>282762.86900000001</v>
      </c>
      <c r="H190" s="177">
        <v>111910.821</v>
      </c>
      <c r="I190" s="177">
        <v>105585.485</v>
      </c>
      <c r="J190" s="177">
        <v>20934.983</v>
      </c>
      <c r="K190" s="177">
        <v>13621.135</v>
      </c>
      <c r="L190" s="177">
        <v>36954.478000000003</v>
      </c>
      <c r="M190" s="177">
        <v>1915.4839999999999</v>
      </c>
      <c r="N190" s="177">
        <v>5259.24</v>
      </c>
      <c r="O190" s="178">
        <v>811729.91211200005</v>
      </c>
      <c r="P190" s="177">
        <v>-4342.4440000000004</v>
      </c>
      <c r="Q190" s="177">
        <v>-1309.1759999999999</v>
      </c>
      <c r="R190" s="177">
        <v>-75709.758000000002</v>
      </c>
      <c r="S190" s="178">
        <v>730368.53411200002</v>
      </c>
      <c r="V190" s="198">
        <f t="shared" si="31"/>
        <v>13.786706554748578</v>
      </c>
      <c r="W190" s="197">
        <f t="shared" si="32"/>
        <v>111.910821</v>
      </c>
    </row>
    <row r="191" spans="1:23" ht="14.25">
      <c r="A191" s="311">
        <v>12</v>
      </c>
      <c r="B191" s="177">
        <v>40398.069371999998</v>
      </c>
      <c r="C191" s="177">
        <v>12188.217140000001</v>
      </c>
      <c r="D191" s="177">
        <v>165497.64499999999</v>
      </c>
      <c r="E191" s="177">
        <v>19267.362000000001</v>
      </c>
      <c r="F191" s="177">
        <v>0</v>
      </c>
      <c r="G191" s="177">
        <v>321089.40399999998</v>
      </c>
      <c r="H191" s="177">
        <v>107194.37300000001</v>
      </c>
      <c r="I191" s="177">
        <v>94750.436000000002</v>
      </c>
      <c r="J191" s="177">
        <v>14760.712</v>
      </c>
      <c r="K191" s="177">
        <v>13819.564</v>
      </c>
      <c r="L191" s="177">
        <v>35547.648999999998</v>
      </c>
      <c r="M191" s="177">
        <v>1671.6365000000001</v>
      </c>
      <c r="N191" s="177">
        <v>5044.0794999999998</v>
      </c>
      <c r="O191" s="178">
        <v>831229.14751200005</v>
      </c>
      <c r="P191" s="177">
        <v>-6231.9949999999999</v>
      </c>
      <c r="Q191" s="177">
        <v>-1551.5709999999999</v>
      </c>
      <c r="R191" s="177">
        <v>-63148.7</v>
      </c>
      <c r="S191" s="178">
        <v>760296.88151199999</v>
      </c>
      <c r="V191" s="198">
        <f t="shared" si="31"/>
        <v>12.895887171527812</v>
      </c>
      <c r="W191" s="197">
        <f t="shared" si="32"/>
        <v>107.19437300000001</v>
      </c>
    </row>
    <row r="192" spans="1:23" ht="14.25">
      <c r="A192" s="311">
        <v>13</v>
      </c>
      <c r="B192" s="177">
        <v>45100.853047999997</v>
      </c>
      <c r="C192" s="177">
        <v>7705.4159600000003</v>
      </c>
      <c r="D192" s="177">
        <v>165686.636</v>
      </c>
      <c r="E192" s="177">
        <v>13165.085999999999</v>
      </c>
      <c r="F192" s="177">
        <v>0</v>
      </c>
      <c r="G192" s="177">
        <v>369014.54</v>
      </c>
      <c r="H192" s="177">
        <v>100414.999</v>
      </c>
      <c r="I192" s="177">
        <v>101956.93799999999</v>
      </c>
      <c r="J192" s="177">
        <v>19072.749</v>
      </c>
      <c r="K192" s="177">
        <v>13974.592000000001</v>
      </c>
      <c r="L192" s="177">
        <v>34318.010999999999</v>
      </c>
      <c r="M192" s="177">
        <v>1468.7650000000001</v>
      </c>
      <c r="N192" s="177">
        <v>4941.0200000000004</v>
      </c>
      <c r="O192" s="178">
        <v>876819.60500800004</v>
      </c>
      <c r="P192" s="177">
        <v>-7637.4759999999997</v>
      </c>
      <c r="Q192" s="177">
        <v>-1083.3689999999999</v>
      </c>
      <c r="R192" s="177">
        <v>-91060.650999999998</v>
      </c>
      <c r="S192" s="178">
        <v>777038.109008</v>
      </c>
      <c r="V192" s="198">
        <f t="shared" si="31"/>
        <v>11.452184511668602</v>
      </c>
      <c r="W192" s="197">
        <f t="shared" si="32"/>
        <v>100.41499899999999</v>
      </c>
    </row>
    <row r="193" spans="1:23" ht="14.25">
      <c r="A193" s="311">
        <v>14</v>
      </c>
      <c r="B193" s="177">
        <v>39810.925428000002</v>
      </c>
      <c r="C193" s="177">
        <v>6862.8454519999996</v>
      </c>
      <c r="D193" s="177">
        <v>165618.236</v>
      </c>
      <c r="E193" s="177">
        <v>6421.2709999999997</v>
      </c>
      <c r="F193" s="177">
        <v>0</v>
      </c>
      <c r="G193" s="177">
        <v>369108.09499999997</v>
      </c>
      <c r="H193" s="177">
        <v>113150.058</v>
      </c>
      <c r="I193" s="177">
        <v>95334.657999999996</v>
      </c>
      <c r="J193" s="177">
        <v>16741.82</v>
      </c>
      <c r="K193" s="177">
        <v>13891.977999999999</v>
      </c>
      <c r="L193" s="177">
        <v>34802.366000000002</v>
      </c>
      <c r="M193" s="177">
        <v>1470.866</v>
      </c>
      <c r="N193" s="177">
        <v>4892.9319999999998</v>
      </c>
      <c r="O193" s="178">
        <v>868106.05088</v>
      </c>
      <c r="P193" s="177">
        <v>-6346.0410000000002</v>
      </c>
      <c r="Q193" s="177">
        <v>-1940.1990000000001</v>
      </c>
      <c r="R193" s="177">
        <v>-76313.7</v>
      </c>
      <c r="S193" s="178">
        <v>783506.11088000005</v>
      </c>
      <c r="V193" s="198">
        <f t="shared" si="31"/>
        <v>13.034128478346588</v>
      </c>
      <c r="W193" s="197">
        <f t="shared" si="32"/>
        <v>113.150058</v>
      </c>
    </row>
    <row r="194" spans="1:23" ht="14.25">
      <c r="A194" s="311">
        <v>15</v>
      </c>
      <c r="B194" s="177">
        <v>28812.703856</v>
      </c>
      <c r="C194" s="177">
        <v>8387.9368119999999</v>
      </c>
      <c r="D194" s="177">
        <v>165712.21799999999</v>
      </c>
      <c r="E194" s="177">
        <v>23067.891</v>
      </c>
      <c r="F194" s="177">
        <v>0</v>
      </c>
      <c r="G194" s="177">
        <v>344032.46100000001</v>
      </c>
      <c r="H194" s="177">
        <v>154173.00899999999</v>
      </c>
      <c r="I194" s="177">
        <v>96740.046000000002</v>
      </c>
      <c r="J194" s="177">
        <v>19579.077000000001</v>
      </c>
      <c r="K194" s="177">
        <v>13532.781999999999</v>
      </c>
      <c r="L194" s="177">
        <v>34006.201000000001</v>
      </c>
      <c r="M194" s="177">
        <v>1549.7840000000001</v>
      </c>
      <c r="N194" s="177">
        <v>5027.9780000000001</v>
      </c>
      <c r="O194" s="178">
        <v>894622.08766800002</v>
      </c>
      <c r="P194" s="177">
        <v>-19403.416000000001</v>
      </c>
      <c r="Q194" s="177">
        <v>-1434.758</v>
      </c>
      <c r="R194" s="177">
        <v>-93673.732999999993</v>
      </c>
      <c r="S194" s="178">
        <v>780110.18066800002</v>
      </c>
      <c r="V194" s="198">
        <f t="shared" si="31"/>
        <v>17.233311263516956</v>
      </c>
      <c r="W194" s="197">
        <f t="shared" si="32"/>
        <v>154.17300899999998</v>
      </c>
    </row>
    <row r="195" spans="1:23" ht="14.25">
      <c r="A195" s="311">
        <v>16</v>
      </c>
      <c r="B195" s="177">
        <v>27576.175963999998</v>
      </c>
      <c r="C195" s="177">
        <v>10565.564514</v>
      </c>
      <c r="D195" s="177">
        <v>165827.37599999999</v>
      </c>
      <c r="E195" s="177">
        <v>29041.718000000001</v>
      </c>
      <c r="F195" s="177">
        <v>0</v>
      </c>
      <c r="G195" s="177">
        <v>329340.21999999997</v>
      </c>
      <c r="H195" s="177">
        <v>90423.642999999996</v>
      </c>
      <c r="I195" s="177">
        <v>101989.886</v>
      </c>
      <c r="J195" s="177">
        <v>19091.203000000001</v>
      </c>
      <c r="K195" s="177">
        <v>13443.191000000001</v>
      </c>
      <c r="L195" s="177">
        <v>33423.917000000001</v>
      </c>
      <c r="M195" s="177">
        <v>1835.498</v>
      </c>
      <c r="N195" s="177">
        <v>5245.9790000000003</v>
      </c>
      <c r="O195" s="178">
        <v>827804.37147799996</v>
      </c>
      <c r="P195" s="177">
        <v>-20515.829000000002</v>
      </c>
      <c r="Q195" s="177">
        <v>-1598.2280000000001</v>
      </c>
      <c r="R195" s="177">
        <v>-106684.633</v>
      </c>
      <c r="S195" s="178">
        <v>699005.68147800001</v>
      </c>
      <c r="V195" s="198">
        <f t="shared" si="31"/>
        <v>10.923310641444605</v>
      </c>
      <c r="W195" s="197">
        <f t="shared" si="32"/>
        <v>90.423642999999998</v>
      </c>
    </row>
    <row r="196" spans="1:23" ht="14.25">
      <c r="A196" s="311">
        <v>17</v>
      </c>
      <c r="B196" s="177">
        <v>24744.924596000001</v>
      </c>
      <c r="C196" s="177">
        <v>8258.6996679999993</v>
      </c>
      <c r="D196" s="177">
        <v>165662.75399999999</v>
      </c>
      <c r="E196" s="177">
        <v>28355.261999999999</v>
      </c>
      <c r="F196" s="177">
        <v>0</v>
      </c>
      <c r="G196" s="177">
        <v>291077.62199999997</v>
      </c>
      <c r="H196" s="177">
        <v>108050.83900000001</v>
      </c>
      <c r="I196" s="177">
        <v>97804.501000000004</v>
      </c>
      <c r="J196" s="177">
        <v>18375.839</v>
      </c>
      <c r="K196" s="177">
        <v>12986.986999999999</v>
      </c>
      <c r="L196" s="177">
        <v>29670.893</v>
      </c>
      <c r="M196" s="177">
        <v>2017.278</v>
      </c>
      <c r="N196" s="177">
        <v>5321.0410000000002</v>
      </c>
      <c r="O196" s="178">
        <v>792326.64026400005</v>
      </c>
      <c r="P196" s="177">
        <v>-30447.755000000001</v>
      </c>
      <c r="Q196" s="177">
        <v>-4743.6610000000001</v>
      </c>
      <c r="R196" s="177">
        <v>-106227.209</v>
      </c>
      <c r="S196" s="178">
        <v>650908.01526400005</v>
      </c>
      <c r="V196" s="198">
        <f t="shared" si="31"/>
        <v>13.637158402751409</v>
      </c>
      <c r="W196" s="197">
        <f t="shared" si="32"/>
        <v>108.05083900000001</v>
      </c>
    </row>
    <row r="197" spans="1:23" ht="14.25">
      <c r="A197" s="311">
        <v>18</v>
      </c>
      <c r="B197" s="177">
        <v>28070.582106000002</v>
      </c>
      <c r="C197" s="177">
        <v>6984.0424059999996</v>
      </c>
      <c r="D197" s="177">
        <v>165515.193</v>
      </c>
      <c r="E197" s="177">
        <v>27367.447</v>
      </c>
      <c r="F197" s="177">
        <v>0</v>
      </c>
      <c r="G197" s="177">
        <v>329079.48800000001</v>
      </c>
      <c r="H197" s="177">
        <v>148451.43700000001</v>
      </c>
      <c r="I197" s="177">
        <v>102842.576</v>
      </c>
      <c r="J197" s="177">
        <v>18678.544000000002</v>
      </c>
      <c r="K197" s="177">
        <v>13502.254000000001</v>
      </c>
      <c r="L197" s="177">
        <v>32188.722000000002</v>
      </c>
      <c r="M197" s="177">
        <v>1977.3720000000001</v>
      </c>
      <c r="N197" s="177">
        <v>5466.2619999999997</v>
      </c>
      <c r="O197" s="178">
        <v>880123.91951200005</v>
      </c>
      <c r="P197" s="177">
        <v>-26669.037</v>
      </c>
      <c r="Q197" s="177">
        <v>-2897.6410000000001</v>
      </c>
      <c r="R197" s="177">
        <v>-81227.557000000001</v>
      </c>
      <c r="S197" s="178">
        <v>769329.68451199995</v>
      </c>
      <c r="V197" s="198">
        <f t="shared" si="31"/>
        <v>16.867106291385817</v>
      </c>
      <c r="W197" s="197">
        <f t="shared" si="32"/>
        <v>148.451437</v>
      </c>
    </row>
    <row r="198" spans="1:23" ht="14.25">
      <c r="A198" s="311">
        <v>19</v>
      </c>
      <c r="B198" s="177">
        <v>29466.942722</v>
      </c>
      <c r="C198" s="177">
        <v>14529.423285999999</v>
      </c>
      <c r="D198" s="177">
        <v>165419.97399999999</v>
      </c>
      <c r="E198" s="177">
        <v>29616.563999999998</v>
      </c>
      <c r="F198" s="177">
        <v>0</v>
      </c>
      <c r="G198" s="177">
        <v>254654.11900000001</v>
      </c>
      <c r="H198" s="177">
        <v>165760.101</v>
      </c>
      <c r="I198" s="177">
        <v>112973.814</v>
      </c>
      <c r="J198" s="177">
        <v>24102.398000000001</v>
      </c>
      <c r="K198" s="177">
        <v>13867.641</v>
      </c>
      <c r="L198" s="177">
        <v>34460.053</v>
      </c>
      <c r="M198" s="177">
        <v>2028.0664999999999</v>
      </c>
      <c r="N198" s="177">
        <v>5665.3275000000003</v>
      </c>
      <c r="O198" s="178">
        <v>852544.42400799994</v>
      </c>
      <c r="P198" s="177">
        <v>-16777.045999999998</v>
      </c>
      <c r="Q198" s="177">
        <v>-2371.1619999999998</v>
      </c>
      <c r="R198" s="177">
        <v>-63811.81</v>
      </c>
      <c r="S198" s="178">
        <v>769584.40600800002</v>
      </c>
      <c r="V198" s="198">
        <f t="shared" si="31"/>
        <v>19.442986937938681</v>
      </c>
      <c r="W198" s="197">
        <f t="shared" si="32"/>
        <v>165.76010099999999</v>
      </c>
    </row>
    <row r="199" spans="1:23" ht="14.25">
      <c r="A199" s="311">
        <v>20</v>
      </c>
      <c r="B199" s="177">
        <v>35673.090704000002</v>
      </c>
      <c r="C199" s="177">
        <v>6362.12932</v>
      </c>
      <c r="D199" s="177">
        <v>165578.58600000001</v>
      </c>
      <c r="E199" s="177">
        <v>30326.17</v>
      </c>
      <c r="F199" s="177">
        <v>0</v>
      </c>
      <c r="G199" s="177">
        <v>299667.08199999999</v>
      </c>
      <c r="H199" s="177">
        <v>109033.086</v>
      </c>
      <c r="I199" s="177">
        <v>114597.423</v>
      </c>
      <c r="J199" s="177">
        <v>25285.757000000001</v>
      </c>
      <c r="K199" s="177">
        <v>14331.063</v>
      </c>
      <c r="L199" s="177">
        <v>35269.866999999998</v>
      </c>
      <c r="M199" s="177">
        <v>2022.0925</v>
      </c>
      <c r="N199" s="177">
        <v>5507.7595000000001</v>
      </c>
      <c r="O199" s="178">
        <v>843654.10602399998</v>
      </c>
      <c r="P199" s="177">
        <v>-3748.3690000000001</v>
      </c>
      <c r="Q199" s="177">
        <v>-2789.5529999999999</v>
      </c>
      <c r="R199" s="177">
        <v>-68054.255000000005</v>
      </c>
      <c r="S199" s="178">
        <v>769061.92902399995</v>
      </c>
      <c r="V199" s="198">
        <f t="shared" si="31"/>
        <v>12.923908651835362</v>
      </c>
      <c r="W199" s="197">
        <f t="shared" si="32"/>
        <v>109.033086</v>
      </c>
    </row>
    <row r="200" spans="1:23" ht="14.25">
      <c r="A200" s="311">
        <v>21</v>
      </c>
      <c r="B200" s="177">
        <v>31888.080436</v>
      </c>
      <c r="C200" s="177">
        <v>11803.444572</v>
      </c>
      <c r="D200" s="177">
        <v>165674.747</v>
      </c>
      <c r="E200" s="177">
        <v>30795.665000000001</v>
      </c>
      <c r="F200" s="177">
        <v>0</v>
      </c>
      <c r="G200" s="177">
        <v>294242.12900000002</v>
      </c>
      <c r="H200" s="177">
        <v>149354.32</v>
      </c>
      <c r="I200" s="177">
        <v>111211.72900000001</v>
      </c>
      <c r="J200" s="177">
        <v>23878.754000000001</v>
      </c>
      <c r="K200" s="177">
        <v>13743.37</v>
      </c>
      <c r="L200" s="177">
        <v>33781.89</v>
      </c>
      <c r="M200" s="177">
        <v>2030.9575</v>
      </c>
      <c r="N200" s="177">
        <v>5412.7635</v>
      </c>
      <c r="O200" s="178">
        <v>873817.85000800004</v>
      </c>
      <c r="P200" s="177">
        <v>-8311.9629999999997</v>
      </c>
      <c r="Q200" s="177">
        <v>-3066.0340000000001</v>
      </c>
      <c r="R200" s="177">
        <v>-81233.907999999996</v>
      </c>
      <c r="S200" s="178">
        <v>781205.94500800001</v>
      </c>
      <c r="V200" s="198">
        <f t="shared" si="31"/>
        <v>17.092157135338059</v>
      </c>
      <c r="W200" s="197">
        <f t="shared" si="32"/>
        <v>149.35432</v>
      </c>
    </row>
    <row r="201" spans="1:23" ht="14.25">
      <c r="A201" s="311">
        <v>22</v>
      </c>
      <c r="B201" s="177">
        <v>39179.557165999999</v>
      </c>
      <c r="C201" s="177">
        <v>7103.2908500000003</v>
      </c>
      <c r="D201" s="177">
        <v>165556.51699999999</v>
      </c>
      <c r="E201" s="177">
        <v>30581.821</v>
      </c>
      <c r="F201" s="177">
        <v>0</v>
      </c>
      <c r="G201" s="177">
        <v>272939.19099999999</v>
      </c>
      <c r="H201" s="177">
        <v>161076.07</v>
      </c>
      <c r="I201" s="177">
        <v>106988.969</v>
      </c>
      <c r="J201" s="177">
        <v>22612.598999999998</v>
      </c>
      <c r="K201" s="177">
        <v>12225.403</v>
      </c>
      <c r="L201" s="177">
        <v>32768.29</v>
      </c>
      <c r="M201" s="177">
        <v>2017.7370000000001</v>
      </c>
      <c r="N201" s="177">
        <v>5142.2160000000003</v>
      </c>
      <c r="O201" s="178">
        <v>858191.66101599997</v>
      </c>
      <c r="P201" s="177">
        <v>-5867.4769999999999</v>
      </c>
      <c r="Q201" s="177">
        <v>-3219.61</v>
      </c>
      <c r="R201" s="177">
        <v>-72579.240999999995</v>
      </c>
      <c r="S201" s="178">
        <v>776525.33301599999</v>
      </c>
      <c r="V201" s="198">
        <f t="shared" si="31"/>
        <v>18.769242037297882</v>
      </c>
      <c r="W201" s="197">
        <f t="shared" si="32"/>
        <v>161.07607000000002</v>
      </c>
    </row>
    <row r="202" spans="1:23" ht="14.25">
      <c r="A202" s="311">
        <v>23</v>
      </c>
      <c r="B202" s="177">
        <v>31470.660555999999</v>
      </c>
      <c r="C202" s="177">
        <v>5889.6182520000002</v>
      </c>
      <c r="D202" s="177">
        <v>165470.61499999999</v>
      </c>
      <c r="E202" s="177">
        <v>30210.478999999999</v>
      </c>
      <c r="F202" s="177">
        <v>0</v>
      </c>
      <c r="G202" s="177">
        <v>262927.962</v>
      </c>
      <c r="H202" s="177">
        <v>116529.73699999999</v>
      </c>
      <c r="I202" s="177">
        <v>109503.088</v>
      </c>
      <c r="J202" s="177">
        <v>22341.358</v>
      </c>
      <c r="K202" s="177">
        <v>12527.058999999999</v>
      </c>
      <c r="L202" s="177">
        <v>31459.192999999999</v>
      </c>
      <c r="M202" s="177">
        <v>2049.3530000000001</v>
      </c>
      <c r="N202" s="177">
        <v>5285.9129999999996</v>
      </c>
      <c r="O202" s="178">
        <v>795665.03580800002</v>
      </c>
      <c r="P202" s="177">
        <v>-14723.855</v>
      </c>
      <c r="Q202" s="177">
        <v>-2056.8380000000002</v>
      </c>
      <c r="R202" s="177">
        <v>-97294.849000000002</v>
      </c>
      <c r="S202" s="178">
        <v>681589.493808</v>
      </c>
      <c r="V202" s="198">
        <f t="shared" si="31"/>
        <v>14.645577190866973</v>
      </c>
      <c r="W202" s="197">
        <f t="shared" si="32"/>
        <v>116.529737</v>
      </c>
    </row>
    <row r="203" spans="1:23" ht="14.25">
      <c r="A203" s="311">
        <v>24</v>
      </c>
      <c r="B203" s="177">
        <v>35953.018726000002</v>
      </c>
      <c r="C203" s="177">
        <v>6039.808978</v>
      </c>
      <c r="D203" s="177">
        <v>165518.57</v>
      </c>
      <c r="E203" s="177">
        <v>29799.064999999999</v>
      </c>
      <c r="F203" s="177">
        <v>0</v>
      </c>
      <c r="G203" s="177">
        <v>266343.446</v>
      </c>
      <c r="H203" s="177">
        <v>83719.385999999999</v>
      </c>
      <c r="I203" s="177">
        <v>104377.30100000001</v>
      </c>
      <c r="J203" s="177">
        <v>18342.656999999999</v>
      </c>
      <c r="K203" s="177">
        <v>11949.998</v>
      </c>
      <c r="L203" s="177">
        <v>30543.914000000001</v>
      </c>
      <c r="M203" s="177">
        <v>2096.0720000000001</v>
      </c>
      <c r="N203" s="177">
        <v>5731.9570000000003</v>
      </c>
      <c r="O203" s="178">
        <v>760415.19370399998</v>
      </c>
      <c r="P203" s="177">
        <v>-18221.992999999999</v>
      </c>
      <c r="Q203" s="177">
        <v>-3104.0929999999998</v>
      </c>
      <c r="R203" s="177">
        <v>-103029.652</v>
      </c>
      <c r="S203" s="178">
        <v>636059.45570399996</v>
      </c>
      <c r="V203" s="198">
        <f t="shared" si="31"/>
        <v>11.009694005744537</v>
      </c>
      <c r="W203" s="197">
        <f t="shared" si="32"/>
        <v>83.719386</v>
      </c>
    </row>
    <row r="204" spans="1:23" ht="14.25">
      <c r="A204" s="311">
        <v>25</v>
      </c>
      <c r="B204" s="177">
        <v>32245.084965999999</v>
      </c>
      <c r="C204" s="177">
        <v>6141.5345619999998</v>
      </c>
      <c r="D204" s="177">
        <v>164679.242</v>
      </c>
      <c r="E204" s="177">
        <v>29818.907999999999</v>
      </c>
      <c r="F204" s="177">
        <v>0</v>
      </c>
      <c r="G204" s="177">
        <v>287719.685</v>
      </c>
      <c r="H204" s="177">
        <v>137973.516</v>
      </c>
      <c r="I204" s="177">
        <v>103783.43</v>
      </c>
      <c r="J204" s="177">
        <v>18756.482</v>
      </c>
      <c r="K204" s="177">
        <v>11918.191999999999</v>
      </c>
      <c r="L204" s="177">
        <v>32060.905999999999</v>
      </c>
      <c r="M204" s="177">
        <v>2090.2375000000002</v>
      </c>
      <c r="N204" s="177">
        <v>5454.2664999999997</v>
      </c>
      <c r="O204" s="178">
        <v>832641.484528</v>
      </c>
      <c r="P204" s="177">
        <v>-11633.85</v>
      </c>
      <c r="Q204" s="177">
        <v>-1518.5219999999999</v>
      </c>
      <c r="R204" s="177">
        <v>-89201.801000000007</v>
      </c>
      <c r="S204" s="178">
        <v>730287.31152800005</v>
      </c>
      <c r="V204" s="198">
        <f t="shared" si="31"/>
        <v>16.570579122443451</v>
      </c>
      <c r="W204" s="197">
        <f t="shared" si="32"/>
        <v>137.97351599999999</v>
      </c>
    </row>
    <row r="205" spans="1:23" ht="14.25">
      <c r="A205" s="311">
        <v>26</v>
      </c>
      <c r="B205" s="177">
        <v>40598.344876000003</v>
      </c>
      <c r="C205" s="177">
        <v>2573.0066440000001</v>
      </c>
      <c r="D205" s="177">
        <v>165863.54999999999</v>
      </c>
      <c r="E205" s="177">
        <v>26401.764999999999</v>
      </c>
      <c r="F205" s="177">
        <v>0</v>
      </c>
      <c r="G205" s="177">
        <v>284666.01299999998</v>
      </c>
      <c r="H205" s="177">
        <v>167834.755</v>
      </c>
      <c r="I205" s="177">
        <v>108816.353</v>
      </c>
      <c r="J205" s="177">
        <v>23411.491999999998</v>
      </c>
      <c r="K205" s="177">
        <v>11211.607</v>
      </c>
      <c r="L205" s="177">
        <v>31768.473999999998</v>
      </c>
      <c r="M205" s="177">
        <v>2061.0970000000002</v>
      </c>
      <c r="N205" s="177">
        <v>5242.3320000000003</v>
      </c>
      <c r="O205" s="178">
        <v>870448.78951999999</v>
      </c>
      <c r="P205" s="177">
        <v>-12166.839</v>
      </c>
      <c r="Q205" s="177">
        <v>-1387.5419999999999</v>
      </c>
      <c r="R205" s="177">
        <v>-90889.578999999998</v>
      </c>
      <c r="S205" s="178">
        <v>766004.82952000003</v>
      </c>
      <c r="V205" s="198">
        <f t="shared" si="31"/>
        <v>19.281404836297234</v>
      </c>
      <c r="W205" s="197">
        <f t="shared" si="32"/>
        <v>167.834755</v>
      </c>
    </row>
    <row r="206" spans="1:23" ht="14.25">
      <c r="A206" s="311">
        <v>27</v>
      </c>
      <c r="B206" s="177">
        <v>41052.686587999997</v>
      </c>
      <c r="C206" s="177">
        <v>4762.7814200000003</v>
      </c>
      <c r="D206" s="177">
        <v>165877.783</v>
      </c>
      <c r="E206" s="177">
        <v>25555.692999999999</v>
      </c>
      <c r="F206" s="177">
        <v>0</v>
      </c>
      <c r="G206" s="177">
        <v>280730.60600000003</v>
      </c>
      <c r="H206" s="177">
        <v>123554.656</v>
      </c>
      <c r="I206" s="177">
        <v>109245.15700000001</v>
      </c>
      <c r="J206" s="177">
        <v>27084.960999999999</v>
      </c>
      <c r="K206" s="177">
        <v>12303.302</v>
      </c>
      <c r="L206" s="177">
        <v>32154.867999999999</v>
      </c>
      <c r="M206" s="177">
        <v>2056.4479999999999</v>
      </c>
      <c r="N206" s="177">
        <v>5351.1270000000004</v>
      </c>
      <c r="O206" s="178">
        <v>829730.06900799996</v>
      </c>
      <c r="P206" s="177">
        <v>-8606.4120000000003</v>
      </c>
      <c r="Q206" s="177">
        <v>-1576.2380000000001</v>
      </c>
      <c r="R206" s="177">
        <v>-70614.572</v>
      </c>
      <c r="S206" s="178">
        <v>748932.84700800001</v>
      </c>
      <c r="V206" s="198">
        <f t="shared" si="31"/>
        <v>14.890945937118827</v>
      </c>
      <c r="W206" s="197">
        <f t="shared" si="32"/>
        <v>123.55465600000001</v>
      </c>
    </row>
    <row r="207" spans="1:23" ht="14.25">
      <c r="A207" s="311">
        <v>28</v>
      </c>
      <c r="B207" s="177">
        <v>48172.469232000003</v>
      </c>
      <c r="C207" s="177">
        <v>4714.9857760000004</v>
      </c>
      <c r="D207" s="177">
        <v>143180.62700000001</v>
      </c>
      <c r="E207" s="177">
        <v>29214.337</v>
      </c>
      <c r="F207" s="177">
        <v>0</v>
      </c>
      <c r="G207" s="177">
        <v>284936.83600000001</v>
      </c>
      <c r="H207" s="177">
        <v>77263.350000000006</v>
      </c>
      <c r="I207" s="177">
        <v>104560.34299999999</v>
      </c>
      <c r="J207" s="177">
        <v>25072.58</v>
      </c>
      <c r="K207" s="177">
        <v>12703.357</v>
      </c>
      <c r="L207" s="177">
        <v>35478.995999999999</v>
      </c>
      <c r="M207" s="177">
        <v>1962.221</v>
      </c>
      <c r="N207" s="177">
        <v>5426.5870000000004</v>
      </c>
      <c r="O207" s="178">
        <v>772686.68900799996</v>
      </c>
      <c r="P207" s="177">
        <v>-5009.0919999999996</v>
      </c>
      <c r="Q207" s="177">
        <v>-1235.5630000000001</v>
      </c>
      <c r="R207" s="177">
        <v>-21053.056</v>
      </c>
      <c r="S207" s="178">
        <v>745388.97800799995</v>
      </c>
      <c r="V207" s="198">
        <f t="shared" si="31"/>
        <v>9.9993116355082012</v>
      </c>
      <c r="W207" s="197">
        <f t="shared" si="32"/>
        <v>77.263350000000003</v>
      </c>
    </row>
    <row r="208" spans="1:23" ht="14.25">
      <c r="A208" s="311">
        <v>29</v>
      </c>
      <c r="B208" s="177">
        <v>45192.300238000003</v>
      </c>
      <c r="C208" s="177">
        <v>2406.6597700000002</v>
      </c>
      <c r="D208" s="177">
        <v>142300.63399999999</v>
      </c>
      <c r="E208" s="177">
        <v>30216.272000000001</v>
      </c>
      <c r="F208" s="177">
        <v>0</v>
      </c>
      <c r="G208" s="177">
        <v>297702.53000000003</v>
      </c>
      <c r="H208" s="177">
        <v>112984.181</v>
      </c>
      <c r="I208" s="177">
        <v>103141.00900000001</v>
      </c>
      <c r="J208" s="177">
        <v>24564.503000000001</v>
      </c>
      <c r="K208" s="177">
        <v>13340.654</v>
      </c>
      <c r="L208" s="177">
        <v>33606.186999999998</v>
      </c>
      <c r="M208" s="177">
        <v>1776.9425000000001</v>
      </c>
      <c r="N208" s="177">
        <v>5408.4854999999998</v>
      </c>
      <c r="O208" s="178">
        <v>812640.35800799995</v>
      </c>
      <c r="P208" s="177">
        <v>-13543.467000000001</v>
      </c>
      <c r="Q208" s="177">
        <v>-1324.4690000000001</v>
      </c>
      <c r="R208" s="177">
        <v>-59411.139000000003</v>
      </c>
      <c r="S208" s="178">
        <v>738361.283008</v>
      </c>
      <c r="V208" s="198">
        <f t="shared" si="31"/>
        <v>13.903343574635477</v>
      </c>
      <c r="W208" s="197">
        <f t="shared" si="32"/>
        <v>112.98418099999999</v>
      </c>
    </row>
    <row r="209" spans="1:23" ht="14.25">
      <c r="A209" s="311">
        <v>30</v>
      </c>
      <c r="B209" s="177">
        <v>26531.555874000001</v>
      </c>
      <c r="C209" s="177">
        <v>8353.6371340000005</v>
      </c>
      <c r="D209" s="177">
        <v>156426.318</v>
      </c>
      <c r="E209" s="177">
        <v>29733.625</v>
      </c>
      <c r="F209" s="177">
        <v>0</v>
      </c>
      <c r="G209" s="177">
        <v>186133.75</v>
      </c>
      <c r="H209" s="177">
        <v>188558.21799999999</v>
      </c>
      <c r="I209" s="177">
        <v>95613.974000000002</v>
      </c>
      <c r="J209" s="177">
        <v>20116.258999999998</v>
      </c>
      <c r="K209" s="177">
        <v>13120.215</v>
      </c>
      <c r="L209" s="177">
        <v>30360.937000000002</v>
      </c>
      <c r="M209" s="177">
        <v>1767.347</v>
      </c>
      <c r="N209" s="177">
        <v>5471.5929999999998</v>
      </c>
      <c r="O209" s="178">
        <v>762187.42900799995</v>
      </c>
      <c r="P209" s="177">
        <v>-16917.934000000001</v>
      </c>
      <c r="Q209" s="177">
        <v>-2488.3200000000002</v>
      </c>
      <c r="R209" s="177">
        <v>-77509.251999999993</v>
      </c>
      <c r="S209" s="178">
        <v>665271.92300800001</v>
      </c>
      <c r="V209" s="198">
        <f t="shared" si="31"/>
        <v>24.739087896714825</v>
      </c>
      <c r="W209" s="197">
        <f t="shared" si="32"/>
        <v>188.55821799999998</v>
      </c>
    </row>
    <row r="210" spans="1:23" ht="14.25">
      <c r="A210" s="311">
        <v>31</v>
      </c>
      <c r="B210" s="177">
        <v>23193.812758</v>
      </c>
      <c r="C210" s="177">
        <v>10644.069745999999</v>
      </c>
      <c r="D210" s="177">
        <v>164962.59700000001</v>
      </c>
      <c r="E210" s="177">
        <v>27585.562000000002</v>
      </c>
      <c r="F210" s="177">
        <v>0</v>
      </c>
      <c r="G210" s="177">
        <v>193599.226</v>
      </c>
      <c r="H210" s="177">
        <v>136836.23499999999</v>
      </c>
      <c r="I210" s="177">
        <v>104773.63800000001</v>
      </c>
      <c r="J210" s="177">
        <v>22799.886999999999</v>
      </c>
      <c r="K210" s="177">
        <v>12985.906000000001</v>
      </c>
      <c r="L210" s="177">
        <v>27714.705000000002</v>
      </c>
      <c r="M210" s="177">
        <v>1838.59</v>
      </c>
      <c r="N210" s="177">
        <v>5426.82</v>
      </c>
      <c r="O210" s="178">
        <v>732361.04850399995</v>
      </c>
      <c r="P210" s="177">
        <v>-24355.188999999998</v>
      </c>
      <c r="Q210" s="177">
        <v>-4482.8209999999999</v>
      </c>
      <c r="R210" s="177">
        <v>-78661.426000000007</v>
      </c>
      <c r="S210" s="178">
        <v>624861.61250399996</v>
      </c>
      <c r="V210" s="198">
        <f t="shared" si="31"/>
        <v>18.684258983941938</v>
      </c>
      <c r="W210" s="197">
        <f t="shared" si="32"/>
        <v>136.83623499999999</v>
      </c>
    </row>
    <row r="211" spans="1:23">
      <c r="G211">
        <f>MAX(G180:G210)</f>
        <v>369108.09499999997</v>
      </c>
      <c r="H211">
        <f>MAX(H180:H210)</f>
        <v>256580.77900000001</v>
      </c>
      <c r="I211">
        <f>MAX(I180:I210)</f>
        <v>116887.514</v>
      </c>
    </row>
    <row r="215" spans="1:23">
      <c r="A215" s="174" t="s">
        <v>31</v>
      </c>
      <c r="B215" s="342" t="s">
        <v>232</v>
      </c>
      <c r="C215" s="343"/>
      <c r="D215" s="343"/>
      <c r="E215" s="343"/>
      <c r="F215" s="343"/>
      <c r="G215" s="343"/>
      <c r="H215" s="343"/>
      <c r="I215" s="343"/>
      <c r="J215" s="343"/>
      <c r="K215" s="343"/>
      <c r="L215" s="343"/>
      <c r="M215" s="343"/>
      <c r="N215" s="343"/>
      <c r="O215" s="343"/>
      <c r="P215" s="343"/>
      <c r="Q215" s="343"/>
      <c r="R215" s="343"/>
      <c r="S215" s="343"/>
    </row>
    <row r="216" spans="1:23">
      <c r="A216" s="174" t="s">
        <v>105</v>
      </c>
      <c r="B216" s="344" t="s">
        <v>98</v>
      </c>
      <c r="C216" s="345"/>
      <c r="D216" s="345"/>
      <c r="E216" s="345"/>
      <c r="F216" s="345"/>
      <c r="G216" s="345"/>
      <c r="H216" s="345"/>
      <c r="I216" s="345"/>
      <c r="J216" s="345"/>
      <c r="K216" s="345"/>
      <c r="L216" s="345"/>
      <c r="M216" s="345"/>
      <c r="N216" s="345"/>
      <c r="O216" s="345"/>
      <c r="P216" s="345"/>
      <c r="Q216" s="345"/>
      <c r="R216" s="345"/>
      <c r="S216" s="345"/>
    </row>
    <row r="217" spans="1:23">
      <c r="A217" s="174" t="s">
        <v>106</v>
      </c>
      <c r="B217" s="346" t="s">
        <v>121</v>
      </c>
      <c r="C217" s="347"/>
      <c r="D217" s="347"/>
      <c r="E217" s="347"/>
      <c r="F217" s="347"/>
      <c r="G217" s="347"/>
      <c r="H217" s="347"/>
      <c r="I217" s="347"/>
      <c r="J217" s="347"/>
      <c r="K217" s="347"/>
      <c r="L217" s="347"/>
      <c r="M217" s="347"/>
      <c r="N217" s="347"/>
      <c r="O217" s="347"/>
      <c r="P217" s="347"/>
      <c r="Q217" s="347"/>
      <c r="R217" s="347"/>
      <c r="S217" s="347"/>
    </row>
    <row r="218" spans="1:23">
      <c r="A218" s="179" t="s">
        <v>107</v>
      </c>
      <c r="B218" s="324" t="s">
        <v>2</v>
      </c>
      <c r="C218" s="324" t="s">
        <v>81</v>
      </c>
      <c r="D218" s="324" t="s">
        <v>3</v>
      </c>
      <c r="E218" s="324" t="s">
        <v>4</v>
      </c>
      <c r="F218" s="324" t="s">
        <v>95</v>
      </c>
      <c r="G218" s="324" t="s">
        <v>11</v>
      </c>
      <c r="H218" s="324" t="s">
        <v>5</v>
      </c>
      <c r="I218" s="324" t="s">
        <v>6</v>
      </c>
      <c r="J218" s="324" t="s">
        <v>7</v>
      </c>
      <c r="K218" s="324" t="s">
        <v>8</v>
      </c>
      <c r="L218" s="324" t="s">
        <v>9</v>
      </c>
      <c r="M218" s="324" t="s">
        <v>69</v>
      </c>
      <c r="N218" s="324" t="s">
        <v>70</v>
      </c>
      <c r="O218" s="194" t="s">
        <v>10</v>
      </c>
      <c r="P218" s="324" t="s">
        <v>122</v>
      </c>
      <c r="Q218" s="324" t="s">
        <v>97</v>
      </c>
      <c r="R218" s="324" t="s">
        <v>123</v>
      </c>
      <c r="S218" s="194" t="s">
        <v>124</v>
      </c>
      <c r="V218" s="196" t="s">
        <v>125</v>
      </c>
    </row>
    <row r="219" spans="1:23" ht="14.25">
      <c r="A219" s="179" t="s">
        <v>120</v>
      </c>
      <c r="B219" s="310"/>
      <c r="C219" s="310"/>
      <c r="D219" s="310"/>
      <c r="E219" s="310"/>
      <c r="F219" s="310"/>
      <c r="G219" s="310"/>
      <c r="H219" s="310"/>
      <c r="I219" s="310"/>
      <c r="J219" s="310"/>
      <c r="K219" s="310"/>
      <c r="L219" s="310"/>
      <c r="M219" s="310"/>
      <c r="N219" s="310"/>
      <c r="O219" s="195"/>
      <c r="P219" s="310"/>
      <c r="Q219" s="310"/>
      <c r="R219" s="310"/>
      <c r="S219" s="195"/>
      <c r="V219" s="197"/>
    </row>
    <row r="220" spans="1:23" ht="14.25">
      <c r="A220" s="311">
        <v>1</v>
      </c>
      <c r="B220" s="177">
        <v>1.063553376</v>
      </c>
      <c r="C220" s="177">
        <v>0.37108062400000003</v>
      </c>
      <c r="D220" s="177">
        <v>6.9306850000000004</v>
      </c>
      <c r="E220" s="177">
        <v>1.28878</v>
      </c>
      <c r="F220" s="177">
        <v>0</v>
      </c>
      <c r="G220" s="177">
        <v>6.0287179999999996</v>
      </c>
      <c r="H220" s="177">
        <v>11.181882</v>
      </c>
      <c r="I220" s="177">
        <v>2.33E-3</v>
      </c>
      <c r="J220" s="177">
        <v>0.55451600000000001</v>
      </c>
      <c r="K220" s="177">
        <v>0.50918200000000002</v>
      </c>
      <c r="L220" s="177">
        <v>1.541245</v>
      </c>
      <c r="M220" s="177">
        <v>8.3804500000000004E-2</v>
      </c>
      <c r="N220" s="177">
        <v>0.2273145</v>
      </c>
      <c r="O220" s="178">
        <v>29.783090999999999</v>
      </c>
      <c r="P220" s="177">
        <v>-0.24417</v>
      </c>
      <c r="Q220" s="177">
        <v>-4.1991000000000001E-2</v>
      </c>
      <c r="R220" s="177">
        <v>-2.3666489999999998</v>
      </c>
      <c r="S220" s="178">
        <v>27.130281</v>
      </c>
      <c r="V220" s="198">
        <f>IFERROR(G220/N220*100,"")</f>
        <v>2652.1484551139497</v>
      </c>
    </row>
    <row r="221" spans="1:23" ht="14.25">
      <c r="A221" s="311">
        <v>2</v>
      </c>
      <c r="B221" s="177">
        <v>0.97442611000000001</v>
      </c>
      <c r="C221" s="177">
        <v>5.4933889999999999E-2</v>
      </c>
      <c r="D221" s="177">
        <v>6.9306619999999999</v>
      </c>
      <c r="E221" s="177">
        <v>1.2858849999999999</v>
      </c>
      <c r="F221" s="177">
        <v>0</v>
      </c>
      <c r="G221" s="177">
        <v>4.9403569999999997</v>
      </c>
      <c r="H221" s="177">
        <v>11.411314000000001</v>
      </c>
      <c r="I221" s="177">
        <v>2.42E-4</v>
      </c>
      <c r="J221" s="177">
        <v>0.56281599999999998</v>
      </c>
      <c r="K221" s="177">
        <v>0.50432200000000005</v>
      </c>
      <c r="L221" s="177">
        <v>1.5311570000000001</v>
      </c>
      <c r="M221" s="177">
        <v>8.4893499999999997E-2</v>
      </c>
      <c r="N221" s="177">
        <v>0.2229855</v>
      </c>
      <c r="O221" s="178">
        <v>28.503993999999999</v>
      </c>
      <c r="P221" s="177">
        <v>-0.36383599999999999</v>
      </c>
      <c r="Q221" s="177">
        <v>-4.2119999999999998E-2</v>
      </c>
      <c r="R221" s="177">
        <v>-2.3277649999999999</v>
      </c>
      <c r="S221" s="178">
        <v>25.770273</v>
      </c>
      <c r="V221" s="198">
        <f t="shared" ref="V221:V246" si="33">IFERROR(G221/N221*100,"")</f>
        <v>2215.5507869345761</v>
      </c>
    </row>
    <row r="222" spans="1:23" ht="14.25">
      <c r="A222" s="311">
        <v>3</v>
      </c>
      <c r="B222" s="177">
        <v>0.93644346000000001</v>
      </c>
      <c r="C222" s="177">
        <v>-1.7734599999999999E-3</v>
      </c>
      <c r="D222" s="177">
        <v>6.9253739999999997</v>
      </c>
      <c r="E222" s="177">
        <v>1.285301</v>
      </c>
      <c r="F222" s="177">
        <v>0</v>
      </c>
      <c r="G222" s="177">
        <v>4.3681669999999997</v>
      </c>
      <c r="H222" s="177">
        <v>11.440238000000001</v>
      </c>
      <c r="I222" s="177">
        <v>2.61E-4</v>
      </c>
      <c r="J222" s="177">
        <v>0.58464000000000005</v>
      </c>
      <c r="K222" s="177">
        <v>0.52112000000000003</v>
      </c>
      <c r="L222" s="177">
        <v>1.508564</v>
      </c>
      <c r="M222" s="177">
        <v>8.4059499999999995E-2</v>
      </c>
      <c r="N222" s="177">
        <v>0.21913450000000001</v>
      </c>
      <c r="O222" s="178">
        <v>27.871528999999999</v>
      </c>
      <c r="P222" s="177">
        <v>-1.043588</v>
      </c>
      <c r="Q222" s="177">
        <v>-4.1903999999999997E-2</v>
      </c>
      <c r="R222" s="177">
        <v>-2.0037720000000001</v>
      </c>
      <c r="S222" s="178">
        <v>24.782264999999999</v>
      </c>
      <c r="V222" s="198">
        <f t="shared" si="33"/>
        <v>1993.3725634256587</v>
      </c>
    </row>
    <row r="223" spans="1:23" ht="14.25">
      <c r="A223" s="311">
        <v>4</v>
      </c>
      <c r="B223" s="177">
        <v>0.85145515999999999</v>
      </c>
      <c r="C223" s="177">
        <v>3.4265839999999999E-2</v>
      </c>
      <c r="D223" s="177">
        <v>6.9297029999999999</v>
      </c>
      <c r="E223" s="177">
        <v>1.2891950000000001</v>
      </c>
      <c r="F223" s="177">
        <v>0</v>
      </c>
      <c r="G223" s="177">
        <v>4.1547000000000001</v>
      </c>
      <c r="H223" s="177">
        <v>11.13317</v>
      </c>
      <c r="I223" s="177">
        <v>2.6400000000000002E-4</v>
      </c>
      <c r="J223" s="177">
        <v>0.58987000000000001</v>
      </c>
      <c r="K223" s="177">
        <v>0.52159800000000001</v>
      </c>
      <c r="L223" s="177">
        <v>1.5090140000000001</v>
      </c>
      <c r="M223" s="177">
        <v>8.4242999999999998E-2</v>
      </c>
      <c r="N223" s="177">
        <v>0.218944</v>
      </c>
      <c r="O223" s="178">
        <v>27.316421999999999</v>
      </c>
      <c r="P223" s="177">
        <v>-1.2261740000000001</v>
      </c>
      <c r="Q223" s="177">
        <v>-4.1946999999999998E-2</v>
      </c>
      <c r="R223" s="177">
        <v>-1.9429879999999999</v>
      </c>
      <c r="S223" s="178">
        <v>24.105312999999999</v>
      </c>
      <c r="V223" s="198">
        <f t="shared" si="33"/>
        <v>1897.6085209003215</v>
      </c>
    </row>
    <row r="224" spans="1:23" ht="14.25">
      <c r="A224" s="311">
        <v>5</v>
      </c>
      <c r="B224" s="177">
        <v>0.87282512800000001</v>
      </c>
      <c r="C224" s="177">
        <v>3.4584872000000003E-2</v>
      </c>
      <c r="D224" s="177">
        <v>6.9315569999999997</v>
      </c>
      <c r="E224" s="177">
        <v>1.2894030000000001</v>
      </c>
      <c r="F224" s="177">
        <v>0</v>
      </c>
      <c r="G224" s="177">
        <v>4.3357159999999997</v>
      </c>
      <c r="H224" s="177">
        <v>10.822793000000001</v>
      </c>
      <c r="I224" s="177">
        <v>2.7099999999999997E-4</v>
      </c>
      <c r="J224" s="177">
        <v>0.59663200000000005</v>
      </c>
      <c r="K224" s="177">
        <v>0.53044000000000002</v>
      </c>
      <c r="L224" s="177">
        <v>1.497101</v>
      </c>
      <c r="M224" s="177">
        <v>8.4552000000000002E-2</v>
      </c>
      <c r="N224" s="177">
        <v>0.22115000000000001</v>
      </c>
      <c r="O224" s="178">
        <v>27.217025</v>
      </c>
      <c r="P224" s="177">
        <v>-1.363866</v>
      </c>
      <c r="Q224" s="177">
        <v>-4.1991000000000001E-2</v>
      </c>
      <c r="R224" s="177">
        <v>-1.8708739999999999</v>
      </c>
      <c r="S224" s="178">
        <v>23.940294000000002</v>
      </c>
      <c r="V224" s="198">
        <f t="shared" si="33"/>
        <v>1960.5317657698392</v>
      </c>
    </row>
    <row r="225" spans="1:22" ht="14.25">
      <c r="A225" s="311">
        <v>6</v>
      </c>
      <c r="B225" s="177">
        <v>0.898465756</v>
      </c>
      <c r="C225" s="177">
        <v>3.4365244000000003E-2</v>
      </c>
      <c r="D225" s="177">
        <v>6.9358919999999999</v>
      </c>
      <c r="E225" s="177">
        <v>1.2890710000000001</v>
      </c>
      <c r="F225" s="177">
        <v>0</v>
      </c>
      <c r="G225" s="177">
        <v>4.1985380000000001</v>
      </c>
      <c r="H225" s="177">
        <v>10.808942999999999</v>
      </c>
      <c r="I225" s="177">
        <v>3.7399999999999998E-4</v>
      </c>
      <c r="J225" s="177">
        <v>0.59123999999999999</v>
      </c>
      <c r="K225" s="177">
        <v>0.51967699999999994</v>
      </c>
      <c r="L225" s="177">
        <v>1.4998309999999999</v>
      </c>
      <c r="M225" s="177">
        <v>8.4180000000000005E-2</v>
      </c>
      <c r="N225" s="177">
        <v>0.22193499999999999</v>
      </c>
      <c r="O225" s="178">
        <v>27.082512000000001</v>
      </c>
      <c r="P225" s="177">
        <v>-1.2074670000000001</v>
      </c>
      <c r="Q225" s="177">
        <v>-4.199E-2</v>
      </c>
      <c r="R225" s="177">
        <v>-1.534729</v>
      </c>
      <c r="S225" s="178">
        <v>24.298325999999999</v>
      </c>
      <c r="V225" s="198">
        <f t="shared" si="33"/>
        <v>1891.7872350012392</v>
      </c>
    </row>
    <row r="226" spans="1:22" ht="14.25">
      <c r="A226" s="311">
        <v>7</v>
      </c>
      <c r="B226" s="177">
        <v>1.0991493000000001</v>
      </c>
      <c r="C226" s="177">
        <v>4.7247699999999997E-2</v>
      </c>
      <c r="D226" s="177">
        <v>6.9378000000000002</v>
      </c>
      <c r="E226" s="177">
        <v>1.290529</v>
      </c>
      <c r="F226" s="177">
        <v>0</v>
      </c>
      <c r="G226" s="177">
        <v>4.5696440000000003</v>
      </c>
      <c r="H226" s="177">
        <v>10.696130999999999</v>
      </c>
      <c r="I226" s="177">
        <v>7.332E-3</v>
      </c>
      <c r="J226" s="177">
        <v>0.43789099999999997</v>
      </c>
      <c r="K226" s="177">
        <v>0.52554199999999995</v>
      </c>
      <c r="L226" s="177">
        <v>1.5111129999999999</v>
      </c>
      <c r="M226" s="177">
        <v>8.4521499999999999E-2</v>
      </c>
      <c r="N226" s="177">
        <v>0.22066450000000001</v>
      </c>
      <c r="O226" s="178">
        <v>27.427565000000001</v>
      </c>
      <c r="P226" s="177">
        <v>-0.76091200000000003</v>
      </c>
      <c r="Q226" s="177">
        <v>-4.2077000000000003E-2</v>
      </c>
      <c r="R226" s="177">
        <v>-0.68057500000000004</v>
      </c>
      <c r="S226" s="178">
        <v>25.944001</v>
      </c>
      <c r="V226" s="198">
        <f t="shared" si="33"/>
        <v>2070.855982724906</v>
      </c>
    </row>
    <row r="227" spans="1:22" ht="14.25">
      <c r="A227" s="311">
        <v>8</v>
      </c>
      <c r="B227" s="177">
        <v>1.5629329999999999</v>
      </c>
      <c r="C227" s="177">
        <v>0.161277</v>
      </c>
      <c r="D227" s="177">
        <v>6.93811</v>
      </c>
      <c r="E227" s="177">
        <v>1.29067</v>
      </c>
      <c r="F227" s="177">
        <v>0</v>
      </c>
      <c r="G227" s="177">
        <v>5.2001999999999997</v>
      </c>
      <c r="H227" s="177">
        <v>10.545475</v>
      </c>
      <c r="I227" s="177">
        <v>0.62778199999999995</v>
      </c>
      <c r="J227" s="177">
        <v>0.204483</v>
      </c>
      <c r="K227" s="177">
        <v>0.52026899999999998</v>
      </c>
      <c r="L227" s="177">
        <v>1.5330980000000001</v>
      </c>
      <c r="M227" s="177">
        <v>8.4473000000000006E-2</v>
      </c>
      <c r="N227" s="177">
        <v>0.216588</v>
      </c>
      <c r="O227" s="178">
        <v>28.885358</v>
      </c>
      <c r="P227" s="177">
        <v>-0.564411</v>
      </c>
      <c r="Q227" s="177">
        <v>-5.5425000000000002E-2</v>
      </c>
      <c r="R227" s="177">
        <v>-0.41410200000000003</v>
      </c>
      <c r="S227" s="178">
        <v>27.851420000000001</v>
      </c>
      <c r="V227" s="198">
        <f t="shared" si="33"/>
        <v>2400.9640423292149</v>
      </c>
    </row>
    <row r="228" spans="1:22" ht="14.25">
      <c r="A228" s="311">
        <v>9</v>
      </c>
      <c r="B228" s="177">
        <v>1.36339203</v>
      </c>
      <c r="C228" s="177">
        <v>4.6857000000000003E-2</v>
      </c>
      <c r="D228" s="177">
        <v>6.9384769999999998</v>
      </c>
      <c r="E228" s="177">
        <v>1.277018</v>
      </c>
      <c r="F228" s="177">
        <v>0</v>
      </c>
      <c r="G228" s="177">
        <v>4.5688769999999996</v>
      </c>
      <c r="H228" s="177">
        <v>10.206363</v>
      </c>
      <c r="I228" s="177">
        <v>3.8162289999999999</v>
      </c>
      <c r="J228" s="177">
        <v>0.15082499999999999</v>
      </c>
      <c r="K228" s="177">
        <v>0.56593499999999997</v>
      </c>
      <c r="L228" s="177">
        <v>1.5419480000000001</v>
      </c>
      <c r="M228" s="177">
        <v>8.4561499999999998E-2</v>
      </c>
      <c r="N228" s="177">
        <v>0.21631549999999999</v>
      </c>
      <c r="O228" s="178">
        <v>30.776798029999998</v>
      </c>
      <c r="P228" s="177">
        <v>-0.47137800000000002</v>
      </c>
      <c r="Q228" s="177">
        <v>-0.114005</v>
      </c>
      <c r="R228" s="177">
        <v>-1.0806690000000001</v>
      </c>
      <c r="S228" s="178">
        <v>29.110746030000001</v>
      </c>
      <c r="V228" s="198">
        <f t="shared" si="33"/>
        <v>2112.1357461670568</v>
      </c>
    </row>
    <row r="229" spans="1:22" ht="14.25">
      <c r="A229" s="311">
        <v>10</v>
      </c>
      <c r="B229" s="177">
        <v>1.0658207399999999</v>
      </c>
      <c r="C229" s="177">
        <v>9.8396479999999995E-2</v>
      </c>
      <c r="D229" s="177">
        <v>6.9188700000000001</v>
      </c>
      <c r="E229" s="177">
        <v>1.289355</v>
      </c>
      <c r="F229" s="177">
        <v>0</v>
      </c>
      <c r="G229" s="177">
        <v>4.4426500000000004</v>
      </c>
      <c r="H229" s="177">
        <v>9.8953959999999999</v>
      </c>
      <c r="I229" s="177">
        <v>7.2522669999999998</v>
      </c>
      <c r="J229" s="177">
        <v>0.99369700000000005</v>
      </c>
      <c r="K229" s="177">
        <v>0.565465</v>
      </c>
      <c r="L229" s="177">
        <v>1.5150239999999999</v>
      </c>
      <c r="M229" s="177">
        <v>8.3894999999999997E-2</v>
      </c>
      <c r="N229" s="177">
        <v>0.212143</v>
      </c>
      <c r="O229" s="178">
        <v>34.332979219999999</v>
      </c>
      <c r="P229" s="177">
        <v>-1.284802</v>
      </c>
      <c r="Q229" s="177">
        <v>-0.200319</v>
      </c>
      <c r="R229" s="177">
        <v>-2.677384</v>
      </c>
      <c r="S229" s="178">
        <v>30.170474219999999</v>
      </c>
      <c r="V229" s="198">
        <f t="shared" si="33"/>
        <v>2094.1770409582218</v>
      </c>
    </row>
    <row r="230" spans="1:22" ht="14.25">
      <c r="A230" s="311">
        <v>11</v>
      </c>
      <c r="B230" s="177">
        <v>0.82107719999999995</v>
      </c>
      <c r="C230" s="177">
        <v>0.29974010000000001</v>
      </c>
      <c r="D230" s="177">
        <v>6.9035399999999996</v>
      </c>
      <c r="E230" s="177">
        <v>1.291004</v>
      </c>
      <c r="F230" s="177">
        <v>0</v>
      </c>
      <c r="G230" s="177">
        <v>4.7212180000000004</v>
      </c>
      <c r="H230" s="177">
        <v>9.7895289999999999</v>
      </c>
      <c r="I230" s="177">
        <v>9.0445150000000005</v>
      </c>
      <c r="J230" s="177">
        <v>1.478807</v>
      </c>
      <c r="K230" s="177">
        <v>0.55978399999999995</v>
      </c>
      <c r="L230" s="177">
        <v>1.491061</v>
      </c>
      <c r="M230" s="177">
        <v>8.3344500000000002E-2</v>
      </c>
      <c r="N230" s="177">
        <v>0.2113535</v>
      </c>
      <c r="O230" s="178">
        <v>36.694973300000001</v>
      </c>
      <c r="P230" s="177">
        <v>-1.892609</v>
      </c>
      <c r="Q230" s="177">
        <v>-0.209649</v>
      </c>
      <c r="R230" s="177">
        <v>-3.561598</v>
      </c>
      <c r="S230" s="178">
        <v>31.031117299999998</v>
      </c>
      <c r="V230" s="198">
        <f t="shared" si="33"/>
        <v>2233.8016640367914</v>
      </c>
    </row>
    <row r="231" spans="1:22" ht="14.25">
      <c r="A231" s="311">
        <v>12</v>
      </c>
      <c r="B231" s="177">
        <v>0.75120751399999997</v>
      </c>
      <c r="C231" s="177">
        <v>0.31733558000000001</v>
      </c>
      <c r="D231" s="177">
        <v>6.9022920000000001</v>
      </c>
      <c r="E231" s="177">
        <v>1.2912509999999999</v>
      </c>
      <c r="F231" s="177">
        <v>0</v>
      </c>
      <c r="G231" s="177">
        <v>4.4868670000000002</v>
      </c>
      <c r="H231" s="177">
        <v>9.8639170000000007</v>
      </c>
      <c r="I231" s="177">
        <v>10.287800000000001</v>
      </c>
      <c r="J231" s="177">
        <v>1.565528</v>
      </c>
      <c r="K231" s="177">
        <v>0.55294399999999999</v>
      </c>
      <c r="L231" s="177">
        <v>1.489781</v>
      </c>
      <c r="M231" s="177">
        <v>8.1162999999999999E-2</v>
      </c>
      <c r="N231" s="177">
        <v>0.20621700000000001</v>
      </c>
      <c r="O231" s="178">
        <v>37.796303094000002</v>
      </c>
      <c r="P231" s="177">
        <v>-1.9155089999999999</v>
      </c>
      <c r="Q231" s="177">
        <v>-0.19128999999999999</v>
      </c>
      <c r="R231" s="177">
        <v>-3.924693</v>
      </c>
      <c r="S231" s="178">
        <v>31.764811093999999</v>
      </c>
      <c r="V231" s="198">
        <f t="shared" si="33"/>
        <v>2175.7987944737824</v>
      </c>
    </row>
    <row r="232" spans="1:22" ht="14.25">
      <c r="A232" s="311">
        <v>13</v>
      </c>
      <c r="B232" s="177">
        <v>0.74728259600000002</v>
      </c>
      <c r="C232" s="177">
        <v>0.30734659399999997</v>
      </c>
      <c r="D232" s="177">
        <v>6.8965420000000002</v>
      </c>
      <c r="E232" s="177">
        <v>1.29321</v>
      </c>
      <c r="F232" s="177">
        <v>0</v>
      </c>
      <c r="G232" s="177">
        <v>5.3776719999999996</v>
      </c>
      <c r="H232" s="177">
        <v>9.5557359999999996</v>
      </c>
      <c r="I232" s="177">
        <v>10.766999</v>
      </c>
      <c r="J232" s="177">
        <v>1.577086</v>
      </c>
      <c r="K232" s="177">
        <v>0.56952100000000005</v>
      </c>
      <c r="L232" s="177">
        <v>1.4618800000000001</v>
      </c>
      <c r="M232" s="177">
        <v>7.4783000000000002E-2</v>
      </c>
      <c r="N232" s="177">
        <v>0.19637199999999999</v>
      </c>
      <c r="O232" s="178">
        <v>38.824430190000001</v>
      </c>
      <c r="P232" s="177">
        <v>-1.7299949999999999</v>
      </c>
      <c r="Q232" s="177">
        <v>-0.183557</v>
      </c>
      <c r="R232" s="177">
        <v>-4.4682649999999997</v>
      </c>
      <c r="S232" s="178">
        <v>32.442613190000003</v>
      </c>
      <c r="V232" s="198">
        <f t="shared" si="33"/>
        <v>2738.5126189069724</v>
      </c>
    </row>
    <row r="233" spans="1:22" ht="14.25">
      <c r="A233" s="311">
        <v>14</v>
      </c>
      <c r="B233" s="177">
        <v>0.94991265599999997</v>
      </c>
      <c r="C233" s="177">
        <v>0.107825904</v>
      </c>
      <c r="D233" s="177">
        <v>6.9021100000000004</v>
      </c>
      <c r="E233" s="177">
        <v>1.271933</v>
      </c>
      <c r="F233" s="177">
        <v>0</v>
      </c>
      <c r="G233" s="177">
        <v>5.2783179999999996</v>
      </c>
      <c r="H233" s="177">
        <v>9.2484559999999991</v>
      </c>
      <c r="I233" s="177">
        <v>11.06146</v>
      </c>
      <c r="J233" s="177">
        <v>1.6359710000000001</v>
      </c>
      <c r="K233" s="177">
        <v>0.53122400000000003</v>
      </c>
      <c r="L233" s="177">
        <v>1.4662569999999999</v>
      </c>
      <c r="M233" s="177">
        <v>7.0689500000000002E-2</v>
      </c>
      <c r="N233" s="177">
        <v>0.19405249999999999</v>
      </c>
      <c r="O233" s="178">
        <v>38.718209559999998</v>
      </c>
      <c r="P233" s="177">
        <v>-1.311763</v>
      </c>
      <c r="Q233" s="177">
        <v>-0.18251899999999999</v>
      </c>
      <c r="R233" s="177">
        <v>-4.2622910000000003</v>
      </c>
      <c r="S233" s="178">
        <v>32.961636560000002</v>
      </c>
      <c r="V233" s="198">
        <f t="shared" si="33"/>
        <v>2720.0463792015048</v>
      </c>
    </row>
    <row r="234" spans="1:22" ht="14.25">
      <c r="A234" s="311">
        <v>15</v>
      </c>
      <c r="B234" s="177">
        <v>1.05340302</v>
      </c>
      <c r="C234" s="177">
        <v>1.060034E-2</v>
      </c>
      <c r="D234" s="177">
        <v>6.921551</v>
      </c>
      <c r="E234" s="177">
        <v>1.2623660000000001</v>
      </c>
      <c r="F234" s="177">
        <v>0</v>
      </c>
      <c r="G234" s="177">
        <v>5.2644089999999997</v>
      </c>
      <c r="H234" s="177">
        <v>9.0587940000000007</v>
      </c>
      <c r="I234" s="177">
        <v>11.090802</v>
      </c>
      <c r="J234" s="177">
        <v>1.664425</v>
      </c>
      <c r="K234" s="177">
        <v>0.53900300000000001</v>
      </c>
      <c r="L234" s="177">
        <v>1.4600340000000001</v>
      </c>
      <c r="M234" s="177">
        <v>6.9578000000000001E-2</v>
      </c>
      <c r="N234" s="177">
        <v>0.191325</v>
      </c>
      <c r="O234" s="178">
        <v>38.58629036</v>
      </c>
      <c r="P234" s="177">
        <v>-1.135076</v>
      </c>
      <c r="Q234" s="177">
        <v>-0.18532799999999999</v>
      </c>
      <c r="R234" s="177">
        <v>-4.3700270000000003</v>
      </c>
      <c r="S234" s="178">
        <v>32.895859360000003</v>
      </c>
      <c r="V234" s="198">
        <f t="shared" si="33"/>
        <v>2751.5531164249314</v>
      </c>
    </row>
    <row r="235" spans="1:22" ht="14.25">
      <c r="A235" s="311">
        <v>16</v>
      </c>
      <c r="B235" s="177">
        <v>0.845269414</v>
      </c>
      <c r="C235" s="177">
        <v>0.111332006</v>
      </c>
      <c r="D235" s="177">
        <v>6.9221089999999998</v>
      </c>
      <c r="E235" s="177">
        <v>1.283625</v>
      </c>
      <c r="F235" s="177">
        <v>0</v>
      </c>
      <c r="G235" s="177">
        <v>5.4738699999999998</v>
      </c>
      <c r="H235" s="177">
        <v>9.1930300000000003</v>
      </c>
      <c r="I235" s="177">
        <v>10.957196</v>
      </c>
      <c r="J235" s="177">
        <v>1.649173</v>
      </c>
      <c r="K235" s="177">
        <v>0.54988499999999996</v>
      </c>
      <c r="L235" s="177">
        <v>1.4646790000000001</v>
      </c>
      <c r="M235" s="177">
        <v>6.9639000000000006E-2</v>
      </c>
      <c r="N235" s="177">
        <v>0.193859</v>
      </c>
      <c r="O235" s="178">
        <v>38.713666420000003</v>
      </c>
      <c r="P235" s="177">
        <v>-1.5304260000000001</v>
      </c>
      <c r="Q235" s="177">
        <v>-0.18070600000000001</v>
      </c>
      <c r="R235" s="177">
        <v>-4.5457270000000003</v>
      </c>
      <c r="S235" s="178">
        <v>32.456807419999997</v>
      </c>
      <c r="V235" s="198">
        <f t="shared" si="33"/>
        <v>2823.6347035732156</v>
      </c>
    </row>
    <row r="236" spans="1:22" ht="14.25">
      <c r="A236" s="311">
        <v>17</v>
      </c>
      <c r="B236" s="177">
        <v>0.98999446000000002</v>
      </c>
      <c r="C236" s="177">
        <v>-7.5546000000000001E-4</v>
      </c>
      <c r="D236" s="177">
        <v>6.9204439999999998</v>
      </c>
      <c r="E236" s="177">
        <v>1.283563</v>
      </c>
      <c r="F236" s="177">
        <v>0</v>
      </c>
      <c r="G236" s="177">
        <v>5.0576140000000001</v>
      </c>
      <c r="H236" s="177">
        <v>9.7168510000000001</v>
      </c>
      <c r="I236" s="177">
        <v>10.434278000000001</v>
      </c>
      <c r="J236" s="177">
        <v>1.646701</v>
      </c>
      <c r="K236" s="177">
        <v>0.52653099999999997</v>
      </c>
      <c r="L236" s="177">
        <v>1.4706900000000001</v>
      </c>
      <c r="M236" s="177">
        <v>6.9595500000000005E-2</v>
      </c>
      <c r="N236" s="177">
        <v>0.19238649999999999</v>
      </c>
      <c r="O236" s="178">
        <v>38.307893</v>
      </c>
      <c r="P236" s="177">
        <v>-1.2767189999999999</v>
      </c>
      <c r="Q236" s="177">
        <v>-0.18157000000000001</v>
      </c>
      <c r="R236" s="177">
        <v>-4.4867160000000004</v>
      </c>
      <c r="S236" s="178">
        <v>32.362887999999998</v>
      </c>
      <c r="V236" s="198">
        <f t="shared" si="33"/>
        <v>2628.8819641710829</v>
      </c>
    </row>
    <row r="237" spans="1:22" ht="14.25">
      <c r="A237" s="311">
        <v>18</v>
      </c>
      <c r="B237" s="177">
        <v>0.74031124000000004</v>
      </c>
      <c r="C237" s="177">
        <v>0.22535775999999999</v>
      </c>
      <c r="D237" s="177">
        <v>6.9163110000000003</v>
      </c>
      <c r="E237" s="177">
        <v>1.282146</v>
      </c>
      <c r="F237" s="177">
        <v>0</v>
      </c>
      <c r="G237" s="177">
        <v>5.0838289999999997</v>
      </c>
      <c r="H237" s="177">
        <v>10.278840000000001</v>
      </c>
      <c r="I237" s="177">
        <v>10.19431</v>
      </c>
      <c r="J237" s="177">
        <v>1.5379370000000001</v>
      </c>
      <c r="K237" s="177">
        <v>0.55083899999999997</v>
      </c>
      <c r="L237" s="177">
        <v>1.466701</v>
      </c>
      <c r="M237" s="177">
        <v>7.1368500000000001E-2</v>
      </c>
      <c r="N237" s="177">
        <v>0.19743450000000001</v>
      </c>
      <c r="O237" s="178">
        <v>38.545385000000003</v>
      </c>
      <c r="P237" s="177">
        <v>-1.6177429999999999</v>
      </c>
      <c r="Q237" s="177">
        <v>-0.234792</v>
      </c>
      <c r="R237" s="177">
        <v>-4.4827630000000003</v>
      </c>
      <c r="S237" s="178">
        <v>32.210087000000001</v>
      </c>
      <c r="V237" s="198">
        <f t="shared" si="33"/>
        <v>2574.9446018806234</v>
      </c>
    </row>
    <row r="238" spans="1:22" ht="14.25">
      <c r="A238" s="311">
        <v>19</v>
      </c>
      <c r="B238" s="177">
        <v>1.057113148</v>
      </c>
      <c r="C238" s="177">
        <v>8.0008852000000005E-2</v>
      </c>
      <c r="D238" s="177">
        <v>6.9170360000000004</v>
      </c>
      <c r="E238" s="177">
        <v>1.2827839999999999</v>
      </c>
      <c r="F238" s="177">
        <v>0</v>
      </c>
      <c r="G238" s="177">
        <v>4.9546080000000003</v>
      </c>
      <c r="H238" s="177">
        <v>10.877803999999999</v>
      </c>
      <c r="I238" s="177">
        <v>8.8567140000000002</v>
      </c>
      <c r="J238" s="177">
        <v>1.610465</v>
      </c>
      <c r="K238" s="177">
        <v>0.52580700000000002</v>
      </c>
      <c r="L238" s="177">
        <v>1.4605300000000001</v>
      </c>
      <c r="M238" s="177">
        <v>7.1635000000000004E-2</v>
      </c>
      <c r="N238" s="177">
        <v>0.19889499999999999</v>
      </c>
      <c r="O238" s="178">
        <v>37.8934</v>
      </c>
      <c r="P238" s="177">
        <v>-1.0985910000000001</v>
      </c>
      <c r="Q238" s="177">
        <v>-0.30339300000000002</v>
      </c>
      <c r="R238" s="177">
        <v>-4.7265610000000002</v>
      </c>
      <c r="S238" s="178">
        <v>31.764855000000001</v>
      </c>
      <c r="V238" s="198">
        <f t="shared" si="33"/>
        <v>2491.067145981548</v>
      </c>
    </row>
    <row r="239" spans="1:22" ht="14.25">
      <c r="A239" s="311">
        <v>20</v>
      </c>
      <c r="B239" s="177">
        <v>1.266253716</v>
      </c>
      <c r="C239" s="177">
        <v>0.159729284</v>
      </c>
      <c r="D239" s="177">
        <v>6.9151480000000003</v>
      </c>
      <c r="E239" s="177">
        <v>1.2861130000000001</v>
      </c>
      <c r="F239" s="177">
        <v>0</v>
      </c>
      <c r="G239" s="177">
        <v>5.4375239999999998</v>
      </c>
      <c r="H239" s="177">
        <v>11.473157</v>
      </c>
      <c r="I239" s="177">
        <v>6.5212709999999996</v>
      </c>
      <c r="J239" s="177">
        <v>1.60059</v>
      </c>
      <c r="K239" s="177">
        <v>0.52884200000000003</v>
      </c>
      <c r="L239" s="177">
        <v>1.463854</v>
      </c>
      <c r="M239" s="177">
        <v>7.1831500000000006E-2</v>
      </c>
      <c r="N239" s="177">
        <v>0.1985325</v>
      </c>
      <c r="O239" s="178">
        <v>36.922846</v>
      </c>
      <c r="P239" s="177">
        <v>-0.54839300000000002</v>
      </c>
      <c r="Q239" s="177">
        <v>-0.30088799999999999</v>
      </c>
      <c r="R239" s="177">
        <v>-4.4262810000000004</v>
      </c>
      <c r="S239" s="178">
        <v>31.647283999999999</v>
      </c>
      <c r="V239" s="198">
        <f t="shared" si="33"/>
        <v>2738.8583733141927</v>
      </c>
    </row>
    <row r="240" spans="1:22" ht="14.25">
      <c r="A240" s="311">
        <v>21</v>
      </c>
      <c r="B240" s="177">
        <v>1.86507256</v>
      </c>
      <c r="C240" s="177">
        <v>0.49376944</v>
      </c>
      <c r="D240" s="177">
        <v>6.9165109999999999</v>
      </c>
      <c r="E240" s="177">
        <v>1.2819370000000001</v>
      </c>
      <c r="F240" s="177">
        <v>0</v>
      </c>
      <c r="G240" s="177">
        <v>6.4488960000000004</v>
      </c>
      <c r="H240" s="177">
        <v>12.088997000000001</v>
      </c>
      <c r="I240" s="177">
        <v>2.7742209999999998</v>
      </c>
      <c r="J240" s="177">
        <v>1.3143750000000001</v>
      </c>
      <c r="K240" s="177">
        <v>0.56039099999999997</v>
      </c>
      <c r="L240" s="177">
        <v>1.489978</v>
      </c>
      <c r="M240" s="177">
        <v>7.3332999999999995E-2</v>
      </c>
      <c r="N240" s="177">
        <v>0.20192299999999999</v>
      </c>
      <c r="O240" s="178">
        <v>35.509404000000004</v>
      </c>
      <c r="P240" s="177">
        <v>-0.133329</v>
      </c>
      <c r="Q240" s="177">
        <v>-0.29993799999999998</v>
      </c>
      <c r="R240" s="177">
        <v>-3.5749369999999998</v>
      </c>
      <c r="S240" s="178">
        <v>31.501200000000001</v>
      </c>
      <c r="V240" s="198">
        <f t="shared" si="33"/>
        <v>3193.7401880915004</v>
      </c>
    </row>
    <row r="241" spans="1:22" ht="14.25">
      <c r="A241" s="311">
        <v>22</v>
      </c>
      <c r="B241" s="177">
        <v>2.2425226079999998</v>
      </c>
      <c r="C241" s="177">
        <v>0.74909589600000004</v>
      </c>
      <c r="D241" s="177">
        <v>6.9189189999999998</v>
      </c>
      <c r="E241" s="177">
        <v>1.285477</v>
      </c>
      <c r="F241" s="177">
        <v>0</v>
      </c>
      <c r="G241" s="177">
        <v>6.6829299999999998</v>
      </c>
      <c r="H241" s="177">
        <v>12.38003</v>
      </c>
      <c r="I241" s="177">
        <v>0.27554600000000001</v>
      </c>
      <c r="J241" s="177">
        <v>0.83934500000000001</v>
      </c>
      <c r="K241" s="177">
        <v>0.57305700000000004</v>
      </c>
      <c r="L241" s="177">
        <v>1.5253060000000001</v>
      </c>
      <c r="M241" s="177">
        <v>7.4189500000000005E-2</v>
      </c>
      <c r="N241" s="177">
        <v>0.2061075</v>
      </c>
      <c r="O241" s="178">
        <v>33.752525503999998</v>
      </c>
      <c r="P241" s="177">
        <v>-5.4538000000000003E-2</v>
      </c>
      <c r="Q241" s="177">
        <v>-0.29890099999999997</v>
      </c>
      <c r="R241" s="177">
        <v>-2.215071</v>
      </c>
      <c r="S241" s="178">
        <v>31.184015504000001</v>
      </c>
      <c r="V241" s="198">
        <f t="shared" si="33"/>
        <v>3242.4487221474228</v>
      </c>
    </row>
    <row r="242" spans="1:22" ht="14.25">
      <c r="A242" s="311">
        <v>23</v>
      </c>
      <c r="B242" s="177">
        <v>2.24185356</v>
      </c>
      <c r="C242" s="177">
        <v>0.79159144000000004</v>
      </c>
      <c r="D242" s="177">
        <v>6.9264770000000002</v>
      </c>
      <c r="E242" s="177">
        <v>1.2862169999999999</v>
      </c>
      <c r="F242" s="177">
        <v>0</v>
      </c>
      <c r="G242" s="177">
        <v>6.6108760000000002</v>
      </c>
      <c r="H242" s="177">
        <v>12.642693</v>
      </c>
      <c r="I242" s="177">
        <v>2.9520000000000002E-3</v>
      </c>
      <c r="J242" s="177">
        <v>0.61141900000000005</v>
      </c>
      <c r="K242" s="177">
        <v>0.57273499999999999</v>
      </c>
      <c r="L242" s="177">
        <v>1.536805</v>
      </c>
      <c r="M242" s="177">
        <v>7.4236499999999997E-2</v>
      </c>
      <c r="N242" s="177">
        <v>0.20731550000000001</v>
      </c>
      <c r="O242" s="178">
        <v>33.505170999999997</v>
      </c>
      <c r="P242" s="177">
        <v>-5.4607000000000003E-2</v>
      </c>
      <c r="Q242" s="177">
        <v>-0.179927</v>
      </c>
      <c r="R242" s="177">
        <v>-2.565626</v>
      </c>
      <c r="S242" s="178">
        <v>30.705010999999999</v>
      </c>
      <c r="V242" s="198">
        <f t="shared" si="33"/>
        <v>3188.7996797152164</v>
      </c>
    </row>
    <row r="243" spans="1:22" ht="14.25">
      <c r="A243" s="311">
        <v>24</v>
      </c>
      <c r="B243" s="177">
        <v>1.60062456</v>
      </c>
      <c r="C243" s="177">
        <v>0.46091243999999998</v>
      </c>
      <c r="D243" s="177">
        <v>6.9256200000000003</v>
      </c>
      <c r="E243" s="177">
        <v>1.2884359999999999</v>
      </c>
      <c r="F243" s="177">
        <v>0</v>
      </c>
      <c r="G243" s="177">
        <v>6.055523</v>
      </c>
      <c r="H243" s="177">
        <v>12.271240000000001</v>
      </c>
      <c r="I243" s="177">
        <v>3.0720000000000001E-3</v>
      </c>
      <c r="J243" s="177">
        <v>0.58638400000000002</v>
      </c>
      <c r="K243" s="177">
        <v>0.553512</v>
      </c>
      <c r="L243" s="177">
        <v>1.531766</v>
      </c>
      <c r="M243" s="177">
        <v>7.5213000000000002E-2</v>
      </c>
      <c r="N243" s="177">
        <v>0.21138999999999999</v>
      </c>
      <c r="O243" s="178">
        <v>31.563693000000001</v>
      </c>
      <c r="P243" s="177">
        <v>-5.0893000000000001E-2</v>
      </c>
      <c r="Q243" s="177">
        <v>-0.104502</v>
      </c>
      <c r="R243" s="177">
        <v>-2.6474169999999999</v>
      </c>
      <c r="S243" s="178">
        <v>28.760881000000001</v>
      </c>
      <c r="V243" s="198">
        <f t="shared" si="33"/>
        <v>2864.6213160509014</v>
      </c>
    </row>
    <row r="244" spans="1:22" ht="14.25">
      <c r="V244" s="198" t="str">
        <f t="shared" si="33"/>
        <v/>
      </c>
    </row>
    <row r="245" spans="1:22" ht="14.25">
      <c r="V245" s="198" t="str">
        <f t="shared" si="33"/>
        <v/>
      </c>
    </row>
    <row r="246" spans="1:22" ht="14.25">
      <c r="V246" s="198" t="str">
        <f t="shared" si="33"/>
        <v/>
      </c>
    </row>
    <row r="248" spans="1:22">
      <c r="A248" s="262"/>
      <c r="B248" s="262" t="s">
        <v>30</v>
      </c>
      <c r="C248" s="263" t="s">
        <v>198</v>
      </c>
      <c r="D248" s="263" t="s">
        <v>199</v>
      </c>
      <c r="E248" s="263" t="s">
        <v>201</v>
      </c>
      <c r="F248" s="263" t="s">
        <v>202</v>
      </c>
      <c r="G248" s="263" t="s">
        <v>203</v>
      </c>
      <c r="H248" s="263" t="s">
        <v>204</v>
      </c>
      <c r="I248" s="263" t="s">
        <v>207</v>
      </c>
      <c r="J248" s="263" t="s">
        <v>216</v>
      </c>
      <c r="K248" s="263" t="s">
        <v>217</v>
      </c>
      <c r="L248" s="263" t="s">
        <v>218</v>
      </c>
      <c r="M248" s="263" t="s">
        <v>221</v>
      </c>
      <c r="N248" s="263" t="s">
        <v>225</v>
      </c>
      <c r="O248" s="263" t="s">
        <v>226</v>
      </c>
    </row>
    <row r="249" spans="1:22">
      <c r="A249" s="262"/>
      <c r="B249" s="262" t="s">
        <v>106</v>
      </c>
      <c r="C249" s="263" t="s">
        <v>175</v>
      </c>
      <c r="D249" s="263" t="s">
        <v>175</v>
      </c>
      <c r="E249" s="263" t="s">
        <v>175</v>
      </c>
      <c r="F249" s="263" t="s">
        <v>175</v>
      </c>
      <c r="G249" s="263" t="s">
        <v>175</v>
      </c>
      <c r="H249" s="263" t="s">
        <v>175</v>
      </c>
      <c r="I249" s="263" t="s">
        <v>175</v>
      </c>
      <c r="J249" s="263" t="s">
        <v>175</v>
      </c>
      <c r="K249" s="263" t="s">
        <v>175</v>
      </c>
      <c r="L249" s="263" t="s">
        <v>175</v>
      </c>
      <c r="M249" s="263" t="s">
        <v>175</v>
      </c>
      <c r="N249" s="263" t="s">
        <v>175</v>
      </c>
      <c r="O249" s="263" t="s">
        <v>175</v>
      </c>
    </row>
    <row r="250" spans="1:22">
      <c r="A250" s="262" t="s">
        <v>167</v>
      </c>
      <c r="B250" s="262" t="s">
        <v>168</v>
      </c>
      <c r="C250" s="264"/>
      <c r="D250" s="264"/>
      <c r="E250" s="264"/>
      <c r="F250" s="264"/>
      <c r="G250" s="264"/>
      <c r="H250" s="264"/>
      <c r="I250" s="264"/>
      <c r="J250" s="264"/>
      <c r="K250" s="264"/>
      <c r="L250" s="264"/>
      <c r="M250" s="264"/>
      <c r="N250" s="264"/>
      <c r="O250" s="264"/>
    </row>
    <row r="251" spans="1:22">
      <c r="A251" s="348" t="s">
        <v>4</v>
      </c>
      <c r="B251" s="265" t="s">
        <v>158</v>
      </c>
      <c r="C251" s="270">
        <v>15271.65984</v>
      </c>
      <c r="D251" s="270"/>
      <c r="E251" s="270"/>
      <c r="F251" s="270">
        <v>98976.334080000001</v>
      </c>
      <c r="G251" s="270">
        <v>53701.114560000002</v>
      </c>
      <c r="H251" s="270">
        <v>141364.62912</v>
      </c>
      <c r="I251" s="270">
        <v>159278.31072000001</v>
      </c>
      <c r="J251" s="270">
        <v>97138.038719999997</v>
      </c>
      <c r="K251" s="270">
        <v>201365.1648</v>
      </c>
      <c r="L251" s="270">
        <v>271183.12224</v>
      </c>
      <c r="M251" s="270">
        <v>238881.68544</v>
      </c>
      <c r="N251" s="270">
        <v>333461.97408000001</v>
      </c>
      <c r="O251" s="270">
        <v>274798.66655999998</v>
      </c>
    </row>
    <row r="252" spans="1:22">
      <c r="A252" s="349"/>
      <c r="B252" s="265" t="s">
        <v>159</v>
      </c>
      <c r="C252" s="270">
        <v>282114.43776</v>
      </c>
      <c r="D252" s="270">
        <v>315216.2352</v>
      </c>
      <c r="E252" s="270">
        <v>466130.6544</v>
      </c>
      <c r="F252" s="270">
        <v>412591.42463999998</v>
      </c>
      <c r="G252" s="270">
        <v>506232.15263999999</v>
      </c>
      <c r="H252" s="270">
        <v>553201.79327999998</v>
      </c>
      <c r="I252" s="270">
        <v>523698.93887999997</v>
      </c>
      <c r="J252" s="270">
        <v>455202.47232</v>
      </c>
      <c r="K252" s="270">
        <v>479396.57568000001</v>
      </c>
      <c r="L252" s="270">
        <v>393904.57631999999</v>
      </c>
      <c r="M252" s="270">
        <v>268369.73375999997</v>
      </c>
      <c r="N252" s="270">
        <v>438453.48479999998</v>
      </c>
      <c r="O252" s="270">
        <v>524336.06400000001</v>
      </c>
    </row>
    <row r="253" spans="1:22">
      <c r="A253" s="265" t="s">
        <v>95</v>
      </c>
      <c r="B253" s="265" t="s">
        <v>171</v>
      </c>
      <c r="C253" s="270"/>
      <c r="D253" s="270">
        <v>7.6999999999999996E-4</v>
      </c>
      <c r="E253" s="270">
        <v>7.6999999999999996E-4</v>
      </c>
      <c r="F253" s="270"/>
      <c r="G253" s="270"/>
      <c r="H253" s="270"/>
      <c r="I253" s="270"/>
      <c r="J253" s="270"/>
      <c r="K253" s="270"/>
      <c r="L253" s="270"/>
      <c r="M253" s="270"/>
      <c r="N253" s="270"/>
      <c r="O253" s="270"/>
    </row>
    <row r="254" spans="1:22">
      <c r="A254" s="265" t="s">
        <v>11</v>
      </c>
      <c r="B254" s="265" t="s">
        <v>160</v>
      </c>
      <c r="C254" s="270">
        <v>1119151.5504000001</v>
      </c>
      <c r="D254" s="270">
        <v>1230307.58495</v>
      </c>
      <c r="E254" s="270">
        <v>1589884.42484</v>
      </c>
      <c r="F254" s="270">
        <v>1408320.4109700001</v>
      </c>
      <c r="G254" s="270">
        <v>2108118.1198</v>
      </c>
      <c r="H254" s="270">
        <v>1664901.3476400001</v>
      </c>
      <c r="I254" s="270">
        <v>1923036.45673</v>
      </c>
      <c r="J254" s="270">
        <v>1512139.2700400001</v>
      </c>
      <c r="K254" s="270">
        <v>1203828.3647499999</v>
      </c>
      <c r="L254" s="270">
        <v>952298.71247999999</v>
      </c>
      <c r="M254" s="270">
        <v>1144182.7841099999</v>
      </c>
      <c r="N254" s="270">
        <v>2156194.1597099998</v>
      </c>
      <c r="O254" s="270">
        <v>2874103.3418999999</v>
      </c>
    </row>
    <row r="255" spans="1:22">
      <c r="A255" s="350" t="s">
        <v>9</v>
      </c>
      <c r="B255" s="265" t="s">
        <v>161</v>
      </c>
      <c r="C255" s="270">
        <v>89868.745999999999</v>
      </c>
      <c r="D255" s="270">
        <v>88774.373000000007</v>
      </c>
      <c r="E255" s="270">
        <v>99322.657500000001</v>
      </c>
      <c r="F255" s="270">
        <v>106439.45</v>
      </c>
      <c r="G255" s="270">
        <v>109370.1205</v>
      </c>
      <c r="H255" s="270">
        <v>109681.478</v>
      </c>
      <c r="I255" s="270">
        <v>109089.4225</v>
      </c>
      <c r="J255" s="270">
        <v>101161.98</v>
      </c>
      <c r="K255" s="270">
        <v>104932.42049999999</v>
      </c>
      <c r="L255" s="270">
        <v>89627.987500000003</v>
      </c>
      <c r="M255" s="270">
        <v>94301.437000000005</v>
      </c>
      <c r="N255" s="270">
        <v>57586.488499999999</v>
      </c>
      <c r="O255" s="270">
        <v>44440.381000000001</v>
      </c>
    </row>
    <row r="256" spans="1:22">
      <c r="A256" s="351"/>
      <c r="B256" s="265" t="s">
        <v>162</v>
      </c>
      <c r="C256" s="270">
        <v>740532.08808000002</v>
      </c>
      <c r="D256" s="270">
        <v>691488.24263999995</v>
      </c>
      <c r="E256" s="270">
        <v>704840.28191999998</v>
      </c>
      <c r="F256" s="270">
        <v>691501.74803999998</v>
      </c>
      <c r="G256" s="270">
        <v>700354.41084000003</v>
      </c>
      <c r="H256" s="270">
        <v>699574.03092000005</v>
      </c>
      <c r="I256" s="270">
        <v>691194.02148</v>
      </c>
      <c r="J256" s="270">
        <v>687868.01963999995</v>
      </c>
      <c r="K256" s="270">
        <v>719352.17856000003</v>
      </c>
      <c r="L256" s="270">
        <v>549727.87211999996</v>
      </c>
      <c r="M256" s="270">
        <v>604123.32024000003</v>
      </c>
      <c r="N256" s="270">
        <v>485418.62699999998</v>
      </c>
      <c r="O256" s="270">
        <v>346510.90295999998</v>
      </c>
    </row>
    <row r="257" spans="1:17">
      <c r="A257" s="351"/>
      <c r="B257" s="265" t="s">
        <v>163</v>
      </c>
      <c r="C257" s="270">
        <v>761.31745999999998</v>
      </c>
      <c r="D257" s="270">
        <v>736.51941999999997</v>
      </c>
      <c r="E257" s="270">
        <v>971.72194000000002</v>
      </c>
      <c r="F257" s="270">
        <v>1046.9121600000001</v>
      </c>
      <c r="G257" s="270">
        <v>1830.8510200000001</v>
      </c>
      <c r="H257" s="270">
        <v>2029.67614</v>
      </c>
      <c r="I257" s="270">
        <v>1022.9372</v>
      </c>
      <c r="J257" s="270">
        <v>955.02739999999994</v>
      </c>
      <c r="K257" s="270">
        <v>757.73216000000002</v>
      </c>
      <c r="L257" s="270">
        <v>457.78980000000001</v>
      </c>
      <c r="M257" s="270">
        <v>627.31996000000004</v>
      </c>
      <c r="N257" s="270">
        <v>567.87123999999994</v>
      </c>
      <c r="O257" s="270">
        <v>282.28832</v>
      </c>
    </row>
    <row r="258" spans="1:17">
      <c r="A258" s="349"/>
      <c r="B258" s="265" t="s">
        <v>200</v>
      </c>
      <c r="C258" s="270"/>
      <c r="D258" s="270">
        <v>730.62865999999997</v>
      </c>
      <c r="E258" s="270"/>
      <c r="F258" s="270"/>
      <c r="G258" s="270"/>
      <c r="H258" s="270"/>
      <c r="I258" s="270"/>
      <c r="J258" s="270"/>
      <c r="K258" s="270"/>
      <c r="L258" s="270"/>
      <c r="M258" s="270"/>
      <c r="N258" s="270"/>
      <c r="O258" s="270"/>
    </row>
    <row r="259" spans="1:17">
      <c r="A259" s="350" t="s">
        <v>70</v>
      </c>
      <c r="B259" s="265" t="s">
        <v>164</v>
      </c>
      <c r="C259" s="270">
        <v>32066.770250000001</v>
      </c>
      <c r="D259" s="270">
        <v>31906.170849999999</v>
      </c>
      <c r="E259" s="270">
        <v>30814.013800000001</v>
      </c>
      <c r="F259" s="270">
        <v>26297.769850000001</v>
      </c>
      <c r="G259" s="270">
        <v>30990.911400000001</v>
      </c>
      <c r="H259" s="270">
        <v>17788.532449999999</v>
      </c>
      <c r="I259" s="270">
        <v>4806.1402500000004</v>
      </c>
      <c r="J259" s="270">
        <v>9.3100000000000002E-2</v>
      </c>
      <c r="K259" s="270">
        <v>12359.732749999999</v>
      </c>
      <c r="L259" s="270">
        <v>21941.247500000001</v>
      </c>
      <c r="M259" s="270">
        <v>12802.76715</v>
      </c>
      <c r="N259" s="270">
        <v>12563.51345</v>
      </c>
      <c r="O259" s="270">
        <v>29004.54405</v>
      </c>
    </row>
    <row r="260" spans="1:17">
      <c r="A260" s="351"/>
      <c r="B260" s="265" t="s">
        <v>165</v>
      </c>
      <c r="C260" s="270">
        <v>16816.606919999998</v>
      </c>
      <c r="D260" s="270">
        <v>16308.46572</v>
      </c>
      <c r="E260" s="270">
        <v>13353.574199999999</v>
      </c>
      <c r="F260" s="270">
        <v>14841.053760000001</v>
      </c>
      <c r="G260" s="270">
        <v>15816.303239999999</v>
      </c>
      <c r="H260" s="270">
        <v>17473.879199999999</v>
      </c>
      <c r="I260" s="270">
        <v>16554.03096</v>
      </c>
      <c r="J260" s="270">
        <v>16057.650960000001</v>
      </c>
      <c r="K260" s="270">
        <v>17274.822960000001</v>
      </c>
      <c r="L260" s="270">
        <v>15545.316000000001</v>
      </c>
      <c r="M260" s="270">
        <v>16195.34244</v>
      </c>
      <c r="N260" s="270">
        <v>15172.17684</v>
      </c>
      <c r="O260" s="270">
        <v>14167.71408</v>
      </c>
    </row>
    <row r="261" spans="1:17">
      <c r="A261" s="349"/>
      <c r="B261" s="265" t="s">
        <v>166</v>
      </c>
      <c r="C261" s="270">
        <v>21442.695599999999</v>
      </c>
      <c r="D261" s="270">
        <v>23247.599040000001</v>
      </c>
      <c r="E261" s="270">
        <v>19033.27968</v>
      </c>
      <c r="F261" s="270">
        <v>21588.358800000002</v>
      </c>
      <c r="G261" s="270">
        <v>15908.03832</v>
      </c>
      <c r="H261" s="270">
        <v>19269.097440000001</v>
      </c>
      <c r="I261" s="270">
        <v>20525.410080000001</v>
      </c>
      <c r="J261" s="270">
        <v>17187.792000000001</v>
      </c>
      <c r="K261" s="270">
        <v>21339.754079999999</v>
      </c>
      <c r="L261" s="270">
        <v>18235.557359999999</v>
      </c>
      <c r="M261" s="270">
        <v>18514.75776</v>
      </c>
      <c r="N261" s="270">
        <v>15775.74504</v>
      </c>
      <c r="O261" s="270">
        <v>17941.654320000001</v>
      </c>
    </row>
    <row r="262" spans="1:17">
      <c r="A262" s="266" t="s">
        <v>15</v>
      </c>
      <c r="B262" s="267"/>
      <c r="C262" s="271">
        <v>2318025.87231</v>
      </c>
      <c r="D262" s="271">
        <v>2398715.8202499999</v>
      </c>
      <c r="E262" s="271">
        <v>2924350.6090500001</v>
      </c>
      <c r="F262" s="271">
        <v>2781603.4622999998</v>
      </c>
      <c r="G262" s="271">
        <v>3542322.02232</v>
      </c>
      <c r="H262" s="271">
        <v>3225284.4641900002</v>
      </c>
      <c r="I262" s="271">
        <v>3449205.6688000001</v>
      </c>
      <c r="J262" s="271">
        <v>2887710.34418</v>
      </c>
      <c r="K262" s="271">
        <v>2760606.7462399998</v>
      </c>
      <c r="L262" s="271">
        <v>2312922.18132</v>
      </c>
      <c r="M262" s="271">
        <v>2397999.1478599999</v>
      </c>
      <c r="N262" s="271">
        <v>3515194.0406599999</v>
      </c>
      <c r="O262" s="271">
        <v>4125585.5571900001</v>
      </c>
      <c r="Q262" s="44">
        <f>(O262-C262)/C262*100</f>
        <v>77.97840854462504</v>
      </c>
    </row>
  </sheetData>
  <sortState xmlns:xlrd2="http://schemas.microsoft.com/office/spreadsheetml/2017/richdata2" ref="H50:J61">
    <sortCondition descending="1" ref="J50:J61"/>
  </sortState>
  <mergeCells count="13">
    <mergeCell ref="B176:S176"/>
    <mergeCell ref="B177:S177"/>
    <mergeCell ref="A251:A252"/>
    <mergeCell ref="A259:A261"/>
    <mergeCell ref="A255:A258"/>
    <mergeCell ref="B215:S215"/>
    <mergeCell ref="B216:S216"/>
    <mergeCell ref="B217:S217"/>
    <mergeCell ref="B4:J4"/>
    <mergeCell ref="B5:J5"/>
    <mergeCell ref="B115:Z115"/>
    <mergeCell ref="B116:Z116"/>
    <mergeCell ref="B175:S175"/>
  </mergeCells>
  <conditionalFormatting sqref="V220:V246">
    <cfRule type="cellIs" dxfId="1" priority="3" operator="equal">
      <formula>$V$176</formula>
    </cfRule>
  </conditionalFormatting>
  <conditionalFormatting sqref="V180:V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G1209"/>
  <sheetViews>
    <sheetView workbookViewId="0"/>
  </sheetViews>
  <sheetFormatPr baseColWidth="10" defaultRowHeight="12.75"/>
  <cols>
    <col min="1" max="2" width="14.7109375" customWidth="1"/>
    <col min="3" max="5" width="17.5703125" customWidth="1"/>
    <col min="6" max="6" width="7.7109375" style="199" customWidth="1"/>
    <col min="7" max="7" width="7.7109375" style="200" customWidth="1"/>
  </cols>
  <sheetData>
    <row r="1" spans="1:6">
      <c r="C1" s="201" t="s">
        <v>32</v>
      </c>
      <c r="D1" s="201" t="s">
        <v>33</v>
      </c>
      <c r="E1" s="201" t="s">
        <v>34</v>
      </c>
    </row>
    <row r="2" spans="1:6">
      <c r="C2" s="352" t="s">
        <v>126</v>
      </c>
      <c r="D2" s="353"/>
      <c r="E2" s="353"/>
    </row>
    <row r="3" spans="1:6">
      <c r="A3">
        <v>0</v>
      </c>
      <c r="B3" s="46">
        <v>44378</v>
      </c>
      <c r="C3" s="269">
        <v>44.62471131430425</v>
      </c>
      <c r="D3" s="269">
        <v>28.26541708637771</v>
      </c>
      <c r="E3" s="177">
        <f>IF(C3&lt;D3,C3,D3)</f>
        <v>28.26541708637771</v>
      </c>
      <c r="F3" s="199" t="str">
        <f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</row>
    <row r="4" spans="1:6">
      <c r="A4">
        <v>1</v>
      </c>
      <c r="B4" s="46">
        <v>44379</v>
      </c>
      <c r="C4" s="269">
        <v>42.429424178304252</v>
      </c>
      <c r="D4" s="269">
        <v>28.26541708637771</v>
      </c>
      <c r="E4" s="177">
        <f t="shared" ref="E4:E67" si="0">IF(C4&lt;D4,C4,D4)</f>
        <v>28.26541708637771</v>
      </c>
      <c r="F4" s="199" t="str">
        <f t="shared" ref="F4:F67" si="1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6">
      <c r="A5">
        <v>2</v>
      </c>
      <c r="B5" s="46">
        <v>44380</v>
      </c>
      <c r="C5" s="269">
        <v>38.563100278302386</v>
      </c>
      <c r="D5" s="269">
        <v>28.26541708637771</v>
      </c>
      <c r="E5" s="177">
        <f t="shared" si="0"/>
        <v>28.26541708637771</v>
      </c>
      <c r="F5" s="199" t="str">
        <f t="shared" si="1"/>
        <v/>
      </c>
    </row>
    <row r="6" spans="1:6">
      <c r="A6">
        <v>3</v>
      </c>
      <c r="B6" s="46">
        <v>44381</v>
      </c>
      <c r="C6" s="269">
        <v>4.5934732943023917</v>
      </c>
      <c r="D6" s="269">
        <v>28.26541708637771</v>
      </c>
      <c r="E6" s="177">
        <f t="shared" si="0"/>
        <v>4.5934732943023917</v>
      </c>
      <c r="F6" s="199" t="str">
        <f t="shared" si="1"/>
        <v/>
      </c>
    </row>
    <row r="7" spans="1:6">
      <c r="A7">
        <v>4</v>
      </c>
      <c r="B7" s="46">
        <v>44382</v>
      </c>
      <c r="C7" s="269">
        <v>37.484665742304266</v>
      </c>
      <c r="D7" s="269">
        <v>28.26541708637771</v>
      </c>
      <c r="E7" s="177">
        <f t="shared" si="0"/>
        <v>28.26541708637771</v>
      </c>
      <c r="F7" s="199" t="str">
        <f t="shared" si="1"/>
        <v/>
      </c>
    </row>
    <row r="8" spans="1:6">
      <c r="A8">
        <v>5</v>
      </c>
      <c r="B8" s="46">
        <v>44383</v>
      </c>
      <c r="C8" s="269">
        <v>40.497175394304257</v>
      </c>
      <c r="D8" s="269">
        <v>28.26541708637771</v>
      </c>
      <c r="E8" s="177">
        <f t="shared" si="0"/>
        <v>28.26541708637771</v>
      </c>
      <c r="F8" s="199" t="str">
        <f t="shared" si="1"/>
        <v/>
      </c>
    </row>
    <row r="9" spans="1:6">
      <c r="A9">
        <v>6</v>
      </c>
      <c r="B9" s="46">
        <v>44384</v>
      </c>
      <c r="C9" s="269">
        <v>37.492404876303219</v>
      </c>
      <c r="D9" s="269">
        <v>28.26541708637771</v>
      </c>
      <c r="E9" s="177">
        <f t="shared" si="0"/>
        <v>28.26541708637771</v>
      </c>
      <c r="F9" s="199" t="str">
        <f t="shared" si="1"/>
        <v/>
      </c>
    </row>
    <row r="10" spans="1:6">
      <c r="A10">
        <v>7</v>
      </c>
      <c r="B10" s="46">
        <v>44385</v>
      </c>
      <c r="C10" s="269">
        <v>25.250259888306942</v>
      </c>
      <c r="D10" s="269">
        <v>28.26541708637771</v>
      </c>
      <c r="E10" s="177">
        <f t="shared" si="0"/>
        <v>25.250259888306942</v>
      </c>
      <c r="F10" s="199" t="str">
        <f t="shared" si="1"/>
        <v/>
      </c>
    </row>
    <row r="11" spans="1:6">
      <c r="A11">
        <v>8</v>
      </c>
      <c r="B11" s="46">
        <v>44386</v>
      </c>
      <c r="C11" s="269">
        <v>24.846315244305078</v>
      </c>
      <c r="D11" s="269">
        <v>28.26541708637771</v>
      </c>
      <c r="E11" s="177">
        <f t="shared" si="0"/>
        <v>24.846315244305078</v>
      </c>
      <c r="F11" s="199" t="str">
        <f t="shared" si="1"/>
        <v/>
      </c>
    </row>
    <row r="12" spans="1:6">
      <c r="A12">
        <v>9</v>
      </c>
      <c r="B12" s="46">
        <v>44387</v>
      </c>
      <c r="C12" s="269">
        <v>24.875425528305072</v>
      </c>
      <c r="D12" s="269">
        <v>28.26541708637771</v>
      </c>
      <c r="E12" s="177">
        <f t="shared" si="0"/>
        <v>24.875425528305072</v>
      </c>
      <c r="F12" s="199" t="str">
        <f t="shared" si="1"/>
        <v/>
      </c>
    </row>
    <row r="13" spans="1:6">
      <c r="A13">
        <v>10</v>
      </c>
      <c r="B13" s="46">
        <v>44388</v>
      </c>
      <c r="C13" s="269">
        <v>24.555974760305077</v>
      </c>
      <c r="D13" s="269">
        <v>28.26541708637771</v>
      </c>
      <c r="E13" s="177">
        <f t="shared" si="0"/>
        <v>24.555974760305077</v>
      </c>
      <c r="F13" s="199" t="str">
        <f t="shared" si="1"/>
        <v/>
      </c>
    </row>
    <row r="14" spans="1:6">
      <c r="A14">
        <v>11</v>
      </c>
      <c r="B14" s="46">
        <v>44389</v>
      </c>
      <c r="C14" s="269">
        <v>14.567424316305084</v>
      </c>
      <c r="D14" s="269">
        <v>28.26541708637771</v>
      </c>
      <c r="E14" s="177">
        <f t="shared" si="0"/>
        <v>14.567424316305084</v>
      </c>
      <c r="F14" s="199" t="str">
        <f t="shared" si="1"/>
        <v/>
      </c>
    </row>
    <row r="15" spans="1:6">
      <c r="A15">
        <v>12</v>
      </c>
      <c r="B15" s="46">
        <v>44390</v>
      </c>
      <c r="C15" s="269">
        <v>17.458720352305086</v>
      </c>
      <c r="D15" s="269">
        <v>28.26541708637771</v>
      </c>
      <c r="E15" s="177">
        <f t="shared" si="0"/>
        <v>17.458720352305086</v>
      </c>
      <c r="F15" s="199" t="str">
        <f t="shared" si="1"/>
        <v/>
      </c>
    </row>
    <row r="16" spans="1:6">
      <c r="A16">
        <v>13</v>
      </c>
      <c r="B16" s="46">
        <v>44391</v>
      </c>
      <c r="C16" s="269">
        <v>3.2801613586414167</v>
      </c>
      <c r="D16" s="269">
        <v>28.26541708637771</v>
      </c>
      <c r="E16" s="177">
        <f t="shared" si="0"/>
        <v>3.2801613586414167</v>
      </c>
      <c r="F16" s="199" t="str">
        <f t="shared" si="1"/>
        <v/>
      </c>
    </row>
    <row r="17" spans="1:7">
      <c r="A17">
        <v>14</v>
      </c>
      <c r="B17" s="46">
        <v>44392</v>
      </c>
      <c r="C17" s="269">
        <v>3.7021285986414152</v>
      </c>
      <c r="D17" s="269">
        <v>28.26541708637771</v>
      </c>
      <c r="E17" s="177">
        <f t="shared" si="0"/>
        <v>3.7021285986414152</v>
      </c>
      <c r="F17" s="199" t="str">
        <f>IF(DAY(B17)=15,IF(MONTH(B17)=1,"E",IF(MONTH(B17)=2,"F",IF(MONTH(B17)=3,"M",IF(MONTH(B17)=4,"A",IF(MONTH(B17)=5,"M",IF(MONTH(B17)=6,"J",IF(MONTH(B17)=7,"J",IF(MONTH(B17)=8,"A",IF(MONTH(B17)=9,"S",IF(MONTH(B17)=10,"O",IF(MONTH(B17)=11,"N",IF(MONTH(B17)=12,"D","")))))))))))),"")</f>
        <v>J</v>
      </c>
      <c r="G17" s="200">
        <f>IF(DAY(B17)=15,D17,"")</f>
        <v>28.26541708637771</v>
      </c>
    </row>
    <row r="18" spans="1:7">
      <c r="A18">
        <v>15</v>
      </c>
      <c r="B18" s="46">
        <v>44393</v>
      </c>
      <c r="C18" s="269">
        <v>3.4328874426414258</v>
      </c>
      <c r="D18" s="269">
        <v>28.26541708637771</v>
      </c>
      <c r="E18" s="177">
        <f t="shared" si="0"/>
        <v>3.4328874426414258</v>
      </c>
      <c r="F18" s="199" t="str">
        <f t="shared" si="1"/>
        <v/>
      </c>
    </row>
    <row r="19" spans="1:7">
      <c r="A19">
        <v>16</v>
      </c>
      <c r="B19" s="46">
        <v>44394</v>
      </c>
      <c r="C19" s="269">
        <v>6.1905694026414126</v>
      </c>
      <c r="D19" s="269">
        <v>28.26541708637771</v>
      </c>
      <c r="E19" s="177">
        <f t="shared" si="0"/>
        <v>6.1905694026414126</v>
      </c>
      <c r="F19" s="199" t="str">
        <f t="shared" si="1"/>
        <v/>
      </c>
    </row>
    <row r="20" spans="1:7">
      <c r="A20">
        <v>17</v>
      </c>
      <c r="B20" s="46">
        <v>44395</v>
      </c>
      <c r="C20" s="269">
        <v>2.9161338986432819</v>
      </c>
      <c r="D20" s="269">
        <v>28.26541708637771</v>
      </c>
      <c r="E20" s="177">
        <f t="shared" si="0"/>
        <v>2.9161338986432819</v>
      </c>
      <c r="F20" s="199" t="str">
        <f t="shared" si="1"/>
        <v/>
      </c>
    </row>
    <row r="21" spans="1:7">
      <c r="A21">
        <v>18</v>
      </c>
      <c r="B21" s="46">
        <v>44396</v>
      </c>
      <c r="C21" s="269">
        <v>3.8112047226414143</v>
      </c>
      <c r="D21" s="269">
        <v>28.26541708637771</v>
      </c>
      <c r="E21" s="177">
        <f t="shared" si="0"/>
        <v>3.8112047226414143</v>
      </c>
      <c r="F21" s="199" t="str">
        <f t="shared" si="1"/>
        <v/>
      </c>
    </row>
    <row r="22" spans="1:7">
      <c r="A22">
        <v>19</v>
      </c>
      <c r="B22" s="46">
        <v>44397</v>
      </c>
      <c r="C22" s="269">
        <v>0.74533419064328332</v>
      </c>
      <c r="D22" s="269">
        <v>28.26541708637771</v>
      </c>
      <c r="E22" s="177">
        <f t="shared" si="0"/>
        <v>0.74533419064328332</v>
      </c>
      <c r="F22" s="199" t="str">
        <f t="shared" si="1"/>
        <v/>
      </c>
    </row>
    <row r="23" spans="1:7">
      <c r="A23">
        <v>20</v>
      </c>
      <c r="B23" s="46">
        <v>44398</v>
      </c>
      <c r="C23" s="269">
        <v>19.407550297499554</v>
      </c>
      <c r="D23" s="269">
        <v>28.26541708637771</v>
      </c>
      <c r="E23" s="177">
        <f t="shared" si="0"/>
        <v>19.407550297499554</v>
      </c>
      <c r="F23" s="199" t="str">
        <f t="shared" si="1"/>
        <v/>
      </c>
    </row>
    <row r="24" spans="1:7">
      <c r="A24">
        <v>21</v>
      </c>
      <c r="B24" s="46">
        <v>44399</v>
      </c>
      <c r="C24" s="269">
        <v>16.555754301501416</v>
      </c>
      <c r="D24" s="269">
        <v>28.26541708637771</v>
      </c>
      <c r="E24" s="177">
        <f t="shared" si="0"/>
        <v>16.555754301501416</v>
      </c>
      <c r="F24" s="199" t="str">
        <f t="shared" si="1"/>
        <v/>
      </c>
    </row>
    <row r="25" spans="1:7">
      <c r="A25">
        <v>22</v>
      </c>
      <c r="B25" s="46">
        <v>44400</v>
      </c>
      <c r="C25" s="269">
        <v>13.259645153499557</v>
      </c>
      <c r="D25" s="269">
        <v>28.26541708637771</v>
      </c>
      <c r="E25" s="177">
        <f t="shared" si="0"/>
        <v>13.259645153499557</v>
      </c>
      <c r="F25" s="199" t="str">
        <f t="shared" si="1"/>
        <v/>
      </c>
    </row>
    <row r="26" spans="1:7">
      <c r="A26">
        <v>23</v>
      </c>
      <c r="B26" s="46">
        <v>44401</v>
      </c>
      <c r="C26" s="269">
        <v>11.605605877501418</v>
      </c>
      <c r="D26" s="269">
        <v>28.26541708637771</v>
      </c>
      <c r="E26" s="177">
        <f t="shared" si="0"/>
        <v>11.605605877501418</v>
      </c>
      <c r="F26" s="199" t="str">
        <f t="shared" si="1"/>
        <v/>
      </c>
    </row>
    <row r="27" spans="1:7">
      <c r="A27">
        <v>24</v>
      </c>
      <c r="B27" s="46">
        <v>44402</v>
      </c>
      <c r="C27" s="269">
        <v>7.0987854214995529</v>
      </c>
      <c r="D27" s="269">
        <v>28.26541708637771</v>
      </c>
      <c r="E27" s="177">
        <f t="shared" si="0"/>
        <v>7.0987854214995529</v>
      </c>
      <c r="F27" s="199" t="str">
        <f t="shared" si="1"/>
        <v/>
      </c>
    </row>
    <row r="28" spans="1:7">
      <c r="A28">
        <v>25</v>
      </c>
      <c r="B28" s="46">
        <v>44403</v>
      </c>
      <c r="C28" s="269">
        <v>10.141006933501419</v>
      </c>
      <c r="D28" s="269">
        <v>28.26541708637771</v>
      </c>
      <c r="E28" s="177">
        <f t="shared" si="0"/>
        <v>10.141006933501419</v>
      </c>
      <c r="F28" s="199" t="str">
        <f t="shared" si="1"/>
        <v/>
      </c>
    </row>
    <row r="29" spans="1:7">
      <c r="A29">
        <v>26</v>
      </c>
      <c r="B29" s="46">
        <v>44404</v>
      </c>
      <c r="C29" s="269">
        <v>9.3542710974995575</v>
      </c>
      <c r="D29" s="269">
        <v>28.26541708637771</v>
      </c>
      <c r="E29" s="177">
        <f t="shared" si="0"/>
        <v>9.3542710974995575</v>
      </c>
      <c r="F29" s="199" t="str">
        <f t="shared" si="1"/>
        <v/>
      </c>
    </row>
    <row r="30" spans="1:7">
      <c r="A30">
        <v>27</v>
      </c>
      <c r="B30" s="46">
        <v>44405</v>
      </c>
      <c r="C30" s="269">
        <v>6.3809409010995806</v>
      </c>
      <c r="D30" s="269">
        <v>28.26541708637771</v>
      </c>
      <c r="E30" s="177">
        <f t="shared" si="0"/>
        <v>6.3809409010995806</v>
      </c>
      <c r="F30" s="199" t="str">
        <f t="shared" si="1"/>
        <v/>
      </c>
    </row>
    <row r="31" spans="1:7">
      <c r="A31">
        <v>28</v>
      </c>
      <c r="B31" s="46">
        <v>44406</v>
      </c>
      <c r="C31" s="269">
        <v>18.61382452909772</v>
      </c>
      <c r="D31" s="269">
        <v>28.26541708637771</v>
      </c>
      <c r="E31" s="177">
        <f t="shared" si="0"/>
        <v>18.61382452909772</v>
      </c>
      <c r="F31" s="199" t="str">
        <f t="shared" si="1"/>
        <v/>
      </c>
    </row>
    <row r="32" spans="1:7">
      <c r="A32">
        <v>29</v>
      </c>
      <c r="B32" s="46">
        <v>44407</v>
      </c>
      <c r="C32" s="269">
        <v>20.12006257709772</v>
      </c>
      <c r="D32" s="269">
        <v>28.26541708637771</v>
      </c>
      <c r="E32" s="177">
        <f t="shared" si="0"/>
        <v>20.12006257709772</v>
      </c>
      <c r="F32" s="199" t="str">
        <f t="shared" si="1"/>
        <v/>
      </c>
    </row>
    <row r="33" spans="1:7">
      <c r="A33">
        <v>30</v>
      </c>
      <c r="B33" s="46">
        <v>44408</v>
      </c>
      <c r="C33" s="269">
        <v>1.8893583750977123</v>
      </c>
      <c r="D33" s="269">
        <v>28.26541708637771</v>
      </c>
      <c r="E33" s="177">
        <f t="shared" si="0"/>
        <v>1.8893583750977123</v>
      </c>
      <c r="F33" s="199" t="str">
        <f t="shared" si="1"/>
        <v/>
      </c>
    </row>
    <row r="34" spans="1:7">
      <c r="A34">
        <v>31</v>
      </c>
      <c r="B34" s="46">
        <v>44409</v>
      </c>
      <c r="C34" s="269">
        <v>4.5655955870995752</v>
      </c>
      <c r="D34" s="269">
        <v>17.065966880459293</v>
      </c>
      <c r="E34" s="177">
        <f t="shared" si="0"/>
        <v>4.5655955870995752</v>
      </c>
      <c r="F34" s="199" t="str">
        <f t="shared" si="1"/>
        <v/>
      </c>
    </row>
    <row r="35" spans="1:7">
      <c r="A35">
        <v>32</v>
      </c>
      <c r="B35" s="46">
        <v>44410</v>
      </c>
      <c r="C35" s="269">
        <v>24.369447137101439</v>
      </c>
      <c r="D35" s="269">
        <v>17.065966880459293</v>
      </c>
      <c r="E35" s="177">
        <f t="shared" si="0"/>
        <v>17.065966880459293</v>
      </c>
      <c r="F35" s="199" t="str">
        <f t="shared" si="1"/>
        <v/>
      </c>
    </row>
    <row r="36" spans="1:7">
      <c r="A36">
        <v>33</v>
      </c>
      <c r="B36" s="46">
        <v>44411</v>
      </c>
      <c r="C36" s="269">
        <v>22.849233373095849</v>
      </c>
      <c r="D36" s="269">
        <v>17.065966880459293</v>
      </c>
      <c r="E36" s="177">
        <f t="shared" si="0"/>
        <v>17.065966880459293</v>
      </c>
      <c r="F36" s="199" t="str">
        <f t="shared" si="1"/>
        <v/>
      </c>
    </row>
    <row r="37" spans="1:7">
      <c r="A37">
        <v>34</v>
      </c>
      <c r="B37" s="46">
        <v>44412</v>
      </c>
      <c r="C37" s="269">
        <v>20.851566048340771</v>
      </c>
      <c r="D37" s="269">
        <v>17.065966880459293</v>
      </c>
      <c r="E37" s="177">
        <f t="shared" si="0"/>
        <v>17.065966880459293</v>
      </c>
      <c r="F37" s="199" t="str">
        <f t="shared" si="1"/>
        <v/>
      </c>
    </row>
    <row r="38" spans="1:7">
      <c r="A38">
        <v>35</v>
      </c>
      <c r="B38" s="46">
        <v>44413</v>
      </c>
      <c r="C38" s="269">
        <v>20.527216116342636</v>
      </c>
      <c r="D38" s="269">
        <v>17.065966880459293</v>
      </c>
      <c r="E38" s="177">
        <f t="shared" si="0"/>
        <v>17.065966880459293</v>
      </c>
      <c r="F38" s="199" t="str">
        <f t="shared" si="1"/>
        <v/>
      </c>
    </row>
    <row r="39" spans="1:7">
      <c r="A39">
        <v>36</v>
      </c>
      <c r="B39" s="46">
        <v>44414</v>
      </c>
      <c r="C39" s="269">
        <v>8.4270759103407684</v>
      </c>
      <c r="D39" s="269">
        <v>17.065966880459293</v>
      </c>
      <c r="E39" s="177">
        <f t="shared" si="0"/>
        <v>8.4270759103407684</v>
      </c>
      <c r="F39" s="199" t="str">
        <f t="shared" si="1"/>
        <v/>
      </c>
    </row>
    <row r="40" spans="1:7">
      <c r="A40">
        <v>37</v>
      </c>
      <c r="B40" s="46">
        <v>44415</v>
      </c>
      <c r="C40" s="269">
        <v>3.1181593463426327</v>
      </c>
      <c r="D40" s="269">
        <v>17.065966880459293</v>
      </c>
      <c r="E40" s="177">
        <f t="shared" si="0"/>
        <v>3.1181593463426327</v>
      </c>
      <c r="F40" s="199" t="str">
        <f t="shared" si="1"/>
        <v/>
      </c>
    </row>
    <row r="41" spans="1:7">
      <c r="A41">
        <v>38</v>
      </c>
      <c r="B41" s="46">
        <v>44416</v>
      </c>
      <c r="C41" s="269">
        <v>0.97960024234076992</v>
      </c>
      <c r="D41" s="269">
        <v>17.065966880459293</v>
      </c>
      <c r="E41" s="177">
        <f t="shared" si="0"/>
        <v>0.97960024234076992</v>
      </c>
      <c r="F41" s="199" t="str">
        <f t="shared" si="1"/>
        <v/>
      </c>
    </row>
    <row r="42" spans="1:7">
      <c r="A42">
        <v>39</v>
      </c>
      <c r="B42" s="46">
        <v>44417</v>
      </c>
      <c r="C42" s="269">
        <v>14.443968728340769</v>
      </c>
      <c r="D42" s="269">
        <v>17.065966880459293</v>
      </c>
      <c r="E42" s="177">
        <f t="shared" si="0"/>
        <v>14.443968728340769</v>
      </c>
      <c r="F42" s="199" t="str">
        <f t="shared" si="1"/>
        <v/>
      </c>
    </row>
    <row r="43" spans="1:7">
      <c r="A43">
        <v>40</v>
      </c>
      <c r="B43" s="46">
        <v>44418</v>
      </c>
      <c r="C43" s="269">
        <v>12.368461616340777</v>
      </c>
      <c r="D43" s="269">
        <v>17.065966880459293</v>
      </c>
      <c r="E43" s="177">
        <f t="shared" si="0"/>
        <v>12.368461616340777</v>
      </c>
      <c r="F43" s="199" t="str">
        <f t="shared" si="1"/>
        <v/>
      </c>
    </row>
    <row r="44" spans="1:7">
      <c r="A44">
        <v>41</v>
      </c>
      <c r="B44" s="46">
        <v>44419</v>
      </c>
      <c r="C44" s="269">
        <v>12.890011353729017</v>
      </c>
      <c r="D44" s="269">
        <v>17.065966880459293</v>
      </c>
      <c r="E44" s="177">
        <f t="shared" si="0"/>
        <v>12.890011353729017</v>
      </c>
      <c r="F44" s="199" t="str">
        <f t="shared" si="1"/>
        <v/>
      </c>
    </row>
    <row r="45" spans="1:7">
      <c r="A45">
        <v>42</v>
      </c>
      <c r="B45" s="46">
        <v>44420</v>
      </c>
      <c r="C45" s="269">
        <v>11.795801197727153</v>
      </c>
      <c r="D45" s="269">
        <v>17.065966880459293</v>
      </c>
      <c r="E45" s="177">
        <f t="shared" si="0"/>
        <v>11.795801197727153</v>
      </c>
      <c r="F45" s="199" t="str">
        <f t="shared" si="1"/>
        <v/>
      </c>
    </row>
    <row r="46" spans="1:7">
      <c r="A46">
        <v>43</v>
      </c>
      <c r="B46" s="46">
        <v>44421</v>
      </c>
      <c r="C46" s="269">
        <v>10.709613341727149</v>
      </c>
      <c r="D46" s="269">
        <v>17.065966880459293</v>
      </c>
      <c r="E46" s="177">
        <f t="shared" si="0"/>
        <v>10.709613341727149</v>
      </c>
      <c r="F46" s="199" t="str">
        <f t="shared" si="1"/>
        <v/>
      </c>
    </row>
    <row r="47" spans="1:7">
      <c r="A47">
        <v>44</v>
      </c>
      <c r="B47" s="46">
        <v>44422</v>
      </c>
      <c r="C47" s="269">
        <v>8.390193413727145</v>
      </c>
      <c r="D47" s="269">
        <v>17.065966880459293</v>
      </c>
      <c r="E47" s="177">
        <f t="shared" si="0"/>
        <v>8.390193413727145</v>
      </c>
      <c r="F47" s="199" t="str">
        <f>IF(DAY(B47)=15,IF(MONTH(B47)=1,"E",IF(MONTH(B47)=2,"F",IF(MONTH(B47)=3,"M",IF(MONTH(B47)=4,"A",IF(MONTH(B47)=5,"M",IF(MONTH(B47)=6,"J",IF(MONTH(B47)=7,"J",IF(MONTH(B47)=8,"A",IF(MONTH(B47)=9,"S",IF(MONTH(B47)=10,"O",IF(MONTH(B47)=11,"N",IF(MONTH(B47)=12,"D","")))))))))))),"")</f>
        <v/>
      </c>
    </row>
    <row r="48" spans="1:7">
      <c r="A48">
        <v>45</v>
      </c>
      <c r="B48" s="46">
        <v>44423</v>
      </c>
      <c r="C48" s="269">
        <v>3.8323451297280844</v>
      </c>
      <c r="D48" s="269">
        <v>17.065966880459293</v>
      </c>
      <c r="E48" s="177">
        <f t="shared" si="0"/>
        <v>3.8323451297280844</v>
      </c>
      <c r="F48" s="199" t="str">
        <f>IF(DAY(B48)=15,IF(MONTH(B48)=1,"E",IF(MONTH(B48)=2,"F",IF(MONTH(B48)=3,"M",IF(MONTH(B48)=4,"A",IF(MONTH(B48)=5,"M",IF(MONTH(B48)=6,"J",IF(MONTH(B48)=7,"J",IF(MONTH(B48)=8,"A",IF(MONTH(B48)=9,"S",IF(MONTH(B48)=10,"O",IF(MONTH(B48)=11,"N",IF(MONTH(B48)=12,"D","")))))))))))),"")</f>
        <v>A</v>
      </c>
      <c r="G48" s="200">
        <f>IF(DAY(B48)=15,D48,"")</f>
        <v>17.065966880459293</v>
      </c>
    </row>
    <row r="49" spans="1:6">
      <c r="A49">
        <v>46</v>
      </c>
      <c r="B49" s="46">
        <v>44424</v>
      </c>
      <c r="C49" s="269">
        <v>1.5208754617262239</v>
      </c>
      <c r="D49" s="269">
        <v>17.065966880459293</v>
      </c>
      <c r="E49" s="177">
        <f t="shared" si="0"/>
        <v>1.5208754617262239</v>
      </c>
      <c r="F49" s="199" t="str">
        <f t="shared" si="1"/>
        <v/>
      </c>
    </row>
    <row r="50" spans="1:6">
      <c r="A50">
        <v>47</v>
      </c>
      <c r="B50" s="46">
        <v>44425</v>
      </c>
      <c r="C50" s="269">
        <v>1.6454641217280805</v>
      </c>
      <c r="D50" s="269">
        <v>17.065966880459293</v>
      </c>
      <c r="E50" s="177">
        <f t="shared" si="0"/>
        <v>1.6454641217280805</v>
      </c>
      <c r="F50" s="199" t="str">
        <f t="shared" si="1"/>
        <v/>
      </c>
    </row>
    <row r="51" spans="1:6">
      <c r="A51">
        <v>48</v>
      </c>
      <c r="B51" s="46">
        <v>44426</v>
      </c>
      <c r="C51" s="269">
        <v>1.1239345109318819</v>
      </c>
      <c r="D51" s="269">
        <v>17.065966880459293</v>
      </c>
      <c r="E51" s="177">
        <f t="shared" si="0"/>
        <v>1.1239345109318819</v>
      </c>
      <c r="F51" s="199" t="str">
        <f t="shared" si="1"/>
        <v/>
      </c>
    </row>
    <row r="52" spans="1:6">
      <c r="A52">
        <v>49</v>
      </c>
      <c r="B52" s="46">
        <v>44427</v>
      </c>
      <c r="C52" s="269">
        <v>12.31830282093188</v>
      </c>
      <c r="D52" s="269">
        <v>17.065966880459293</v>
      </c>
      <c r="E52" s="177">
        <f t="shared" si="0"/>
        <v>12.31830282093188</v>
      </c>
      <c r="F52" s="199" t="str">
        <f t="shared" si="1"/>
        <v/>
      </c>
    </row>
    <row r="53" spans="1:6">
      <c r="A53">
        <v>50</v>
      </c>
      <c r="B53" s="46">
        <v>44428</v>
      </c>
      <c r="C53" s="269">
        <v>10.13184883293188</v>
      </c>
      <c r="D53" s="269">
        <v>17.065966880459293</v>
      </c>
      <c r="E53" s="177">
        <f t="shared" si="0"/>
        <v>10.13184883293188</v>
      </c>
      <c r="F53" s="199" t="str">
        <f t="shared" si="1"/>
        <v/>
      </c>
    </row>
    <row r="54" spans="1:6">
      <c r="A54">
        <v>51</v>
      </c>
      <c r="B54" s="46">
        <v>44429</v>
      </c>
      <c r="C54" s="269">
        <v>3.855074796932815</v>
      </c>
      <c r="D54" s="269">
        <v>17.065966880459293</v>
      </c>
      <c r="E54" s="177">
        <f t="shared" si="0"/>
        <v>3.855074796932815</v>
      </c>
      <c r="F54" s="199" t="str">
        <f t="shared" si="1"/>
        <v/>
      </c>
    </row>
    <row r="55" spans="1:6">
      <c r="A55">
        <v>52</v>
      </c>
      <c r="B55" s="46">
        <v>44430</v>
      </c>
      <c r="C55" s="269">
        <v>0.51473324493095429</v>
      </c>
      <c r="D55" s="269">
        <v>17.065966880459293</v>
      </c>
      <c r="E55" s="177">
        <f t="shared" si="0"/>
        <v>0.51473324493095429</v>
      </c>
      <c r="F55" s="199" t="str">
        <f t="shared" si="1"/>
        <v/>
      </c>
    </row>
    <row r="56" spans="1:6">
      <c r="A56">
        <v>53</v>
      </c>
      <c r="B56" s="46">
        <v>44431</v>
      </c>
      <c r="C56" s="269">
        <v>1.0608810569318812</v>
      </c>
      <c r="D56" s="269">
        <v>17.065966880459293</v>
      </c>
      <c r="E56" s="177">
        <f t="shared" si="0"/>
        <v>1.0608810569318812</v>
      </c>
      <c r="F56" s="199" t="str">
        <f t="shared" si="1"/>
        <v/>
      </c>
    </row>
    <row r="57" spans="1:6">
      <c r="A57">
        <v>54</v>
      </c>
      <c r="B57" s="46">
        <v>44432</v>
      </c>
      <c r="C57" s="269">
        <v>0.95651898293281556</v>
      </c>
      <c r="D57" s="269">
        <v>17.065966880459293</v>
      </c>
      <c r="E57" s="177">
        <f t="shared" si="0"/>
        <v>0.95651898293281556</v>
      </c>
      <c r="F57" s="199" t="str">
        <f t="shared" si="1"/>
        <v/>
      </c>
    </row>
    <row r="58" spans="1:6">
      <c r="A58">
        <v>55</v>
      </c>
      <c r="B58" s="46">
        <v>44433</v>
      </c>
      <c r="C58" s="269">
        <v>7.1533921176681394</v>
      </c>
      <c r="D58" s="269">
        <v>17.065966880459293</v>
      </c>
      <c r="E58" s="177">
        <f t="shared" si="0"/>
        <v>7.1533921176681394</v>
      </c>
      <c r="F58" s="199" t="str">
        <f t="shared" si="1"/>
        <v/>
      </c>
    </row>
    <row r="59" spans="1:6">
      <c r="A59">
        <v>56</v>
      </c>
      <c r="B59" s="46">
        <v>44434</v>
      </c>
      <c r="C59" s="269">
        <v>9.1958073616690665</v>
      </c>
      <c r="D59" s="269">
        <v>17.065966880459293</v>
      </c>
      <c r="E59" s="177">
        <f t="shared" si="0"/>
        <v>9.1958073616690665</v>
      </c>
      <c r="F59" s="199" t="str">
        <f t="shared" si="1"/>
        <v/>
      </c>
    </row>
    <row r="60" spans="1:6">
      <c r="A60">
        <v>57</v>
      </c>
      <c r="B60" s="46">
        <v>44435</v>
      </c>
      <c r="C60" s="269">
        <v>4.1350082336709315</v>
      </c>
      <c r="D60" s="269">
        <v>17.065966880459293</v>
      </c>
      <c r="E60" s="177">
        <f t="shared" si="0"/>
        <v>4.1350082336709315</v>
      </c>
      <c r="F60" s="199" t="str">
        <f t="shared" si="1"/>
        <v/>
      </c>
    </row>
    <row r="61" spans="1:6">
      <c r="A61">
        <v>58</v>
      </c>
      <c r="B61" s="46">
        <v>44436</v>
      </c>
      <c r="C61" s="269">
        <v>0.77185449366814285</v>
      </c>
      <c r="D61" s="269">
        <v>17.065966880459293</v>
      </c>
      <c r="E61" s="177">
        <f t="shared" si="0"/>
        <v>0.77185449366814285</v>
      </c>
      <c r="F61" s="199" t="str">
        <f t="shared" si="1"/>
        <v/>
      </c>
    </row>
    <row r="62" spans="1:6">
      <c r="A62">
        <v>59</v>
      </c>
      <c r="B62" s="46">
        <v>44437</v>
      </c>
      <c r="C62" s="269">
        <v>1.0640044536700006</v>
      </c>
      <c r="D62" s="269">
        <v>17.065966880459293</v>
      </c>
      <c r="E62" s="177">
        <f t="shared" si="0"/>
        <v>1.0640044536700006</v>
      </c>
      <c r="F62" s="199" t="str">
        <f t="shared" si="1"/>
        <v/>
      </c>
    </row>
    <row r="63" spans="1:6">
      <c r="A63">
        <v>60</v>
      </c>
      <c r="B63" s="46">
        <v>44438</v>
      </c>
      <c r="C63" s="269">
        <v>10.140573249667206</v>
      </c>
      <c r="D63" s="269">
        <v>17.065966880459293</v>
      </c>
      <c r="E63" s="177">
        <f t="shared" si="0"/>
        <v>10.140573249667206</v>
      </c>
      <c r="F63" s="199" t="str">
        <f t="shared" si="1"/>
        <v/>
      </c>
    </row>
    <row r="64" spans="1:6">
      <c r="A64">
        <v>61</v>
      </c>
      <c r="B64" s="46">
        <v>44439</v>
      </c>
      <c r="C64" s="269">
        <v>13.94423220567093</v>
      </c>
      <c r="D64" s="269">
        <v>17.065966880459293</v>
      </c>
      <c r="E64" s="177">
        <f t="shared" si="0"/>
        <v>13.94423220567093</v>
      </c>
      <c r="F64" s="199" t="str">
        <f t="shared" si="1"/>
        <v/>
      </c>
    </row>
    <row r="65" spans="1:7">
      <c r="A65">
        <v>62</v>
      </c>
      <c r="B65" s="46">
        <v>44440</v>
      </c>
      <c r="C65" s="269">
        <v>24.232942552924062</v>
      </c>
      <c r="D65" s="269">
        <v>21.014323006984561</v>
      </c>
      <c r="E65" s="177">
        <f t="shared" si="0"/>
        <v>21.014323006984561</v>
      </c>
      <c r="F65" s="199" t="str">
        <f t="shared" si="1"/>
        <v/>
      </c>
    </row>
    <row r="66" spans="1:7">
      <c r="A66">
        <v>63</v>
      </c>
      <c r="B66" s="46">
        <v>44441</v>
      </c>
      <c r="C66" s="269">
        <v>23.923948540925927</v>
      </c>
      <c r="D66" s="269">
        <v>21.014323006984561</v>
      </c>
      <c r="E66" s="177">
        <f t="shared" si="0"/>
        <v>21.014323006984561</v>
      </c>
      <c r="F66" s="199" t="str">
        <f t="shared" si="1"/>
        <v/>
      </c>
    </row>
    <row r="67" spans="1:7">
      <c r="A67">
        <v>64</v>
      </c>
      <c r="B67" s="46">
        <v>44442</v>
      </c>
      <c r="C67" s="269">
        <v>22.820461948923132</v>
      </c>
      <c r="D67" s="269">
        <v>21.014323006984561</v>
      </c>
      <c r="E67" s="177">
        <f t="shared" si="0"/>
        <v>21.014323006984561</v>
      </c>
      <c r="F67" s="199" t="str">
        <f t="shared" si="1"/>
        <v/>
      </c>
    </row>
    <row r="68" spans="1:7">
      <c r="A68">
        <v>65</v>
      </c>
      <c r="B68" s="46">
        <v>44443</v>
      </c>
      <c r="C68" s="269">
        <v>16.785473316926858</v>
      </c>
      <c r="D68" s="269">
        <v>21.014323006984561</v>
      </c>
      <c r="E68" s="177">
        <f t="shared" ref="E68:E131" si="2">IF(C68&lt;D68,C68,D68)</f>
        <v>16.785473316926858</v>
      </c>
      <c r="F68" s="199" t="str">
        <f t="shared" ref="F68:F131" si="3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7">
      <c r="A69">
        <v>66</v>
      </c>
      <c r="B69" s="46">
        <v>44444</v>
      </c>
      <c r="C69" s="269">
        <v>10.244637292924068</v>
      </c>
      <c r="D69" s="269">
        <v>21.014323006984561</v>
      </c>
      <c r="E69" s="177">
        <f t="shared" si="2"/>
        <v>10.244637292924068</v>
      </c>
      <c r="F69" s="199" t="str">
        <f t="shared" si="3"/>
        <v/>
      </c>
    </row>
    <row r="70" spans="1:7">
      <c r="A70">
        <v>67</v>
      </c>
      <c r="B70" s="46">
        <v>44445</v>
      </c>
      <c r="C70" s="269">
        <v>15.825120408925926</v>
      </c>
      <c r="D70" s="269">
        <v>21.014323006984561</v>
      </c>
      <c r="E70" s="177">
        <f t="shared" si="2"/>
        <v>15.825120408925926</v>
      </c>
      <c r="F70" s="199" t="str">
        <f t="shared" si="3"/>
        <v/>
      </c>
    </row>
    <row r="71" spans="1:7">
      <c r="A71">
        <v>68</v>
      </c>
      <c r="B71" s="46">
        <v>44446</v>
      </c>
      <c r="C71" s="269">
        <v>6.2947448249249938</v>
      </c>
      <c r="D71" s="269">
        <v>21.014323006984561</v>
      </c>
      <c r="E71" s="177">
        <f t="shared" si="2"/>
        <v>6.2947448249249938</v>
      </c>
      <c r="F71" s="199" t="str">
        <f t="shared" si="3"/>
        <v/>
      </c>
    </row>
    <row r="72" spans="1:7">
      <c r="A72">
        <v>69</v>
      </c>
      <c r="B72" s="46">
        <v>44447</v>
      </c>
      <c r="C72" s="269">
        <v>20.115420491951163</v>
      </c>
      <c r="D72" s="269">
        <v>21.014323006984561</v>
      </c>
      <c r="E72" s="177">
        <f t="shared" si="2"/>
        <v>20.115420491951163</v>
      </c>
      <c r="F72" s="199" t="str">
        <f t="shared" si="3"/>
        <v/>
      </c>
    </row>
    <row r="73" spans="1:7">
      <c r="A73">
        <v>70</v>
      </c>
      <c r="B73" s="46">
        <v>44448</v>
      </c>
      <c r="C73" s="269">
        <v>20.943244847952091</v>
      </c>
      <c r="D73" s="269">
        <v>21.014323006984561</v>
      </c>
      <c r="E73" s="177">
        <f t="shared" si="2"/>
        <v>20.943244847952091</v>
      </c>
      <c r="F73" s="199" t="str">
        <f t="shared" si="3"/>
        <v/>
      </c>
    </row>
    <row r="74" spans="1:7">
      <c r="A74">
        <v>71</v>
      </c>
      <c r="B74" s="46">
        <v>44449</v>
      </c>
      <c r="C74" s="269">
        <v>20.22736524795209</v>
      </c>
      <c r="D74" s="269">
        <v>21.014323006984561</v>
      </c>
      <c r="E74" s="177">
        <f t="shared" si="2"/>
        <v>20.22736524795209</v>
      </c>
      <c r="F74" s="199" t="str">
        <f t="shared" si="3"/>
        <v/>
      </c>
    </row>
    <row r="75" spans="1:7">
      <c r="A75">
        <v>72</v>
      </c>
      <c r="B75" s="46">
        <v>44450</v>
      </c>
      <c r="C75" s="269">
        <v>15.135667991953021</v>
      </c>
      <c r="D75" s="269">
        <v>21.014323006984561</v>
      </c>
      <c r="E75" s="177">
        <f t="shared" si="2"/>
        <v>15.135667991953021</v>
      </c>
      <c r="F75" s="199" t="str">
        <f t="shared" si="3"/>
        <v/>
      </c>
    </row>
    <row r="76" spans="1:7">
      <c r="A76">
        <v>73</v>
      </c>
      <c r="B76" s="46">
        <v>44451</v>
      </c>
      <c r="C76" s="269">
        <v>20.061154527952095</v>
      </c>
      <c r="D76" s="269">
        <v>21.014323006984561</v>
      </c>
      <c r="E76" s="177">
        <f t="shared" si="2"/>
        <v>20.061154527952095</v>
      </c>
      <c r="F76" s="199" t="str">
        <f t="shared" si="3"/>
        <v/>
      </c>
    </row>
    <row r="77" spans="1:7">
      <c r="A77">
        <v>74</v>
      </c>
      <c r="B77" s="46">
        <v>44452</v>
      </c>
      <c r="C77" s="269">
        <v>12.823799795953025</v>
      </c>
      <c r="D77" s="269">
        <v>21.014323006984561</v>
      </c>
      <c r="E77" s="177">
        <f t="shared" si="2"/>
        <v>12.823799795953025</v>
      </c>
      <c r="F77" s="199" t="str">
        <f t="shared" si="3"/>
        <v/>
      </c>
    </row>
    <row r="78" spans="1:7">
      <c r="A78">
        <v>75</v>
      </c>
      <c r="B78" s="46">
        <v>44453</v>
      </c>
      <c r="C78" s="269">
        <v>25.974186331951163</v>
      </c>
      <c r="D78" s="269">
        <v>21.014323006984561</v>
      </c>
      <c r="E78" s="177">
        <f t="shared" si="2"/>
        <v>21.014323006984561</v>
      </c>
      <c r="F78" s="199" t="str">
        <f>IF(DAY(B78)=15,IF(MONTH(B78)=1,"E",IF(MONTH(B78)=2,"F",IF(MONTH(B78)=3,"M",IF(MONTH(B78)=4,"A",IF(MONTH(B78)=5,"M",IF(MONTH(B78)=6,"J",IF(MONTH(B78)=7,"J",IF(MONTH(B78)=8,"A",IF(MONTH(B78)=9,"S",IF(MONTH(B78)=10,"O",IF(MONTH(B78)=11,"N",IF(MONTH(B78)=12,"D","")))))))))))),"")</f>
        <v/>
      </c>
    </row>
    <row r="79" spans="1:7">
      <c r="A79">
        <v>76</v>
      </c>
      <c r="B79" s="46">
        <v>44454</v>
      </c>
      <c r="C79" s="269">
        <v>38.31835680787313</v>
      </c>
      <c r="D79" s="269">
        <v>21.014323006984561</v>
      </c>
      <c r="E79" s="177">
        <f t="shared" si="2"/>
        <v>21.014323006984561</v>
      </c>
      <c r="F79" s="199" t="str">
        <f>IF(DAY(B79)=15,IF(MONTH(B79)=1,"E",IF(MONTH(B79)=2,"F",IF(MONTH(B79)=3,"M",IF(MONTH(B79)=4,"A",IF(MONTH(B79)=5,"M",IF(MONTH(B79)=6,"J",IF(MONTH(B79)=7,"J",IF(MONTH(B79)=8,"A",IF(MONTH(B79)=9,"S",IF(MONTH(B79)=10,"O",IF(MONTH(B79)=11,"N",IF(MONTH(B79)=12,"D","")))))))))))),"")</f>
        <v>S</v>
      </c>
      <c r="G79" s="200">
        <f>IF(DAY(B79)=15,D79,"")</f>
        <v>21.014323006984561</v>
      </c>
    </row>
    <row r="80" spans="1:7">
      <c r="A80">
        <v>77</v>
      </c>
      <c r="B80" s="46">
        <v>44455</v>
      </c>
      <c r="C80" s="269">
        <v>21.487675855873132</v>
      </c>
      <c r="D80" s="269">
        <v>21.014323006984561</v>
      </c>
      <c r="E80" s="177">
        <f t="shared" si="2"/>
        <v>21.014323006984561</v>
      </c>
      <c r="F80" s="199" t="str">
        <f t="shared" si="3"/>
        <v/>
      </c>
    </row>
    <row r="81" spans="1:6">
      <c r="A81">
        <v>78</v>
      </c>
      <c r="B81" s="46">
        <v>44456</v>
      </c>
      <c r="C81" s="269">
        <v>16.394569441872203</v>
      </c>
      <c r="D81" s="269">
        <v>21.014323006984561</v>
      </c>
      <c r="E81" s="177">
        <f t="shared" si="2"/>
        <v>16.394569441872203</v>
      </c>
      <c r="F81" s="199" t="str">
        <f t="shared" si="3"/>
        <v/>
      </c>
    </row>
    <row r="82" spans="1:6">
      <c r="A82">
        <v>79</v>
      </c>
      <c r="B82" s="46">
        <v>44457</v>
      </c>
      <c r="C82" s="269">
        <v>11.821708425872202</v>
      </c>
      <c r="D82" s="269">
        <v>21.014323006984561</v>
      </c>
      <c r="E82" s="177">
        <f t="shared" si="2"/>
        <v>11.821708425872202</v>
      </c>
      <c r="F82" s="199" t="str">
        <f t="shared" si="3"/>
        <v/>
      </c>
    </row>
    <row r="83" spans="1:6">
      <c r="A83">
        <v>80</v>
      </c>
      <c r="B83" s="46">
        <v>44458</v>
      </c>
      <c r="C83" s="269">
        <v>11.033212529874065</v>
      </c>
      <c r="D83" s="269">
        <v>21.014323006984561</v>
      </c>
      <c r="E83" s="177">
        <f t="shared" si="2"/>
        <v>11.033212529874065</v>
      </c>
      <c r="F83" s="199" t="str">
        <f t="shared" si="3"/>
        <v/>
      </c>
    </row>
    <row r="84" spans="1:6">
      <c r="A84">
        <v>81</v>
      </c>
      <c r="B84" s="46">
        <v>44459</v>
      </c>
      <c r="C84" s="269">
        <v>12.408188627872201</v>
      </c>
      <c r="D84" s="269">
        <v>21.014323006984561</v>
      </c>
      <c r="E84" s="177">
        <f t="shared" si="2"/>
        <v>12.408188627872201</v>
      </c>
      <c r="F84" s="199" t="str">
        <f t="shared" si="3"/>
        <v/>
      </c>
    </row>
    <row r="85" spans="1:6">
      <c r="A85">
        <v>82</v>
      </c>
      <c r="B85" s="46">
        <v>44460</v>
      </c>
      <c r="C85" s="269">
        <v>11.887315421872204</v>
      </c>
      <c r="D85" s="269">
        <v>21.014323006984561</v>
      </c>
      <c r="E85" s="177">
        <f t="shared" si="2"/>
        <v>11.887315421872204</v>
      </c>
      <c r="F85" s="199" t="str">
        <f t="shared" si="3"/>
        <v/>
      </c>
    </row>
    <row r="86" spans="1:6">
      <c r="A86">
        <v>83</v>
      </c>
      <c r="B86" s="46">
        <v>44461</v>
      </c>
      <c r="C86" s="269">
        <v>24.565719547283638</v>
      </c>
      <c r="D86" s="269">
        <v>21.014323006984561</v>
      </c>
      <c r="E86" s="177">
        <f t="shared" si="2"/>
        <v>21.014323006984561</v>
      </c>
      <c r="F86" s="199" t="str">
        <f t="shared" si="3"/>
        <v/>
      </c>
    </row>
    <row r="87" spans="1:6">
      <c r="A87">
        <v>84</v>
      </c>
      <c r="B87" s="46">
        <v>44462</v>
      </c>
      <c r="C87" s="269">
        <v>18.78037494927991</v>
      </c>
      <c r="D87" s="269">
        <v>21.014323006984561</v>
      </c>
      <c r="E87" s="177">
        <f t="shared" si="2"/>
        <v>18.78037494927991</v>
      </c>
      <c r="F87" s="199" t="str">
        <f t="shared" si="3"/>
        <v/>
      </c>
    </row>
    <row r="88" spans="1:6">
      <c r="A88">
        <v>85</v>
      </c>
      <c r="B88" s="46">
        <v>44463</v>
      </c>
      <c r="C88" s="269">
        <v>28.647999827281776</v>
      </c>
      <c r="D88" s="269">
        <v>21.014323006984561</v>
      </c>
      <c r="E88" s="177">
        <f t="shared" si="2"/>
        <v>21.014323006984561</v>
      </c>
      <c r="F88" s="199" t="str">
        <f t="shared" si="3"/>
        <v/>
      </c>
    </row>
    <row r="89" spans="1:6">
      <c r="A89">
        <v>86</v>
      </c>
      <c r="B89" s="46">
        <v>44464</v>
      </c>
      <c r="C89" s="269">
        <v>21.776072683282706</v>
      </c>
      <c r="D89" s="269">
        <v>21.014323006984561</v>
      </c>
      <c r="E89" s="177">
        <f t="shared" si="2"/>
        <v>21.014323006984561</v>
      </c>
      <c r="F89" s="199" t="str">
        <f t="shared" si="3"/>
        <v/>
      </c>
    </row>
    <row r="90" spans="1:6">
      <c r="A90">
        <v>87</v>
      </c>
      <c r="B90" s="46">
        <v>44465</v>
      </c>
      <c r="C90" s="269">
        <v>15.501655585280846</v>
      </c>
      <c r="D90" s="269">
        <v>21.014323006984561</v>
      </c>
      <c r="E90" s="177">
        <f t="shared" si="2"/>
        <v>15.501655585280846</v>
      </c>
      <c r="F90" s="199" t="str">
        <f t="shared" si="3"/>
        <v/>
      </c>
    </row>
    <row r="91" spans="1:6">
      <c r="A91">
        <v>88</v>
      </c>
      <c r="B91" s="46">
        <v>44466</v>
      </c>
      <c r="C91" s="269">
        <v>22.111520435282706</v>
      </c>
      <c r="D91" s="269">
        <v>21.014323006984561</v>
      </c>
      <c r="E91" s="177">
        <f t="shared" si="2"/>
        <v>21.014323006984561</v>
      </c>
      <c r="F91" s="199" t="str">
        <f t="shared" si="3"/>
        <v/>
      </c>
    </row>
    <row r="92" spans="1:6">
      <c r="A92">
        <v>89</v>
      </c>
      <c r="B92" s="46">
        <v>44467</v>
      </c>
      <c r="C92" s="269">
        <v>31.315857271280844</v>
      </c>
      <c r="D92" s="269">
        <v>21.014323006984561</v>
      </c>
      <c r="E92" s="177">
        <f t="shared" si="2"/>
        <v>21.014323006984561</v>
      </c>
      <c r="F92" s="199" t="str">
        <f t="shared" si="3"/>
        <v/>
      </c>
    </row>
    <row r="93" spans="1:6">
      <c r="A93">
        <v>90</v>
      </c>
      <c r="B93" s="46">
        <v>44468</v>
      </c>
      <c r="C93" s="269">
        <v>21.160280351840992</v>
      </c>
      <c r="D93" s="269">
        <v>21.014323006984561</v>
      </c>
      <c r="E93" s="177">
        <f t="shared" si="2"/>
        <v>21.014323006984561</v>
      </c>
      <c r="F93" s="199" t="str">
        <f t="shared" si="3"/>
        <v/>
      </c>
    </row>
    <row r="94" spans="1:6">
      <c r="A94">
        <v>91</v>
      </c>
      <c r="B94" s="46">
        <v>44469</v>
      </c>
      <c r="C94" s="269">
        <v>20.742861095840059</v>
      </c>
      <c r="D94" s="269">
        <v>21.014323006984561</v>
      </c>
      <c r="E94" s="177">
        <f t="shared" si="2"/>
        <v>20.742861095840059</v>
      </c>
      <c r="F94" s="199" t="str">
        <f t="shared" si="3"/>
        <v/>
      </c>
    </row>
    <row r="95" spans="1:6">
      <c r="A95">
        <v>92</v>
      </c>
      <c r="B95" s="46">
        <v>44470</v>
      </c>
      <c r="C95" s="269">
        <v>26.522195107839128</v>
      </c>
      <c r="D95" s="269">
        <v>42.895784539321873</v>
      </c>
      <c r="E95" s="177">
        <f t="shared" si="2"/>
        <v>26.522195107839128</v>
      </c>
      <c r="F95" s="199" t="str">
        <f t="shared" si="3"/>
        <v/>
      </c>
    </row>
    <row r="96" spans="1:6">
      <c r="A96">
        <v>93</v>
      </c>
      <c r="B96" s="46">
        <v>44471</v>
      </c>
      <c r="C96" s="269">
        <v>11.450506385840995</v>
      </c>
      <c r="D96" s="269">
        <v>42.895784539321873</v>
      </c>
      <c r="E96" s="177">
        <f t="shared" si="2"/>
        <v>11.450506385840995</v>
      </c>
      <c r="F96" s="199" t="str">
        <f t="shared" si="3"/>
        <v/>
      </c>
    </row>
    <row r="97" spans="1:7">
      <c r="A97">
        <v>94</v>
      </c>
      <c r="B97" s="46">
        <v>44472</v>
      </c>
      <c r="C97" s="269">
        <v>7.0336940938400625</v>
      </c>
      <c r="D97" s="269">
        <v>42.895784539321873</v>
      </c>
      <c r="E97" s="177">
        <f t="shared" si="2"/>
        <v>7.0336940938400625</v>
      </c>
      <c r="F97" s="199" t="str">
        <f t="shared" si="3"/>
        <v/>
      </c>
    </row>
    <row r="98" spans="1:7">
      <c r="A98">
        <v>95</v>
      </c>
      <c r="B98" s="46">
        <v>44473</v>
      </c>
      <c r="C98" s="269">
        <v>20.078182471840059</v>
      </c>
      <c r="D98" s="269">
        <v>42.895784539321873</v>
      </c>
      <c r="E98" s="177">
        <f t="shared" si="2"/>
        <v>20.078182471840059</v>
      </c>
      <c r="F98" s="199" t="str">
        <f t="shared" si="3"/>
        <v/>
      </c>
    </row>
    <row r="99" spans="1:7">
      <c r="A99">
        <v>96</v>
      </c>
      <c r="B99" s="46">
        <v>44474</v>
      </c>
      <c r="C99" s="269">
        <v>20.407965117839129</v>
      </c>
      <c r="D99" s="269">
        <v>42.895784539321873</v>
      </c>
      <c r="E99" s="177">
        <f t="shared" si="2"/>
        <v>20.407965117839129</v>
      </c>
      <c r="F99" s="199" t="str">
        <f t="shared" si="3"/>
        <v/>
      </c>
    </row>
    <row r="100" spans="1:7">
      <c r="A100">
        <v>97</v>
      </c>
      <c r="B100" s="46">
        <v>44475</v>
      </c>
      <c r="C100" s="269">
        <v>34.537367477795087</v>
      </c>
      <c r="D100" s="269">
        <v>42.895784539321873</v>
      </c>
      <c r="E100" s="177">
        <f t="shared" si="2"/>
        <v>34.537367477795087</v>
      </c>
      <c r="F100" s="199" t="str">
        <f t="shared" si="3"/>
        <v/>
      </c>
    </row>
    <row r="101" spans="1:7">
      <c r="A101">
        <v>98</v>
      </c>
      <c r="B101" s="46">
        <v>44476</v>
      </c>
      <c r="C101" s="269">
        <v>32.421314555796023</v>
      </c>
      <c r="D101" s="269">
        <v>42.895784539321873</v>
      </c>
      <c r="E101" s="177">
        <f t="shared" si="2"/>
        <v>32.421314555796023</v>
      </c>
      <c r="F101" s="199" t="str">
        <f t="shared" si="3"/>
        <v/>
      </c>
    </row>
    <row r="102" spans="1:7">
      <c r="A102">
        <v>99</v>
      </c>
      <c r="B102" s="46">
        <v>44477</v>
      </c>
      <c r="C102" s="269">
        <v>28.830218095796024</v>
      </c>
      <c r="D102" s="269">
        <v>42.895784539321873</v>
      </c>
      <c r="E102" s="177">
        <f t="shared" si="2"/>
        <v>28.830218095796024</v>
      </c>
      <c r="F102" s="199" t="str">
        <f t="shared" si="3"/>
        <v/>
      </c>
    </row>
    <row r="103" spans="1:7">
      <c r="A103">
        <v>100</v>
      </c>
      <c r="B103" s="46">
        <v>44478</v>
      </c>
      <c r="C103" s="269">
        <v>26.074201315795086</v>
      </c>
      <c r="D103" s="269">
        <v>42.895784539321873</v>
      </c>
      <c r="E103" s="177">
        <f t="shared" si="2"/>
        <v>26.074201315795086</v>
      </c>
      <c r="F103" s="199" t="str">
        <f t="shared" si="3"/>
        <v/>
      </c>
    </row>
    <row r="104" spans="1:7">
      <c r="A104">
        <v>101</v>
      </c>
      <c r="B104" s="46">
        <v>44479</v>
      </c>
      <c r="C104" s="269">
        <v>14.97372190579509</v>
      </c>
      <c r="D104" s="269">
        <v>42.895784539321873</v>
      </c>
      <c r="E104" s="177">
        <f t="shared" si="2"/>
        <v>14.97372190579509</v>
      </c>
      <c r="F104" s="199" t="str">
        <f t="shared" si="3"/>
        <v/>
      </c>
    </row>
    <row r="105" spans="1:7">
      <c r="A105">
        <v>102</v>
      </c>
      <c r="B105" s="46">
        <v>44480</v>
      </c>
      <c r="C105" s="269">
        <v>18.989537715795091</v>
      </c>
      <c r="D105" s="269">
        <v>42.895784539321873</v>
      </c>
      <c r="E105" s="177">
        <f t="shared" si="2"/>
        <v>18.989537715795091</v>
      </c>
      <c r="F105" s="199" t="str">
        <f t="shared" si="3"/>
        <v/>
      </c>
    </row>
    <row r="106" spans="1:7">
      <c r="A106">
        <v>103</v>
      </c>
      <c r="B106" s="46">
        <v>44481</v>
      </c>
      <c r="C106" s="269">
        <v>16.810403215795091</v>
      </c>
      <c r="D106" s="269">
        <v>42.895784539321873</v>
      </c>
      <c r="E106" s="177">
        <f t="shared" si="2"/>
        <v>16.810403215795091</v>
      </c>
      <c r="F106" s="199" t="str">
        <f t="shared" si="3"/>
        <v/>
      </c>
    </row>
    <row r="107" spans="1:7">
      <c r="A107">
        <v>104</v>
      </c>
      <c r="B107" s="46">
        <v>44482</v>
      </c>
      <c r="C107" s="269">
        <v>9.6915650946646714</v>
      </c>
      <c r="D107" s="269">
        <v>42.895784539321873</v>
      </c>
      <c r="E107" s="177">
        <f t="shared" si="2"/>
        <v>9.6915650946646714</v>
      </c>
      <c r="F107" s="199" t="str">
        <f t="shared" si="3"/>
        <v/>
      </c>
    </row>
    <row r="108" spans="1:7">
      <c r="A108">
        <v>105</v>
      </c>
      <c r="B108" s="46">
        <v>44483</v>
      </c>
      <c r="C108" s="269">
        <v>21.102004324664666</v>
      </c>
      <c r="D108" s="269">
        <v>42.895784539321873</v>
      </c>
      <c r="E108" s="177">
        <f t="shared" si="2"/>
        <v>21.102004324664666</v>
      </c>
      <c r="F108" s="199" t="str">
        <f>IF(DAY(B108)=15,IF(MONTH(B108)=1,"E",IF(MONTH(B108)=2,"F",IF(MONTH(B108)=3,"M",IF(MONTH(B108)=4,"A",IF(MONTH(B108)=5,"M",IF(MONTH(B108)=6,"J",IF(MONTH(B108)=7,"J",IF(MONTH(B108)=8,"A",IF(MONTH(B108)=9,"S",IF(MONTH(B108)=10,"O",IF(MONTH(B108)=11,"N",IF(MONTH(B108)=12,"D","")))))))))))),"")</f>
        <v/>
      </c>
    </row>
    <row r="109" spans="1:7">
      <c r="A109">
        <v>106</v>
      </c>
      <c r="B109" s="46">
        <v>44484</v>
      </c>
      <c r="C109" s="269">
        <v>22.793578934664669</v>
      </c>
      <c r="D109" s="269">
        <v>42.895784539321873</v>
      </c>
      <c r="E109" s="177">
        <f t="shared" si="2"/>
        <v>22.793578934664669</v>
      </c>
      <c r="F109" s="199" t="str">
        <f>IF(DAY(B109)=15,IF(MONTH(B109)=1,"E",IF(MONTH(B109)=2,"F",IF(MONTH(B109)=3,"M",IF(MONTH(B109)=4,"A",IF(MONTH(B109)=5,"M",IF(MONTH(B109)=6,"J",IF(MONTH(B109)=7,"J",IF(MONTH(B109)=8,"A",IF(MONTH(B109)=9,"S",IF(MONTH(B109)=10,"O",IF(MONTH(B109)=11,"N",IF(MONTH(B109)=12,"D","")))))))))))),"")</f>
        <v>O</v>
      </c>
      <c r="G109" s="200">
        <f>IF(DAY(B109)=15,D109,"")</f>
        <v>42.895784539321873</v>
      </c>
    </row>
    <row r="110" spans="1:7">
      <c r="A110">
        <v>107</v>
      </c>
      <c r="B110" s="46">
        <v>44485</v>
      </c>
      <c r="C110" s="269">
        <v>22.891749824663741</v>
      </c>
      <c r="D110" s="269">
        <v>42.895784539321873</v>
      </c>
      <c r="E110" s="177">
        <f t="shared" si="2"/>
        <v>22.891749824663741</v>
      </c>
      <c r="F110" s="199" t="str">
        <f t="shared" si="3"/>
        <v/>
      </c>
    </row>
    <row r="111" spans="1:7">
      <c r="A111">
        <v>108</v>
      </c>
      <c r="B111" s="46">
        <v>44486</v>
      </c>
      <c r="C111" s="269">
        <v>20.531404104664666</v>
      </c>
      <c r="D111" s="269">
        <v>42.895784539321873</v>
      </c>
      <c r="E111" s="177">
        <f t="shared" si="2"/>
        <v>20.531404104664666</v>
      </c>
      <c r="F111" s="199" t="str">
        <f t="shared" si="3"/>
        <v/>
      </c>
    </row>
    <row r="112" spans="1:7">
      <c r="A112">
        <v>109</v>
      </c>
      <c r="B112" s="46">
        <v>44487</v>
      </c>
      <c r="C112" s="269">
        <v>20.055615194663741</v>
      </c>
      <c r="D112" s="269">
        <v>42.895784539321873</v>
      </c>
      <c r="E112" s="177">
        <f t="shared" si="2"/>
        <v>20.055615194663741</v>
      </c>
      <c r="F112" s="199" t="str">
        <f t="shared" si="3"/>
        <v/>
      </c>
    </row>
    <row r="113" spans="1:6">
      <c r="A113">
        <v>110</v>
      </c>
      <c r="B113" s="46">
        <v>44488</v>
      </c>
      <c r="C113" s="269">
        <v>13.659925614663738</v>
      </c>
      <c r="D113" s="269">
        <v>42.895784539321873</v>
      </c>
      <c r="E113" s="177">
        <f t="shared" si="2"/>
        <v>13.659925614663738</v>
      </c>
      <c r="F113" s="199" t="str">
        <f t="shared" si="3"/>
        <v/>
      </c>
    </row>
    <row r="114" spans="1:6">
      <c r="A114">
        <v>111</v>
      </c>
      <c r="B114" s="46">
        <v>44489</v>
      </c>
      <c r="C114" s="269">
        <v>15.363624254522176</v>
      </c>
      <c r="D114" s="269">
        <v>42.895784539321873</v>
      </c>
      <c r="E114" s="177">
        <f t="shared" si="2"/>
        <v>15.363624254522176</v>
      </c>
      <c r="F114" s="199" t="str">
        <f t="shared" si="3"/>
        <v/>
      </c>
    </row>
    <row r="115" spans="1:6">
      <c r="A115">
        <v>112</v>
      </c>
      <c r="B115" s="46">
        <v>44490</v>
      </c>
      <c r="C115" s="269">
        <v>22.04892331452125</v>
      </c>
      <c r="D115" s="269">
        <v>42.895784539321873</v>
      </c>
      <c r="E115" s="177">
        <f t="shared" si="2"/>
        <v>22.04892331452125</v>
      </c>
      <c r="F115" s="199" t="str">
        <f t="shared" si="3"/>
        <v/>
      </c>
    </row>
    <row r="116" spans="1:6">
      <c r="A116">
        <v>113</v>
      </c>
      <c r="B116" s="46">
        <v>44491</v>
      </c>
      <c r="C116" s="269">
        <v>15.953329024523107</v>
      </c>
      <c r="D116" s="269">
        <v>42.895784539321873</v>
      </c>
      <c r="E116" s="177">
        <f t="shared" si="2"/>
        <v>15.953329024523107</v>
      </c>
      <c r="F116" s="199" t="str">
        <f t="shared" si="3"/>
        <v/>
      </c>
    </row>
    <row r="117" spans="1:6">
      <c r="A117">
        <v>114</v>
      </c>
      <c r="B117" s="46">
        <v>44492</v>
      </c>
      <c r="C117" s="269">
        <v>16.079614874521244</v>
      </c>
      <c r="D117" s="269">
        <v>42.895784539321873</v>
      </c>
      <c r="E117" s="177">
        <f t="shared" si="2"/>
        <v>16.079614874521244</v>
      </c>
      <c r="F117" s="199" t="str">
        <f t="shared" si="3"/>
        <v/>
      </c>
    </row>
    <row r="118" spans="1:6">
      <c r="A118">
        <v>115</v>
      </c>
      <c r="B118" s="46">
        <v>44493</v>
      </c>
      <c r="C118" s="269">
        <v>16.836174644522178</v>
      </c>
      <c r="D118" s="269">
        <v>42.895784539321873</v>
      </c>
      <c r="E118" s="177">
        <f t="shared" si="2"/>
        <v>16.836174644522178</v>
      </c>
      <c r="F118" s="199" t="str">
        <f t="shared" si="3"/>
        <v/>
      </c>
    </row>
    <row r="119" spans="1:6">
      <c r="A119">
        <v>116</v>
      </c>
      <c r="B119" s="46">
        <v>44494</v>
      </c>
      <c r="C119" s="269">
        <v>28.025825204521244</v>
      </c>
      <c r="D119" s="269">
        <v>42.895784539321873</v>
      </c>
      <c r="E119" s="177">
        <f t="shared" si="2"/>
        <v>28.025825204521244</v>
      </c>
      <c r="F119" s="199" t="str">
        <f t="shared" si="3"/>
        <v/>
      </c>
    </row>
    <row r="120" spans="1:6">
      <c r="A120">
        <v>117</v>
      </c>
      <c r="B120" s="46">
        <v>44495</v>
      </c>
      <c r="C120" s="269">
        <v>20.552402704523111</v>
      </c>
      <c r="D120" s="269">
        <v>42.895784539321873</v>
      </c>
      <c r="E120" s="177">
        <f t="shared" si="2"/>
        <v>20.552402704523111</v>
      </c>
      <c r="F120" s="199" t="str">
        <f t="shared" si="3"/>
        <v/>
      </c>
    </row>
    <row r="121" spans="1:6">
      <c r="A121">
        <v>118</v>
      </c>
      <c r="B121" s="46">
        <v>44496</v>
      </c>
      <c r="C121" s="269">
        <v>38.627298912769433</v>
      </c>
      <c r="D121" s="269">
        <v>42.895784539321873</v>
      </c>
      <c r="E121" s="177">
        <f t="shared" si="2"/>
        <v>38.627298912769433</v>
      </c>
      <c r="F121" s="199" t="str">
        <f t="shared" si="3"/>
        <v/>
      </c>
    </row>
    <row r="122" spans="1:6">
      <c r="A122">
        <v>119</v>
      </c>
      <c r="B122" s="46">
        <v>44497</v>
      </c>
      <c r="C122" s="269">
        <v>29.895004102771292</v>
      </c>
      <c r="D122" s="269">
        <v>42.895784539321873</v>
      </c>
      <c r="E122" s="177">
        <f t="shared" si="2"/>
        <v>29.895004102771292</v>
      </c>
      <c r="F122" s="199" t="str">
        <f t="shared" si="3"/>
        <v/>
      </c>
    </row>
    <row r="123" spans="1:6">
      <c r="A123">
        <v>120</v>
      </c>
      <c r="B123" s="46">
        <v>44498</v>
      </c>
      <c r="C123" s="269">
        <v>25.749818082769426</v>
      </c>
      <c r="D123" s="269">
        <v>42.895784539321873</v>
      </c>
      <c r="E123" s="177">
        <f t="shared" si="2"/>
        <v>25.749818082769426</v>
      </c>
      <c r="F123" s="199" t="str">
        <f t="shared" si="3"/>
        <v/>
      </c>
    </row>
    <row r="124" spans="1:6">
      <c r="A124">
        <v>121</v>
      </c>
      <c r="B124" s="46">
        <v>44499</v>
      </c>
      <c r="C124" s="269">
        <v>27.030004642770361</v>
      </c>
      <c r="D124" s="269">
        <v>42.895784539321873</v>
      </c>
      <c r="E124" s="177">
        <f t="shared" si="2"/>
        <v>27.030004642770361</v>
      </c>
      <c r="F124" s="199" t="str">
        <f t="shared" si="3"/>
        <v/>
      </c>
    </row>
    <row r="125" spans="1:6">
      <c r="A125">
        <v>122</v>
      </c>
      <c r="B125" s="46">
        <v>44500</v>
      </c>
      <c r="C125" s="269">
        <v>14.640549322768496</v>
      </c>
      <c r="D125" s="269">
        <v>42.895784539321873</v>
      </c>
      <c r="E125" s="177">
        <f t="shared" si="2"/>
        <v>14.640549322768496</v>
      </c>
      <c r="F125" s="199" t="str">
        <f t="shared" si="3"/>
        <v/>
      </c>
    </row>
    <row r="126" spans="1:6">
      <c r="A126">
        <v>123</v>
      </c>
      <c r="B126" s="46">
        <v>44501</v>
      </c>
      <c r="C126" s="269">
        <v>22.313917842770358</v>
      </c>
      <c r="D126" s="269">
        <v>83.114057360768328</v>
      </c>
      <c r="E126" s="177">
        <f t="shared" si="2"/>
        <v>22.313917842770358</v>
      </c>
      <c r="F126" s="199" t="str">
        <f t="shared" si="3"/>
        <v/>
      </c>
    </row>
    <row r="127" spans="1:6">
      <c r="A127">
        <v>124</v>
      </c>
      <c r="B127" s="46">
        <v>44502</v>
      </c>
      <c r="C127" s="269">
        <v>28.912959306771292</v>
      </c>
      <c r="D127" s="269">
        <v>83.114057360768328</v>
      </c>
      <c r="E127" s="177">
        <f t="shared" si="2"/>
        <v>28.912959306771292</v>
      </c>
      <c r="F127" s="199" t="str">
        <f t="shared" si="3"/>
        <v/>
      </c>
    </row>
    <row r="128" spans="1:6">
      <c r="A128">
        <v>125</v>
      </c>
      <c r="B128" s="46">
        <v>44503</v>
      </c>
      <c r="C128" s="269">
        <v>55.970923198660778</v>
      </c>
      <c r="D128" s="269">
        <v>83.114057360768328</v>
      </c>
      <c r="E128" s="177">
        <f t="shared" si="2"/>
        <v>55.970923198660778</v>
      </c>
      <c r="F128" s="199" t="str">
        <f t="shared" si="3"/>
        <v/>
      </c>
    </row>
    <row r="129" spans="1:7">
      <c r="A129">
        <v>126</v>
      </c>
      <c r="B129" s="46">
        <v>44504</v>
      </c>
      <c r="C129" s="269">
        <v>53.446203498659841</v>
      </c>
      <c r="D129" s="269">
        <v>83.114057360768328</v>
      </c>
      <c r="E129" s="177">
        <f t="shared" si="2"/>
        <v>53.446203498659841</v>
      </c>
      <c r="F129" s="199" t="str">
        <f t="shared" si="3"/>
        <v/>
      </c>
    </row>
    <row r="130" spans="1:7">
      <c r="A130">
        <v>127</v>
      </c>
      <c r="B130" s="46">
        <v>44505</v>
      </c>
      <c r="C130" s="269">
        <v>54.771741696662637</v>
      </c>
      <c r="D130" s="269">
        <v>83.114057360768328</v>
      </c>
      <c r="E130" s="177">
        <f t="shared" si="2"/>
        <v>54.771741696662637</v>
      </c>
      <c r="F130" s="199" t="str">
        <f t="shared" si="3"/>
        <v/>
      </c>
    </row>
    <row r="131" spans="1:7">
      <c r="A131">
        <v>128</v>
      </c>
      <c r="B131" s="46">
        <v>44506</v>
      </c>
      <c r="C131" s="269">
        <v>51.570235068661717</v>
      </c>
      <c r="D131" s="269">
        <v>83.114057360768328</v>
      </c>
      <c r="E131" s="177">
        <f t="shared" si="2"/>
        <v>51.570235068661717</v>
      </c>
      <c r="F131" s="199" t="str">
        <f t="shared" si="3"/>
        <v/>
      </c>
    </row>
    <row r="132" spans="1:7">
      <c r="A132">
        <v>129</v>
      </c>
      <c r="B132" s="46">
        <v>44507</v>
      </c>
      <c r="C132" s="269">
        <v>44.703382378660784</v>
      </c>
      <c r="D132" s="269">
        <v>83.114057360768328</v>
      </c>
      <c r="E132" s="177">
        <f t="shared" ref="E132:E195" si="4">IF(C132&lt;D132,C132,D132)</f>
        <v>44.703382378660784</v>
      </c>
      <c r="F132" s="199" t="str">
        <f t="shared" ref="F132:F195" si="5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7">
      <c r="A133">
        <v>130</v>
      </c>
      <c r="B133" s="46">
        <v>44508</v>
      </c>
      <c r="C133" s="269">
        <v>58.176928336660779</v>
      </c>
      <c r="D133" s="269">
        <v>83.114057360768328</v>
      </c>
      <c r="E133" s="177">
        <f t="shared" si="4"/>
        <v>58.176928336660779</v>
      </c>
      <c r="F133" s="199" t="str">
        <f t="shared" si="5"/>
        <v/>
      </c>
    </row>
    <row r="134" spans="1:7">
      <c r="A134">
        <v>131</v>
      </c>
      <c r="B134" s="46">
        <v>44509</v>
      </c>
      <c r="C134" s="269">
        <v>60.36964599866171</v>
      </c>
      <c r="D134" s="269">
        <v>83.114057360768328</v>
      </c>
      <c r="E134" s="177">
        <f t="shared" si="4"/>
        <v>60.36964599866171</v>
      </c>
      <c r="F134" s="199" t="str">
        <f t="shared" si="5"/>
        <v/>
      </c>
    </row>
    <row r="135" spans="1:7">
      <c r="A135">
        <v>132</v>
      </c>
      <c r="B135" s="46">
        <v>44510</v>
      </c>
      <c r="C135" s="269">
        <v>40.97435282420534</v>
      </c>
      <c r="D135" s="269">
        <v>83.114057360768328</v>
      </c>
      <c r="E135" s="177">
        <f t="shared" si="4"/>
        <v>40.97435282420534</v>
      </c>
      <c r="F135" s="199" t="str">
        <f t="shared" si="5"/>
        <v/>
      </c>
    </row>
    <row r="136" spans="1:7">
      <c r="A136">
        <v>133</v>
      </c>
      <c r="B136" s="46">
        <v>44511</v>
      </c>
      <c r="C136" s="269">
        <v>42.417581774205345</v>
      </c>
      <c r="D136" s="269">
        <v>83.114057360768328</v>
      </c>
      <c r="E136" s="177">
        <f t="shared" si="4"/>
        <v>42.417581774205345</v>
      </c>
      <c r="F136" s="199" t="str">
        <f t="shared" si="5"/>
        <v/>
      </c>
    </row>
    <row r="137" spans="1:7">
      <c r="A137">
        <v>134</v>
      </c>
      <c r="B137" s="46">
        <v>44512</v>
      </c>
      <c r="C137" s="269">
        <v>41.176484884206282</v>
      </c>
      <c r="D137" s="269">
        <v>83.114057360768328</v>
      </c>
      <c r="E137" s="177">
        <f t="shared" si="4"/>
        <v>41.176484884206282</v>
      </c>
      <c r="F137" s="199" t="str">
        <f t="shared" si="5"/>
        <v/>
      </c>
    </row>
    <row r="138" spans="1:7">
      <c r="A138">
        <v>135</v>
      </c>
      <c r="B138" s="46">
        <v>44513</v>
      </c>
      <c r="C138" s="269">
        <v>23.390989284206277</v>
      </c>
      <c r="D138" s="269">
        <v>83.114057360768328</v>
      </c>
      <c r="E138" s="177">
        <f t="shared" si="4"/>
        <v>23.390989284206277</v>
      </c>
      <c r="F138" s="199" t="str">
        <f t="shared" si="5"/>
        <v/>
      </c>
    </row>
    <row r="139" spans="1:7">
      <c r="A139">
        <v>136</v>
      </c>
      <c r="B139" s="46">
        <v>44514</v>
      </c>
      <c r="C139" s="269">
        <v>24.434203184204414</v>
      </c>
      <c r="D139" s="269">
        <v>83.114057360768328</v>
      </c>
      <c r="E139" s="177">
        <f t="shared" si="4"/>
        <v>24.434203184204414</v>
      </c>
      <c r="F139" s="199" t="str">
        <f>IF(DAY(B139)=15,IF(MONTH(B139)=1,"E",IF(MONTH(B139)=2,"F",IF(MONTH(B139)=3,"M",IF(MONTH(B139)=4,"A",IF(MONTH(B139)=5,"M",IF(MONTH(B139)=6,"J",IF(MONTH(B139)=7,"J",IF(MONTH(B139)=8,"A",IF(MONTH(B139)=9,"S",IF(MONTH(B139)=10,"O",IF(MONTH(B139)=11,"N",IF(MONTH(B139)=12,"D","")))))))))))),"")</f>
        <v/>
      </c>
    </row>
    <row r="140" spans="1:7">
      <c r="A140">
        <v>137</v>
      </c>
      <c r="B140" s="46">
        <v>44515</v>
      </c>
      <c r="C140" s="269">
        <v>34.052250696206279</v>
      </c>
      <c r="D140" s="269">
        <v>83.114057360768328</v>
      </c>
      <c r="E140" s="177">
        <f t="shared" si="4"/>
        <v>34.052250696206279</v>
      </c>
      <c r="F140" s="199" t="str">
        <f>IF(DAY(B140)=15,IF(MONTH(B140)=1,"E",IF(MONTH(B140)=2,"F",IF(MONTH(B140)=3,"M",IF(MONTH(B140)=4,"A",IF(MONTH(B140)=5,"M",IF(MONTH(B140)=6,"J",IF(MONTH(B140)=7,"J",IF(MONTH(B140)=8,"A",IF(MONTH(B140)=9,"S",IF(MONTH(B140)=10,"O",IF(MONTH(B140)=11,"N",IF(MONTH(B140)=12,"D","")))))))))))),"")</f>
        <v>N</v>
      </c>
      <c r="G140" s="200">
        <f>IF(DAY(B140)=15,D140,"")</f>
        <v>83.114057360768328</v>
      </c>
    </row>
    <row r="141" spans="1:7">
      <c r="A141">
        <v>138</v>
      </c>
      <c r="B141" s="46">
        <v>44516</v>
      </c>
      <c r="C141" s="269">
        <v>28.129850584206277</v>
      </c>
      <c r="D141" s="269">
        <v>83.114057360768328</v>
      </c>
      <c r="E141" s="177">
        <f t="shared" si="4"/>
        <v>28.129850584206277</v>
      </c>
      <c r="F141" s="199" t="str">
        <f t="shared" si="5"/>
        <v/>
      </c>
    </row>
    <row r="142" spans="1:7">
      <c r="A142">
        <v>139</v>
      </c>
      <c r="B142" s="46">
        <v>44517</v>
      </c>
      <c r="C142" s="269">
        <v>16.031524459577522</v>
      </c>
      <c r="D142" s="269">
        <v>83.114057360768328</v>
      </c>
      <c r="E142" s="177">
        <f t="shared" si="4"/>
        <v>16.031524459577522</v>
      </c>
      <c r="F142" s="199" t="str">
        <f t="shared" si="5"/>
        <v/>
      </c>
    </row>
    <row r="143" spans="1:7">
      <c r="A143">
        <v>140</v>
      </c>
      <c r="B143" s="46">
        <v>44518</v>
      </c>
      <c r="C143" s="269">
        <v>19.834301079575656</v>
      </c>
      <c r="D143" s="269">
        <v>83.114057360768328</v>
      </c>
      <c r="E143" s="177">
        <f t="shared" si="4"/>
        <v>19.834301079575656</v>
      </c>
      <c r="F143" s="199" t="str">
        <f t="shared" si="5"/>
        <v/>
      </c>
    </row>
    <row r="144" spans="1:7">
      <c r="A144">
        <v>141</v>
      </c>
      <c r="B144" s="46">
        <v>44519</v>
      </c>
      <c r="C144" s="269">
        <v>29.031869949575658</v>
      </c>
      <c r="D144" s="269">
        <v>83.114057360768328</v>
      </c>
      <c r="E144" s="177">
        <f t="shared" si="4"/>
        <v>29.031869949575658</v>
      </c>
      <c r="F144" s="199" t="str">
        <f t="shared" si="5"/>
        <v/>
      </c>
    </row>
    <row r="145" spans="1:6">
      <c r="A145">
        <v>142</v>
      </c>
      <c r="B145" s="46">
        <v>44520</v>
      </c>
      <c r="C145" s="269">
        <v>25.204199631577517</v>
      </c>
      <c r="D145" s="269">
        <v>83.114057360768328</v>
      </c>
      <c r="E145" s="177">
        <f t="shared" si="4"/>
        <v>25.204199631577517</v>
      </c>
      <c r="F145" s="199" t="str">
        <f t="shared" si="5"/>
        <v/>
      </c>
    </row>
    <row r="146" spans="1:6">
      <c r="A146">
        <v>143</v>
      </c>
      <c r="B146" s="46">
        <v>44521</v>
      </c>
      <c r="C146" s="269">
        <v>27.474410815575656</v>
      </c>
      <c r="D146" s="269">
        <v>83.114057360768328</v>
      </c>
      <c r="E146" s="177">
        <f t="shared" si="4"/>
        <v>27.474410815575656</v>
      </c>
      <c r="F146" s="199" t="str">
        <f t="shared" si="5"/>
        <v/>
      </c>
    </row>
    <row r="147" spans="1:6">
      <c r="A147">
        <v>144</v>
      </c>
      <c r="B147" s="46">
        <v>44522</v>
      </c>
      <c r="C147" s="269">
        <v>27.98157283157752</v>
      </c>
      <c r="D147" s="269">
        <v>83.114057360768328</v>
      </c>
      <c r="E147" s="177">
        <f t="shared" si="4"/>
        <v>27.98157283157752</v>
      </c>
      <c r="F147" s="199" t="str">
        <f t="shared" si="5"/>
        <v/>
      </c>
    </row>
    <row r="148" spans="1:6">
      <c r="A148">
        <v>145</v>
      </c>
      <c r="B148" s="46">
        <v>44523</v>
      </c>
      <c r="C148" s="269">
        <v>26.741202983576585</v>
      </c>
      <c r="D148" s="269">
        <v>83.114057360768328</v>
      </c>
      <c r="E148" s="177">
        <f t="shared" si="4"/>
        <v>26.741202983576585</v>
      </c>
      <c r="F148" s="199" t="str">
        <f t="shared" si="5"/>
        <v/>
      </c>
    </row>
    <row r="149" spans="1:6">
      <c r="A149">
        <v>146</v>
      </c>
      <c r="B149" s="46">
        <v>44524</v>
      </c>
      <c r="C149" s="269">
        <v>45.54969271737734</v>
      </c>
      <c r="D149" s="269">
        <v>83.114057360768328</v>
      </c>
      <c r="E149" s="177">
        <f t="shared" si="4"/>
        <v>45.54969271737734</v>
      </c>
      <c r="F149" s="199" t="str">
        <f t="shared" si="5"/>
        <v/>
      </c>
    </row>
    <row r="150" spans="1:6">
      <c r="A150">
        <v>147</v>
      </c>
      <c r="B150" s="46">
        <v>44525</v>
      </c>
      <c r="C150" s="269">
        <v>47.647484435378267</v>
      </c>
      <c r="D150" s="269">
        <v>83.114057360768328</v>
      </c>
      <c r="E150" s="177">
        <f t="shared" si="4"/>
        <v>47.647484435378267</v>
      </c>
      <c r="F150" s="199" t="str">
        <f t="shared" si="5"/>
        <v/>
      </c>
    </row>
    <row r="151" spans="1:6">
      <c r="A151">
        <v>148</v>
      </c>
      <c r="B151" s="46">
        <v>44526</v>
      </c>
      <c r="C151" s="269">
        <v>47.625536095378266</v>
      </c>
      <c r="D151" s="269">
        <v>83.114057360768328</v>
      </c>
      <c r="E151" s="177">
        <f t="shared" si="4"/>
        <v>47.625536095378266</v>
      </c>
      <c r="F151" s="199" t="str">
        <f t="shared" si="5"/>
        <v/>
      </c>
    </row>
    <row r="152" spans="1:6">
      <c r="A152">
        <v>149</v>
      </c>
      <c r="B152" s="46">
        <v>44527</v>
      </c>
      <c r="C152" s="269">
        <v>51.534761423378264</v>
      </c>
      <c r="D152" s="269">
        <v>83.114057360768328</v>
      </c>
      <c r="E152" s="177">
        <f t="shared" si="4"/>
        <v>51.534761423378264</v>
      </c>
      <c r="F152" s="199" t="str">
        <f t="shared" si="5"/>
        <v/>
      </c>
    </row>
    <row r="153" spans="1:6">
      <c r="A153">
        <v>150</v>
      </c>
      <c r="B153" s="46">
        <v>44528</v>
      </c>
      <c r="C153" s="269">
        <v>44.432550211378263</v>
      </c>
      <c r="D153" s="269">
        <v>83.114057360768328</v>
      </c>
      <c r="E153" s="177">
        <f t="shared" si="4"/>
        <v>44.432550211378263</v>
      </c>
      <c r="F153" s="199" t="str">
        <f t="shared" si="5"/>
        <v/>
      </c>
    </row>
    <row r="154" spans="1:6">
      <c r="A154">
        <v>151</v>
      </c>
      <c r="B154" s="46">
        <v>44529</v>
      </c>
      <c r="C154" s="269">
        <v>53.96349179537733</v>
      </c>
      <c r="D154" s="269">
        <v>83.114057360768328</v>
      </c>
      <c r="E154" s="177">
        <f t="shared" si="4"/>
        <v>53.96349179537733</v>
      </c>
      <c r="F154" s="199" t="str">
        <f t="shared" si="5"/>
        <v/>
      </c>
    </row>
    <row r="155" spans="1:6">
      <c r="A155">
        <v>152</v>
      </c>
      <c r="B155" s="46">
        <v>44530</v>
      </c>
      <c r="C155" s="269">
        <v>68.858192995378261</v>
      </c>
      <c r="D155" s="269">
        <v>83.114057360768328</v>
      </c>
      <c r="E155" s="177">
        <f t="shared" si="4"/>
        <v>68.858192995378261</v>
      </c>
      <c r="F155" s="199" t="str">
        <f t="shared" si="5"/>
        <v/>
      </c>
    </row>
    <row r="156" spans="1:6">
      <c r="A156">
        <v>153</v>
      </c>
      <c r="B156" s="46">
        <v>44531</v>
      </c>
      <c r="C156" s="269">
        <v>67.914082788547205</v>
      </c>
      <c r="D156" s="269">
        <v>104.11073943778104</v>
      </c>
      <c r="E156" s="177">
        <f t="shared" si="4"/>
        <v>67.914082788547205</v>
      </c>
      <c r="F156" s="199" t="str">
        <f t="shared" si="5"/>
        <v/>
      </c>
    </row>
    <row r="157" spans="1:6">
      <c r="A157">
        <v>154</v>
      </c>
      <c r="B157" s="46">
        <v>44532</v>
      </c>
      <c r="C157" s="269">
        <v>67.634317772550943</v>
      </c>
      <c r="D157" s="269">
        <v>104.11073943778104</v>
      </c>
      <c r="E157" s="177">
        <f t="shared" si="4"/>
        <v>67.634317772550943</v>
      </c>
      <c r="F157" s="199" t="str">
        <f t="shared" si="5"/>
        <v/>
      </c>
    </row>
    <row r="158" spans="1:6">
      <c r="A158">
        <v>155</v>
      </c>
      <c r="B158" s="46">
        <v>44533</v>
      </c>
      <c r="C158" s="269">
        <v>79.771890052547207</v>
      </c>
      <c r="D158" s="269">
        <v>104.11073943778104</v>
      </c>
      <c r="E158" s="177">
        <f t="shared" si="4"/>
        <v>79.771890052547207</v>
      </c>
      <c r="F158" s="199" t="str">
        <f t="shared" si="5"/>
        <v/>
      </c>
    </row>
    <row r="159" spans="1:6">
      <c r="A159">
        <v>156</v>
      </c>
      <c r="B159" s="46">
        <v>44534</v>
      </c>
      <c r="C159" s="269">
        <v>73.835649612549076</v>
      </c>
      <c r="D159" s="269">
        <v>104.11073943778104</v>
      </c>
      <c r="E159" s="177">
        <f t="shared" si="4"/>
        <v>73.835649612549076</v>
      </c>
      <c r="F159" s="199" t="str">
        <f t="shared" si="5"/>
        <v/>
      </c>
    </row>
    <row r="160" spans="1:6">
      <c r="A160">
        <v>157</v>
      </c>
      <c r="B160" s="46">
        <v>44535</v>
      </c>
      <c r="C160" s="269">
        <v>67.854101322548146</v>
      </c>
      <c r="D160" s="269">
        <v>104.11073943778104</v>
      </c>
      <c r="E160" s="177">
        <f t="shared" si="4"/>
        <v>67.854101322548146</v>
      </c>
      <c r="F160" s="199" t="str">
        <f t="shared" si="5"/>
        <v/>
      </c>
    </row>
    <row r="161" spans="1:7">
      <c r="A161">
        <v>158</v>
      </c>
      <c r="B161" s="46">
        <v>44536</v>
      </c>
      <c r="C161" s="269">
        <v>75.36825752454908</v>
      </c>
      <c r="D161" s="269">
        <v>104.11073943778104</v>
      </c>
      <c r="E161" s="177">
        <f t="shared" si="4"/>
        <v>75.36825752454908</v>
      </c>
      <c r="F161" s="199" t="str">
        <f t="shared" si="5"/>
        <v/>
      </c>
    </row>
    <row r="162" spans="1:7">
      <c r="A162">
        <v>159</v>
      </c>
      <c r="B162" s="46">
        <v>44537</v>
      </c>
      <c r="C162" s="269">
        <v>75.19998157054907</v>
      </c>
      <c r="D162" s="269">
        <v>104.11073943778104</v>
      </c>
      <c r="E162" s="177">
        <f t="shared" si="4"/>
        <v>75.19998157054907</v>
      </c>
      <c r="F162" s="199" t="str">
        <f t="shared" si="5"/>
        <v/>
      </c>
    </row>
    <row r="163" spans="1:7">
      <c r="A163">
        <v>160</v>
      </c>
      <c r="B163" s="46">
        <v>44538</v>
      </c>
      <c r="C163" s="269">
        <v>134.12053199479683</v>
      </c>
      <c r="D163" s="269">
        <v>104.11073943778104</v>
      </c>
      <c r="E163" s="177">
        <f t="shared" si="4"/>
        <v>104.11073943778104</v>
      </c>
      <c r="F163" s="199" t="str">
        <f t="shared" si="5"/>
        <v/>
      </c>
    </row>
    <row r="164" spans="1:7">
      <c r="A164">
        <v>161</v>
      </c>
      <c r="B164" s="46">
        <v>44539</v>
      </c>
      <c r="C164" s="269">
        <v>149.83404116679773</v>
      </c>
      <c r="D164" s="269">
        <v>104.11073943778104</v>
      </c>
      <c r="E164" s="177">
        <f t="shared" si="4"/>
        <v>104.11073943778104</v>
      </c>
      <c r="F164" s="199" t="str">
        <f t="shared" si="5"/>
        <v/>
      </c>
    </row>
    <row r="165" spans="1:7">
      <c r="A165">
        <v>162</v>
      </c>
      <c r="B165" s="46">
        <v>44540</v>
      </c>
      <c r="C165" s="269">
        <v>150.75707037479683</v>
      </c>
      <c r="D165" s="269">
        <v>104.11073943778104</v>
      </c>
      <c r="E165" s="177">
        <f t="shared" si="4"/>
        <v>104.11073943778104</v>
      </c>
      <c r="F165" s="199" t="str">
        <f t="shared" si="5"/>
        <v/>
      </c>
    </row>
    <row r="166" spans="1:7">
      <c r="A166">
        <v>163</v>
      </c>
      <c r="B166" s="46">
        <v>44541</v>
      </c>
      <c r="C166" s="269">
        <v>155.9076950487987</v>
      </c>
      <c r="D166" s="269">
        <v>104.11073943778104</v>
      </c>
      <c r="E166" s="177">
        <f t="shared" si="4"/>
        <v>104.11073943778104</v>
      </c>
      <c r="F166" s="199" t="str">
        <f t="shared" si="5"/>
        <v/>
      </c>
    </row>
    <row r="167" spans="1:7">
      <c r="A167">
        <v>164</v>
      </c>
      <c r="B167" s="46">
        <v>44542</v>
      </c>
      <c r="C167" s="269">
        <v>165.94317509679775</v>
      </c>
      <c r="D167" s="269">
        <v>104.11073943778104</v>
      </c>
      <c r="E167" s="177">
        <f t="shared" si="4"/>
        <v>104.11073943778104</v>
      </c>
      <c r="F167" s="199" t="str">
        <f t="shared" si="5"/>
        <v/>
      </c>
    </row>
    <row r="168" spans="1:7">
      <c r="A168">
        <v>165</v>
      </c>
      <c r="B168" s="46">
        <v>44543</v>
      </c>
      <c r="C168" s="269">
        <v>168.94623704479682</v>
      </c>
      <c r="D168" s="269">
        <v>104.11073943778104</v>
      </c>
      <c r="E168" s="177">
        <f t="shared" si="4"/>
        <v>104.11073943778104</v>
      </c>
      <c r="F168" s="199" t="str">
        <f t="shared" si="5"/>
        <v/>
      </c>
    </row>
    <row r="169" spans="1:7">
      <c r="A169">
        <v>166</v>
      </c>
      <c r="B169" s="46">
        <v>44544</v>
      </c>
      <c r="C169" s="269">
        <v>163.42586551079776</v>
      </c>
      <c r="D169" s="269">
        <v>104.11073943778104</v>
      </c>
      <c r="E169" s="177">
        <f t="shared" si="4"/>
        <v>104.11073943778104</v>
      </c>
      <c r="F169" s="199" t="str">
        <f t="shared" si="5"/>
        <v/>
      </c>
    </row>
    <row r="170" spans="1:7">
      <c r="A170">
        <v>167</v>
      </c>
      <c r="B170" s="46">
        <v>44545</v>
      </c>
      <c r="C170" s="269">
        <v>99.20214076305858</v>
      </c>
      <c r="D170" s="269">
        <v>104.11073943778104</v>
      </c>
      <c r="E170" s="177">
        <f t="shared" si="4"/>
        <v>99.20214076305858</v>
      </c>
      <c r="F170" s="199" t="str">
        <f t="shared" si="5"/>
        <v>D</v>
      </c>
      <c r="G170" s="200">
        <f>IF(DAY(B170)=15,D170,"")</f>
        <v>104.11073943778104</v>
      </c>
    </row>
    <row r="171" spans="1:7">
      <c r="A171">
        <v>168</v>
      </c>
      <c r="B171" s="46">
        <v>44546</v>
      </c>
      <c r="C171" s="269">
        <v>94.316234811056717</v>
      </c>
      <c r="D171" s="269">
        <v>104.11073943778104</v>
      </c>
      <c r="E171" s="177">
        <f t="shared" si="4"/>
        <v>94.316234811056717</v>
      </c>
      <c r="F171" s="199" t="str">
        <f t="shared" si="5"/>
        <v/>
      </c>
    </row>
    <row r="172" spans="1:7">
      <c r="A172">
        <v>169</v>
      </c>
      <c r="B172" s="46">
        <v>44547</v>
      </c>
      <c r="C172" s="269">
        <v>100.71085091105765</v>
      </c>
      <c r="D172" s="269">
        <v>104.11073943778104</v>
      </c>
      <c r="E172" s="177">
        <f t="shared" si="4"/>
        <v>100.71085091105765</v>
      </c>
      <c r="F172" s="199" t="str">
        <f t="shared" si="5"/>
        <v/>
      </c>
    </row>
    <row r="173" spans="1:7">
      <c r="A173">
        <v>170</v>
      </c>
      <c r="B173" s="46">
        <v>44548</v>
      </c>
      <c r="C173" s="269">
        <v>107.73071106705764</v>
      </c>
      <c r="D173" s="269">
        <v>104.11073943778104</v>
      </c>
      <c r="E173" s="177">
        <f t="shared" si="4"/>
        <v>104.11073943778104</v>
      </c>
      <c r="F173" s="199" t="str">
        <f t="shared" si="5"/>
        <v/>
      </c>
    </row>
    <row r="174" spans="1:7">
      <c r="A174">
        <v>171</v>
      </c>
      <c r="B174" s="46">
        <v>44549</v>
      </c>
      <c r="C174" s="269">
        <v>94.236187843058573</v>
      </c>
      <c r="D174" s="269">
        <v>104.11073943778104</v>
      </c>
      <c r="E174" s="177">
        <f t="shared" si="4"/>
        <v>94.236187843058573</v>
      </c>
      <c r="F174" s="199" t="str">
        <f t="shared" si="5"/>
        <v/>
      </c>
    </row>
    <row r="175" spans="1:7">
      <c r="A175">
        <v>172</v>
      </c>
      <c r="B175" s="46">
        <v>44550</v>
      </c>
      <c r="C175" s="269">
        <v>108.97748723105857</v>
      </c>
      <c r="D175" s="269">
        <v>104.11073943778104</v>
      </c>
      <c r="E175" s="177">
        <f t="shared" si="4"/>
        <v>104.11073943778104</v>
      </c>
      <c r="F175" s="199" t="str">
        <f t="shared" si="5"/>
        <v/>
      </c>
    </row>
    <row r="176" spans="1:7">
      <c r="A176">
        <v>173</v>
      </c>
      <c r="B176" s="46">
        <v>44551</v>
      </c>
      <c r="C176" s="269">
        <v>115.96634227105858</v>
      </c>
      <c r="D176" s="269">
        <v>104.11073943778104</v>
      </c>
      <c r="E176" s="177">
        <f t="shared" si="4"/>
        <v>104.11073943778104</v>
      </c>
      <c r="F176" s="199" t="str">
        <f t="shared" si="5"/>
        <v/>
      </c>
    </row>
    <row r="177" spans="1:6">
      <c r="A177">
        <v>174</v>
      </c>
      <c r="B177" s="46">
        <v>44552</v>
      </c>
      <c r="C177" s="269">
        <v>109.5801564097107</v>
      </c>
      <c r="D177" s="269">
        <v>104.11073943778104</v>
      </c>
      <c r="E177" s="177">
        <f t="shared" si="4"/>
        <v>104.11073943778104</v>
      </c>
      <c r="F177" s="199" t="str">
        <f t="shared" si="5"/>
        <v/>
      </c>
    </row>
    <row r="178" spans="1:6">
      <c r="A178">
        <v>175</v>
      </c>
      <c r="B178" s="46">
        <v>44553</v>
      </c>
      <c r="C178" s="269">
        <v>100.54819594570883</v>
      </c>
      <c r="D178" s="269">
        <v>104.11073943778104</v>
      </c>
      <c r="E178" s="177">
        <f t="shared" si="4"/>
        <v>100.54819594570883</v>
      </c>
      <c r="F178" s="199" t="str">
        <f t="shared" si="5"/>
        <v/>
      </c>
    </row>
    <row r="179" spans="1:6">
      <c r="A179">
        <v>176</v>
      </c>
      <c r="B179" s="46">
        <v>44554</v>
      </c>
      <c r="C179" s="269">
        <v>73.15339101971162</v>
      </c>
      <c r="D179" s="269">
        <v>104.11073943778104</v>
      </c>
      <c r="E179" s="177">
        <f t="shared" si="4"/>
        <v>73.15339101971162</v>
      </c>
      <c r="F179" s="199" t="str">
        <f t="shared" si="5"/>
        <v/>
      </c>
    </row>
    <row r="180" spans="1:6">
      <c r="A180">
        <v>177</v>
      </c>
      <c r="B180" s="46">
        <v>44555</v>
      </c>
      <c r="C180" s="269">
        <v>62.947384397708817</v>
      </c>
      <c r="D180" s="269">
        <v>104.11073943778104</v>
      </c>
      <c r="E180" s="177">
        <f t="shared" si="4"/>
        <v>62.947384397708817</v>
      </c>
      <c r="F180" s="199" t="str">
        <f t="shared" si="5"/>
        <v/>
      </c>
    </row>
    <row r="181" spans="1:6">
      <c r="A181">
        <v>178</v>
      </c>
      <c r="B181" s="46">
        <v>44556</v>
      </c>
      <c r="C181" s="269">
        <v>66.909976297710685</v>
      </c>
      <c r="D181" s="269">
        <v>104.11073943778104</v>
      </c>
      <c r="E181" s="177">
        <f t="shared" si="4"/>
        <v>66.909976297710685</v>
      </c>
      <c r="F181" s="199" t="str">
        <f t="shared" si="5"/>
        <v/>
      </c>
    </row>
    <row r="182" spans="1:6">
      <c r="A182">
        <v>179</v>
      </c>
      <c r="B182" s="46">
        <v>44557</v>
      </c>
      <c r="C182" s="269">
        <v>70.186913739709752</v>
      </c>
      <c r="D182" s="269">
        <v>104.11073943778104</v>
      </c>
      <c r="E182" s="177">
        <f t="shared" si="4"/>
        <v>70.186913739709752</v>
      </c>
      <c r="F182" s="199" t="str">
        <f t="shared" si="5"/>
        <v/>
      </c>
    </row>
    <row r="183" spans="1:6">
      <c r="A183">
        <v>180</v>
      </c>
      <c r="B183" s="46">
        <v>44558</v>
      </c>
      <c r="C183" s="269">
        <v>74.018275097710671</v>
      </c>
      <c r="D183" s="269">
        <v>104.11073943778104</v>
      </c>
      <c r="E183" s="177">
        <f t="shared" si="4"/>
        <v>74.018275097710671</v>
      </c>
      <c r="F183" s="199" t="str">
        <f t="shared" si="5"/>
        <v/>
      </c>
    </row>
    <row r="184" spans="1:6">
      <c r="A184">
        <v>181</v>
      </c>
      <c r="B184" s="46">
        <v>44559</v>
      </c>
      <c r="C184" s="269">
        <v>126.29973371740441</v>
      </c>
      <c r="D184" s="269">
        <v>104.11073943778104</v>
      </c>
      <c r="E184" s="177">
        <f t="shared" si="4"/>
        <v>104.11073943778104</v>
      </c>
      <c r="F184" s="199" t="str">
        <f t="shared" si="5"/>
        <v/>
      </c>
    </row>
    <row r="185" spans="1:6">
      <c r="A185">
        <v>182</v>
      </c>
      <c r="B185" s="46">
        <v>44560</v>
      </c>
      <c r="C185" s="269">
        <v>127.2610685074044</v>
      </c>
      <c r="D185" s="269">
        <v>104.11073943778104</v>
      </c>
      <c r="E185" s="177">
        <f t="shared" si="4"/>
        <v>104.11073943778104</v>
      </c>
      <c r="F185" s="199" t="str">
        <f t="shared" si="5"/>
        <v/>
      </c>
    </row>
    <row r="186" spans="1:6">
      <c r="A186">
        <v>183</v>
      </c>
      <c r="B186" s="46">
        <v>44561</v>
      </c>
      <c r="C186" s="269">
        <v>118.3931635174044</v>
      </c>
      <c r="D186" s="269">
        <v>104.11073943778104</v>
      </c>
      <c r="E186" s="177">
        <f t="shared" si="4"/>
        <v>104.11073943778104</v>
      </c>
      <c r="F186" s="199" t="str">
        <f t="shared" si="5"/>
        <v/>
      </c>
    </row>
    <row r="187" spans="1:6">
      <c r="A187">
        <v>184</v>
      </c>
      <c r="B187" s="46">
        <v>44562</v>
      </c>
      <c r="C187" s="269">
        <v>102.17540151940534</v>
      </c>
      <c r="D187" s="269">
        <v>117.91214619510544</v>
      </c>
      <c r="E187" s="177">
        <f t="shared" si="4"/>
        <v>102.17540151940534</v>
      </c>
      <c r="F187" s="199" t="str">
        <f t="shared" si="5"/>
        <v/>
      </c>
    </row>
    <row r="188" spans="1:6">
      <c r="A188">
        <v>185</v>
      </c>
      <c r="B188" s="46">
        <v>44563</v>
      </c>
      <c r="C188" s="269">
        <v>104.62349681740534</v>
      </c>
      <c r="D188" s="269">
        <v>117.91214619510544</v>
      </c>
      <c r="E188" s="177">
        <f t="shared" si="4"/>
        <v>104.62349681740534</v>
      </c>
      <c r="F188" s="199" t="str">
        <f t="shared" si="5"/>
        <v/>
      </c>
    </row>
    <row r="189" spans="1:6">
      <c r="A189">
        <v>186</v>
      </c>
      <c r="B189" s="46">
        <v>44564</v>
      </c>
      <c r="C189" s="269">
        <v>105.21932554740441</v>
      </c>
      <c r="D189" s="269">
        <v>117.91214619510544</v>
      </c>
      <c r="E189" s="177">
        <f t="shared" si="4"/>
        <v>105.21932554740441</v>
      </c>
      <c r="F189" s="199" t="str">
        <f t="shared" si="5"/>
        <v/>
      </c>
    </row>
    <row r="190" spans="1:6">
      <c r="A190">
        <v>187</v>
      </c>
      <c r="B190" s="46">
        <v>44565</v>
      </c>
      <c r="C190" s="269">
        <v>103.55801551140441</v>
      </c>
      <c r="D190" s="269">
        <v>117.91214619510544</v>
      </c>
      <c r="E190" s="177">
        <f t="shared" si="4"/>
        <v>103.55801551140441</v>
      </c>
      <c r="F190" s="199" t="str">
        <f t="shared" si="5"/>
        <v/>
      </c>
    </row>
    <row r="191" spans="1:6">
      <c r="A191">
        <v>188</v>
      </c>
      <c r="B191" s="46">
        <v>44566</v>
      </c>
      <c r="C191" s="269">
        <v>91.987723495153446</v>
      </c>
      <c r="D191" s="269">
        <v>117.91214619510544</v>
      </c>
      <c r="E191" s="177">
        <f t="shared" si="4"/>
        <v>91.987723495153446</v>
      </c>
      <c r="F191" s="199" t="str">
        <f t="shared" si="5"/>
        <v/>
      </c>
    </row>
    <row r="192" spans="1:6">
      <c r="A192">
        <v>189</v>
      </c>
      <c r="B192" s="46">
        <v>44567</v>
      </c>
      <c r="C192" s="269">
        <v>95.198739353151581</v>
      </c>
      <c r="D192" s="269">
        <v>117.91214619510544</v>
      </c>
      <c r="E192" s="177">
        <f t="shared" si="4"/>
        <v>95.198739353151581</v>
      </c>
      <c r="F192" s="199" t="str">
        <f t="shared" si="5"/>
        <v/>
      </c>
    </row>
    <row r="193" spans="1:7">
      <c r="A193">
        <v>190</v>
      </c>
      <c r="B193" s="46">
        <v>44568</v>
      </c>
      <c r="C193" s="269">
        <v>95.836925759152507</v>
      </c>
      <c r="D193" s="269">
        <v>117.91214619510544</v>
      </c>
      <c r="E193" s="177">
        <f t="shared" si="4"/>
        <v>95.836925759152507</v>
      </c>
      <c r="F193" s="199" t="str">
        <f t="shared" si="5"/>
        <v/>
      </c>
    </row>
    <row r="194" spans="1:7">
      <c r="A194">
        <v>191</v>
      </c>
      <c r="B194" s="46">
        <v>44569</v>
      </c>
      <c r="C194" s="269">
        <v>90.269487789151583</v>
      </c>
      <c r="D194" s="269">
        <v>117.91214619510544</v>
      </c>
      <c r="E194" s="177">
        <f t="shared" si="4"/>
        <v>90.269487789151583</v>
      </c>
      <c r="F194" s="199" t="str">
        <f t="shared" si="5"/>
        <v/>
      </c>
    </row>
    <row r="195" spans="1:7">
      <c r="A195">
        <v>192</v>
      </c>
      <c r="B195" s="46">
        <v>44570</v>
      </c>
      <c r="C195" s="269">
        <v>82.673086073152518</v>
      </c>
      <c r="D195" s="269">
        <v>117.91214619510544</v>
      </c>
      <c r="E195" s="177">
        <f t="shared" si="4"/>
        <v>82.673086073152518</v>
      </c>
      <c r="F195" s="199" t="str">
        <f t="shared" si="5"/>
        <v/>
      </c>
    </row>
    <row r="196" spans="1:7">
      <c r="A196">
        <v>193</v>
      </c>
      <c r="B196" s="46">
        <v>44571</v>
      </c>
      <c r="C196" s="269">
        <v>105.36310315515158</v>
      </c>
      <c r="D196" s="269">
        <v>117.91214619510544</v>
      </c>
      <c r="E196" s="177">
        <f t="shared" ref="E196:E259" si="6">IF(C196&lt;D196,C196,D196)</f>
        <v>105.36310315515158</v>
      </c>
      <c r="F196" s="199" t="str">
        <f t="shared" ref="F196:F259" si="7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7">
      <c r="A197">
        <v>194</v>
      </c>
      <c r="B197" s="46">
        <v>44572</v>
      </c>
      <c r="C197" s="269">
        <v>106.01807528715251</v>
      </c>
      <c r="D197" s="269">
        <v>117.91214619510544</v>
      </c>
      <c r="E197" s="177">
        <f t="shared" si="6"/>
        <v>106.01807528715251</v>
      </c>
      <c r="F197" s="199" t="str">
        <f t="shared" si="7"/>
        <v/>
      </c>
    </row>
    <row r="198" spans="1:7">
      <c r="A198">
        <v>195</v>
      </c>
      <c r="B198" s="46">
        <v>44573</v>
      </c>
      <c r="C198" s="269">
        <v>80.883930473632347</v>
      </c>
      <c r="D198" s="269">
        <v>117.91214619510544</v>
      </c>
      <c r="E198" s="177">
        <f t="shared" si="6"/>
        <v>80.883930473632347</v>
      </c>
      <c r="F198" s="199" t="str">
        <f t="shared" si="7"/>
        <v/>
      </c>
    </row>
    <row r="199" spans="1:7">
      <c r="A199">
        <v>196</v>
      </c>
      <c r="B199" s="46">
        <v>44574</v>
      </c>
      <c r="C199" s="269">
        <v>108.53032502363422</v>
      </c>
      <c r="D199" s="269">
        <v>117.91214619510544</v>
      </c>
      <c r="E199" s="177">
        <f t="shared" si="6"/>
        <v>108.53032502363422</v>
      </c>
      <c r="F199" s="199" t="str">
        <f t="shared" si="7"/>
        <v/>
      </c>
    </row>
    <row r="200" spans="1:7">
      <c r="A200">
        <v>197</v>
      </c>
      <c r="B200" s="46">
        <v>44575</v>
      </c>
      <c r="C200" s="269">
        <v>109.9746273136342</v>
      </c>
      <c r="D200" s="269">
        <v>117.91214619510544</v>
      </c>
      <c r="E200" s="177">
        <f t="shared" si="6"/>
        <v>109.9746273136342</v>
      </c>
      <c r="F200" s="199" t="str">
        <f>IF(DAY(B200)=15,IF(MONTH(B200)=1,"E",IF(MONTH(B200)=2,"F",IF(MONTH(B200)=3,"M",IF(MONTH(B200)=4,"A",IF(MONTH(B200)=5,"M",IF(MONTH(B200)=6,"J",IF(MONTH(B200)=7,"J",IF(MONTH(B200)=8,"A",IF(MONTH(B200)=9,"S",IF(MONTH(B200)=10,"O",IF(MONTH(B200)=11,"N",IF(MONTH(B200)=12,"D","")))))))))))),"")</f>
        <v/>
      </c>
    </row>
    <row r="201" spans="1:7">
      <c r="A201">
        <v>198</v>
      </c>
      <c r="B201" s="46">
        <v>44576</v>
      </c>
      <c r="C201" s="269">
        <v>107.25943700363328</v>
      </c>
      <c r="D201" s="269">
        <v>117.91214619510544</v>
      </c>
      <c r="E201" s="177">
        <f t="shared" si="6"/>
        <v>107.25943700363328</v>
      </c>
      <c r="F201" s="199" t="str">
        <f>IF(DAY(B201)=15,IF(MONTH(B201)=1,"E",IF(MONTH(B201)=2,"F",IF(MONTH(B201)=3,"M",IF(MONTH(B201)=4,"A",IF(MONTH(B201)=5,"M",IF(MONTH(B201)=6,"J",IF(MONTH(B201)=7,"J",IF(MONTH(B201)=8,"A",IF(MONTH(B201)=9,"S",IF(MONTH(B201)=10,"O",IF(MONTH(B201)=11,"N",IF(MONTH(B201)=12,"D","")))))))))))),"")</f>
        <v>E</v>
      </c>
      <c r="G201" s="200">
        <f>IF(DAY(B201)=15,D201,"")</f>
        <v>117.91214619510544</v>
      </c>
    </row>
    <row r="202" spans="1:7">
      <c r="A202">
        <v>199</v>
      </c>
      <c r="B202" s="46">
        <v>44577</v>
      </c>
      <c r="C202" s="269">
        <v>93.148619171634209</v>
      </c>
      <c r="D202" s="269">
        <v>117.91214619510544</v>
      </c>
      <c r="E202" s="177">
        <f t="shared" si="6"/>
        <v>93.148619171634209</v>
      </c>
      <c r="F202" s="199" t="str">
        <f t="shared" si="7"/>
        <v/>
      </c>
    </row>
    <row r="203" spans="1:7">
      <c r="A203">
        <v>200</v>
      </c>
      <c r="B203" s="46">
        <v>44578</v>
      </c>
      <c r="C203" s="269">
        <v>101.72879704363422</v>
      </c>
      <c r="D203" s="269">
        <v>117.91214619510544</v>
      </c>
      <c r="E203" s="177">
        <f t="shared" si="6"/>
        <v>101.72879704363422</v>
      </c>
      <c r="F203" s="199" t="str">
        <f t="shared" si="7"/>
        <v/>
      </c>
    </row>
    <row r="204" spans="1:7">
      <c r="A204">
        <v>201</v>
      </c>
      <c r="B204" s="46">
        <v>44579</v>
      </c>
      <c r="C204" s="269">
        <v>103.87119560363328</v>
      </c>
      <c r="D204" s="269">
        <v>117.91214619510544</v>
      </c>
      <c r="E204" s="177">
        <f t="shared" si="6"/>
        <v>103.87119560363328</v>
      </c>
      <c r="F204" s="199" t="str">
        <f t="shared" si="7"/>
        <v/>
      </c>
    </row>
    <row r="205" spans="1:7">
      <c r="A205">
        <v>202</v>
      </c>
      <c r="B205" s="46">
        <v>44580</v>
      </c>
      <c r="C205" s="269">
        <v>67.409800574516936</v>
      </c>
      <c r="D205" s="269">
        <v>117.91214619510544</v>
      </c>
      <c r="E205" s="177">
        <f t="shared" si="6"/>
        <v>67.409800574516936</v>
      </c>
      <c r="F205" s="199" t="str">
        <f t="shared" si="7"/>
        <v/>
      </c>
    </row>
    <row r="206" spans="1:7">
      <c r="A206">
        <v>203</v>
      </c>
      <c r="B206" s="46">
        <v>44581</v>
      </c>
      <c r="C206" s="269">
        <v>56.526716274517867</v>
      </c>
      <c r="D206" s="269">
        <v>117.91214619510544</v>
      </c>
      <c r="E206" s="177">
        <f t="shared" si="6"/>
        <v>56.526716274517867</v>
      </c>
      <c r="F206" s="199" t="str">
        <f t="shared" si="7"/>
        <v/>
      </c>
    </row>
    <row r="207" spans="1:7">
      <c r="A207">
        <v>204</v>
      </c>
      <c r="B207" s="46">
        <v>44582</v>
      </c>
      <c r="C207" s="269">
        <v>43.579174246515997</v>
      </c>
      <c r="D207" s="269">
        <v>117.91214619510544</v>
      </c>
      <c r="E207" s="177">
        <f t="shared" si="6"/>
        <v>43.579174246515997</v>
      </c>
      <c r="F207" s="199" t="str">
        <f t="shared" si="7"/>
        <v/>
      </c>
    </row>
    <row r="208" spans="1:7">
      <c r="A208">
        <v>205</v>
      </c>
      <c r="B208" s="46">
        <v>44583</v>
      </c>
      <c r="C208" s="269">
        <v>41.629165836516933</v>
      </c>
      <c r="D208" s="269">
        <v>117.91214619510544</v>
      </c>
      <c r="E208" s="177">
        <f t="shared" si="6"/>
        <v>41.629165836516933</v>
      </c>
      <c r="F208" s="199" t="str">
        <f t="shared" si="7"/>
        <v/>
      </c>
    </row>
    <row r="209" spans="1:6">
      <c r="A209">
        <v>206</v>
      </c>
      <c r="B209" s="46">
        <v>44584</v>
      </c>
      <c r="C209" s="269">
        <v>53.975750974516927</v>
      </c>
      <c r="D209" s="269">
        <v>117.91214619510544</v>
      </c>
      <c r="E209" s="177">
        <f t="shared" si="6"/>
        <v>53.975750974516927</v>
      </c>
      <c r="F209" s="199" t="str">
        <f t="shared" si="7"/>
        <v/>
      </c>
    </row>
    <row r="210" spans="1:6">
      <c r="A210">
        <v>207</v>
      </c>
      <c r="B210" s="46">
        <v>44585</v>
      </c>
      <c r="C210" s="269">
        <v>79.832427634515071</v>
      </c>
      <c r="D210" s="269">
        <v>117.91214619510544</v>
      </c>
      <c r="E210" s="177">
        <f t="shared" si="6"/>
        <v>79.832427634515071</v>
      </c>
      <c r="F210" s="199" t="str">
        <f t="shared" si="7"/>
        <v/>
      </c>
    </row>
    <row r="211" spans="1:6">
      <c r="A211">
        <v>208</v>
      </c>
      <c r="B211" s="46">
        <v>44586</v>
      </c>
      <c r="C211" s="269">
        <v>60.620104462519727</v>
      </c>
      <c r="D211" s="269">
        <v>117.91214619510544</v>
      </c>
      <c r="E211" s="177">
        <f t="shared" si="6"/>
        <v>60.620104462519727</v>
      </c>
      <c r="F211" s="199" t="str">
        <f t="shared" si="7"/>
        <v/>
      </c>
    </row>
    <row r="212" spans="1:6">
      <c r="A212">
        <v>209</v>
      </c>
      <c r="B212" s="46">
        <v>44587</v>
      </c>
      <c r="C212" s="269">
        <v>57.039959710062163</v>
      </c>
      <c r="D212" s="269">
        <v>117.91214619510544</v>
      </c>
      <c r="E212" s="177">
        <f t="shared" si="6"/>
        <v>57.039959710062163</v>
      </c>
      <c r="F212" s="199" t="str">
        <f t="shared" si="7"/>
        <v/>
      </c>
    </row>
    <row r="213" spans="1:6">
      <c r="A213">
        <v>210</v>
      </c>
      <c r="B213" s="46">
        <v>44588</v>
      </c>
      <c r="C213" s="269">
        <v>40.904587002061234</v>
      </c>
      <c r="D213" s="269">
        <v>117.91214619510544</v>
      </c>
      <c r="E213" s="177">
        <f t="shared" si="6"/>
        <v>40.904587002061234</v>
      </c>
      <c r="F213" s="199" t="str">
        <f t="shared" si="7"/>
        <v/>
      </c>
    </row>
    <row r="214" spans="1:6">
      <c r="A214">
        <v>211</v>
      </c>
      <c r="B214" s="46">
        <v>44589</v>
      </c>
      <c r="C214" s="269">
        <v>30.755261530062167</v>
      </c>
      <c r="D214" s="269">
        <v>117.91214619510544</v>
      </c>
      <c r="E214" s="177">
        <f t="shared" si="6"/>
        <v>30.755261530062167</v>
      </c>
      <c r="F214" s="199" t="str">
        <f t="shared" si="7"/>
        <v/>
      </c>
    </row>
    <row r="215" spans="1:6">
      <c r="A215">
        <v>212</v>
      </c>
      <c r="B215" s="46">
        <v>44590</v>
      </c>
      <c r="C215" s="269">
        <v>30.089815514064963</v>
      </c>
      <c r="D215" s="269">
        <v>117.91214619510544</v>
      </c>
      <c r="E215" s="177">
        <f t="shared" si="6"/>
        <v>30.089815514064963</v>
      </c>
      <c r="F215" s="199" t="str">
        <f t="shared" si="7"/>
        <v/>
      </c>
    </row>
    <row r="216" spans="1:6">
      <c r="A216">
        <v>213</v>
      </c>
      <c r="B216" s="46">
        <v>44591</v>
      </c>
      <c r="C216" s="269">
        <v>28.242457818062167</v>
      </c>
      <c r="D216" s="269">
        <v>117.91214619510544</v>
      </c>
      <c r="E216" s="177">
        <f t="shared" si="6"/>
        <v>28.242457818062167</v>
      </c>
      <c r="F216" s="199" t="str">
        <f t="shared" si="7"/>
        <v/>
      </c>
    </row>
    <row r="217" spans="1:6">
      <c r="A217">
        <v>214</v>
      </c>
      <c r="B217" s="46">
        <v>44592</v>
      </c>
      <c r="C217" s="269">
        <v>26.349692656061233</v>
      </c>
      <c r="D217" s="269">
        <v>117.91214619510544</v>
      </c>
      <c r="E217" s="177">
        <f t="shared" si="6"/>
        <v>26.349692656061233</v>
      </c>
      <c r="F217" s="199" t="str">
        <f t="shared" si="7"/>
        <v/>
      </c>
    </row>
    <row r="218" spans="1:6">
      <c r="A218">
        <v>215</v>
      </c>
      <c r="B218" s="46">
        <v>44593</v>
      </c>
      <c r="C218" s="269">
        <v>21.487646220064963</v>
      </c>
      <c r="D218" s="269">
        <v>129.94088839596503</v>
      </c>
      <c r="E218" s="177">
        <f t="shared" si="6"/>
        <v>21.487646220064963</v>
      </c>
      <c r="F218" s="199" t="str">
        <f t="shared" si="7"/>
        <v/>
      </c>
    </row>
    <row r="219" spans="1:6">
      <c r="A219">
        <v>216</v>
      </c>
      <c r="B219" s="46">
        <v>44594</v>
      </c>
      <c r="C219" s="269">
        <v>41.651559683846571</v>
      </c>
      <c r="D219" s="269">
        <v>129.94088839596503</v>
      </c>
      <c r="E219" s="177">
        <f t="shared" si="6"/>
        <v>41.651559683846571</v>
      </c>
      <c r="F219" s="199" t="str">
        <f t="shared" si="7"/>
        <v/>
      </c>
    </row>
    <row r="220" spans="1:6">
      <c r="A220">
        <v>217</v>
      </c>
      <c r="B220" s="46">
        <v>44595</v>
      </c>
      <c r="C220" s="269">
        <v>40.250095097848437</v>
      </c>
      <c r="D220" s="269">
        <v>129.94088839596503</v>
      </c>
      <c r="E220" s="177">
        <f t="shared" si="6"/>
        <v>40.250095097848437</v>
      </c>
      <c r="F220" s="199" t="str">
        <f t="shared" si="7"/>
        <v/>
      </c>
    </row>
    <row r="221" spans="1:6">
      <c r="A221">
        <v>218</v>
      </c>
      <c r="B221" s="46">
        <v>44596</v>
      </c>
      <c r="C221" s="269">
        <v>39.671995491848435</v>
      </c>
      <c r="D221" s="269">
        <v>129.94088839596503</v>
      </c>
      <c r="E221" s="177">
        <f t="shared" si="6"/>
        <v>39.671995491848435</v>
      </c>
      <c r="F221" s="199" t="str">
        <f t="shared" si="7"/>
        <v/>
      </c>
    </row>
    <row r="222" spans="1:6">
      <c r="A222">
        <v>219</v>
      </c>
      <c r="B222" s="46">
        <v>44597</v>
      </c>
      <c r="C222" s="269">
        <v>23.922625091847504</v>
      </c>
      <c r="D222" s="269">
        <v>129.94088839596503</v>
      </c>
      <c r="E222" s="177">
        <f t="shared" si="6"/>
        <v>23.922625091847504</v>
      </c>
      <c r="F222" s="199" t="str">
        <f t="shared" si="7"/>
        <v/>
      </c>
    </row>
    <row r="223" spans="1:6">
      <c r="A223">
        <v>220</v>
      </c>
      <c r="B223" s="46">
        <v>44598</v>
      </c>
      <c r="C223" s="269">
        <v>28.187521431847504</v>
      </c>
      <c r="D223" s="269">
        <v>129.94088839596503</v>
      </c>
      <c r="E223" s="177">
        <f t="shared" si="6"/>
        <v>28.187521431847504</v>
      </c>
      <c r="F223" s="199" t="str">
        <f t="shared" si="7"/>
        <v/>
      </c>
    </row>
    <row r="224" spans="1:6">
      <c r="A224">
        <v>221</v>
      </c>
      <c r="B224" s="46">
        <v>44599</v>
      </c>
      <c r="C224" s="269">
        <v>29.725018323848438</v>
      </c>
      <c r="D224" s="269">
        <v>129.94088839596503</v>
      </c>
      <c r="E224" s="177">
        <f t="shared" si="6"/>
        <v>29.725018323848438</v>
      </c>
      <c r="F224" s="199" t="str">
        <f t="shared" si="7"/>
        <v/>
      </c>
    </row>
    <row r="225" spans="1:7">
      <c r="A225">
        <v>222</v>
      </c>
      <c r="B225" s="46">
        <v>44600</v>
      </c>
      <c r="C225" s="269">
        <v>30.513595177848437</v>
      </c>
      <c r="D225" s="269">
        <v>129.94088839596503</v>
      </c>
      <c r="E225" s="177">
        <f t="shared" si="6"/>
        <v>30.513595177848437</v>
      </c>
      <c r="F225" s="199" t="str">
        <f t="shared" si="7"/>
        <v/>
      </c>
    </row>
    <row r="226" spans="1:7">
      <c r="A226">
        <v>223</v>
      </c>
      <c r="B226" s="46">
        <v>44601</v>
      </c>
      <c r="C226" s="269">
        <v>35.111333372648339</v>
      </c>
      <c r="D226" s="269">
        <v>129.94088839596503</v>
      </c>
      <c r="E226" s="177">
        <f t="shared" si="6"/>
        <v>35.111333372648339</v>
      </c>
      <c r="F226" s="199" t="str">
        <f t="shared" si="7"/>
        <v/>
      </c>
    </row>
    <row r="227" spans="1:7">
      <c r="A227">
        <v>224</v>
      </c>
      <c r="B227" s="46">
        <v>44602</v>
      </c>
      <c r="C227" s="269">
        <v>42.777986102650196</v>
      </c>
      <c r="D227" s="269">
        <v>129.94088839596503</v>
      </c>
      <c r="E227" s="177">
        <f t="shared" si="6"/>
        <v>42.777986102650196</v>
      </c>
      <c r="F227" s="199" t="str">
        <f t="shared" si="7"/>
        <v/>
      </c>
    </row>
    <row r="228" spans="1:7">
      <c r="A228">
        <v>225</v>
      </c>
      <c r="B228" s="46">
        <v>44603</v>
      </c>
      <c r="C228" s="269">
        <v>47.478293512649266</v>
      </c>
      <c r="D228" s="269">
        <v>129.94088839596503</v>
      </c>
      <c r="E228" s="177">
        <f t="shared" si="6"/>
        <v>47.478293512649266</v>
      </c>
      <c r="F228" s="199" t="str">
        <f t="shared" si="7"/>
        <v/>
      </c>
    </row>
    <row r="229" spans="1:7">
      <c r="A229">
        <v>226</v>
      </c>
      <c r="B229" s="46">
        <v>44604</v>
      </c>
      <c r="C229" s="269">
        <v>37.158866846651129</v>
      </c>
      <c r="D229" s="269">
        <v>129.94088839596503</v>
      </c>
      <c r="E229" s="177">
        <f t="shared" si="6"/>
        <v>37.158866846651129</v>
      </c>
      <c r="F229" s="199" t="str">
        <f t="shared" si="7"/>
        <v/>
      </c>
    </row>
    <row r="230" spans="1:7">
      <c r="A230">
        <v>227</v>
      </c>
      <c r="B230" s="46">
        <v>44605</v>
      </c>
      <c r="C230" s="269">
        <v>19.881522136649266</v>
      </c>
      <c r="D230" s="269">
        <v>129.94088839596503</v>
      </c>
      <c r="E230" s="177">
        <f t="shared" si="6"/>
        <v>19.881522136649266</v>
      </c>
      <c r="F230" s="199" t="str">
        <f>IF(DAY(B230)=15,IF(MONTH(B230)=1,"E",IF(MONTH(B230)=2,"F",IF(MONTH(B230)=3,"M",IF(MONTH(B230)=4,"A",IF(MONTH(B230)=5,"M",IF(MONTH(B230)=6,"J",IF(MONTH(B230)=7,"J",IF(MONTH(B230)=8,"A",IF(MONTH(B230)=9,"S",IF(MONTH(B230)=10,"O",IF(MONTH(B230)=11,"N",IF(MONTH(B230)=12,"D","")))))))))))),"")</f>
        <v/>
      </c>
    </row>
    <row r="231" spans="1:7">
      <c r="A231">
        <v>228</v>
      </c>
      <c r="B231" s="46">
        <v>44606</v>
      </c>
      <c r="C231" s="269">
        <v>27.611176538649271</v>
      </c>
      <c r="D231" s="269">
        <v>129.94088839596503</v>
      </c>
      <c r="E231" s="177">
        <f t="shared" si="6"/>
        <v>27.611176538649271</v>
      </c>
      <c r="F231" s="199" t="str">
        <f t="shared" si="7"/>
        <v/>
      </c>
    </row>
    <row r="232" spans="1:7">
      <c r="A232">
        <v>229</v>
      </c>
      <c r="B232" s="46">
        <v>44607</v>
      </c>
      <c r="C232" s="269">
        <v>34.258890400651133</v>
      </c>
      <c r="D232" s="269">
        <v>129.94088839596503</v>
      </c>
      <c r="E232" s="177">
        <f t="shared" si="6"/>
        <v>34.258890400651133</v>
      </c>
      <c r="F232" s="199" t="str">
        <f>IF(DAY(B232)=15,IF(MONTH(B232)=1,"E",IF(MONTH(B232)=2,"F",IF(MONTH(B232)=3,"M",IF(MONTH(B232)=4,"A",IF(MONTH(B232)=5,"M",IF(MONTH(B232)=6,"J",IF(MONTH(B232)=7,"J",IF(MONTH(B232)=8,"A",IF(MONTH(B232)=9,"S",IF(MONTH(B232)=10,"O",IF(MONTH(B232)=11,"N",IF(MONTH(B232)=12,"D","")))))))))))),"")</f>
        <v>F</v>
      </c>
      <c r="G232" s="200">
        <f>IF(DAY(B232)=15,D232,"")</f>
        <v>129.94088839596503</v>
      </c>
    </row>
    <row r="233" spans="1:7">
      <c r="A233">
        <v>230</v>
      </c>
      <c r="B233" s="46">
        <v>44608</v>
      </c>
      <c r="C233" s="269">
        <v>28.749563519336924</v>
      </c>
      <c r="D233" s="269">
        <v>129.94088839596503</v>
      </c>
      <c r="E233" s="177">
        <f t="shared" si="6"/>
        <v>28.749563519336924</v>
      </c>
      <c r="F233" s="199" t="str">
        <f t="shared" si="7"/>
        <v/>
      </c>
    </row>
    <row r="234" spans="1:7">
      <c r="A234">
        <v>231</v>
      </c>
      <c r="B234" s="46">
        <v>44609</v>
      </c>
      <c r="C234" s="269">
        <v>43.197240531335062</v>
      </c>
      <c r="D234" s="269">
        <v>129.94088839596503</v>
      </c>
      <c r="E234" s="177">
        <f t="shared" si="6"/>
        <v>43.197240531335062</v>
      </c>
      <c r="F234" s="199" t="str">
        <f t="shared" si="7"/>
        <v/>
      </c>
    </row>
    <row r="235" spans="1:7">
      <c r="A235">
        <v>232</v>
      </c>
      <c r="B235" s="46">
        <v>44610</v>
      </c>
      <c r="C235" s="269">
        <v>47.718475881335998</v>
      </c>
      <c r="D235" s="269">
        <v>129.94088839596503</v>
      </c>
      <c r="E235" s="177">
        <f t="shared" si="6"/>
        <v>47.718475881335998</v>
      </c>
      <c r="F235" s="199" t="str">
        <f t="shared" si="7"/>
        <v/>
      </c>
    </row>
    <row r="236" spans="1:7">
      <c r="A236">
        <v>233</v>
      </c>
      <c r="B236" s="46">
        <v>44611</v>
      </c>
      <c r="C236" s="269">
        <v>33.988274225336923</v>
      </c>
      <c r="D236" s="269">
        <v>129.94088839596503</v>
      </c>
      <c r="E236" s="177">
        <f t="shared" si="6"/>
        <v>33.988274225336923</v>
      </c>
      <c r="F236" s="199" t="str">
        <f t="shared" si="7"/>
        <v/>
      </c>
    </row>
    <row r="237" spans="1:7">
      <c r="A237">
        <v>234</v>
      </c>
      <c r="B237" s="46">
        <v>44612</v>
      </c>
      <c r="C237" s="269">
        <v>39.823815895335997</v>
      </c>
      <c r="D237" s="269">
        <v>129.94088839596503</v>
      </c>
      <c r="E237" s="177">
        <f t="shared" si="6"/>
        <v>39.823815895335997</v>
      </c>
      <c r="F237" s="199" t="str">
        <f t="shared" si="7"/>
        <v/>
      </c>
    </row>
    <row r="238" spans="1:7">
      <c r="A238">
        <v>235</v>
      </c>
      <c r="B238" s="46">
        <v>44613</v>
      </c>
      <c r="C238" s="269">
        <v>41.68908106933786</v>
      </c>
      <c r="D238" s="269">
        <v>129.94088839596503</v>
      </c>
      <c r="E238" s="177">
        <f t="shared" si="6"/>
        <v>41.68908106933786</v>
      </c>
      <c r="F238" s="199" t="str">
        <f t="shared" si="7"/>
        <v/>
      </c>
    </row>
    <row r="239" spans="1:7">
      <c r="A239">
        <v>236</v>
      </c>
      <c r="B239" s="46">
        <v>44614</v>
      </c>
      <c r="C239" s="269">
        <v>42.155632395335061</v>
      </c>
      <c r="D239" s="269">
        <v>129.94088839596503</v>
      </c>
      <c r="E239" s="177">
        <f t="shared" si="6"/>
        <v>42.155632395335061</v>
      </c>
      <c r="F239" s="199" t="str">
        <f t="shared" si="7"/>
        <v/>
      </c>
    </row>
    <row r="240" spans="1:7">
      <c r="A240">
        <v>237</v>
      </c>
      <c r="B240" s="46">
        <v>44615</v>
      </c>
      <c r="C240" s="269">
        <v>31.339652456992443</v>
      </c>
      <c r="D240" s="269">
        <v>129.94088839596503</v>
      </c>
      <c r="E240" s="177">
        <f t="shared" si="6"/>
        <v>31.339652456992443</v>
      </c>
      <c r="F240" s="199" t="str">
        <f t="shared" si="7"/>
        <v/>
      </c>
    </row>
    <row r="241" spans="1:6">
      <c r="A241">
        <v>238</v>
      </c>
      <c r="B241" s="46">
        <v>44616</v>
      </c>
      <c r="C241" s="269">
        <v>36.859241576992439</v>
      </c>
      <c r="D241" s="269">
        <v>129.94088839596503</v>
      </c>
      <c r="E241" s="177">
        <f t="shared" si="6"/>
        <v>36.859241576992439</v>
      </c>
      <c r="F241" s="199" t="str">
        <f t="shared" si="7"/>
        <v/>
      </c>
    </row>
    <row r="242" spans="1:6">
      <c r="A242">
        <v>239</v>
      </c>
      <c r="B242" s="46">
        <v>44617</v>
      </c>
      <c r="C242" s="269">
        <v>31.293420378992444</v>
      </c>
      <c r="D242" s="269">
        <v>129.94088839596503</v>
      </c>
      <c r="E242" s="177">
        <f t="shared" si="6"/>
        <v>31.293420378992444</v>
      </c>
      <c r="F242" s="199" t="str">
        <f t="shared" si="7"/>
        <v/>
      </c>
    </row>
    <row r="243" spans="1:6">
      <c r="A243">
        <v>240</v>
      </c>
      <c r="B243" s="46">
        <v>44618</v>
      </c>
      <c r="C243" s="269">
        <v>32.225518250991513</v>
      </c>
      <c r="D243" s="269">
        <v>129.94088839596503</v>
      </c>
      <c r="E243" s="177">
        <f t="shared" si="6"/>
        <v>32.225518250991513</v>
      </c>
      <c r="F243" s="199" t="str">
        <f t="shared" si="7"/>
        <v/>
      </c>
    </row>
    <row r="244" spans="1:6">
      <c r="A244">
        <v>241</v>
      </c>
      <c r="B244" s="46">
        <v>44619</v>
      </c>
      <c r="C244" s="269">
        <v>31.636667194992441</v>
      </c>
      <c r="D244" s="269">
        <v>129.94088839596503</v>
      </c>
      <c r="E244" s="177">
        <f t="shared" si="6"/>
        <v>31.636667194992441</v>
      </c>
      <c r="F244" s="199" t="str">
        <f t="shared" si="7"/>
        <v/>
      </c>
    </row>
    <row r="245" spans="1:6">
      <c r="A245">
        <v>242</v>
      </c>
      <c r="B245" s="46">
        <v>44620</v>
      </c>
      <c r="C245" s="269">
        <v>24.663975052992441</v>
      </c>
      <c r="D245" s="269">
        <v>129.94088839596503</v>
      </c>
      <c r="E245" s="177">
        <f t="shared" si="6"/>
        <v>24.663975052992441</v>
      </c>
      <c r="F245" s="199" t="str">
        <f t="shared" si="7"/>
        <v/>
      </c>
    </row>
    <row r="246" spans="1:6">
      <c r="A246">
        <v>243</v>
      </c>
      <c r="B246" s="46">
        <v>44621</v>
      </c>
      <c r="C246" s="269">
        <v>31.211716412993372</v>
      </c>
      <c r="D246" s="269">
        <v>128.70213492494773</v>
      </c>
      <c r="E246" s="177">
        <f t="shared" si="6"/>
        <v>31.211716412993372</v>
      </c>
      <c r="F246" s="199" t="str">
        <f t="shared" si="7"/>
        <v/>
      </c>
    </row>
    <row r="247" spans="1:6">
      <c r="A247">
        <v>244</v>
      </c>
      <c r="B247" s="46">
        <v>44622</v>
      </c>
      <c r="C247" s="269">
        <v>40.57303017967331</v>
      </c>
      <c r="D247" s="269">
        <v>128.70213492494773</v>
      </c>
      <c r="E247" s="177">
        <f t="shared" si="6"/>
        <v>40.57303017967331</v>
      </c>
      <c r="F247" s="199" t="str">
        <f t="shared" si="7"/>
        <v/>
      </c>
    </row>
    <row r="248" spans="1:6">
      <c r="A248">
        <v>245</v>
      </c>
      <c r="B248" s="46">
        <v>44623</v>
      </c>
      <c r="C248" s="269">
        <v>49.097572419673313</v>
      </c>
      <c r="D248" s="269">
        <v>128.70213492494773</v>
      </c>
      <c r="E248" s="177">
        <f t="shared" si="6"/>
        <v>49.097572419673313</v>
      </c>
      <c r="F248" s="199" t="str">
        <f t="shared" si="7"/>
        <v/>
      </c>
    </row>
    <row r="249" spans="1:6">
      <c r="A249">
        <v>246</v>
      </c>
      <c r="B249" s="46">
        <v>44624</v>
      </c>
      <c r="C249" s="269">
        <v>39.132082935674248</v>
      </c>
      <c r="D249" s="269">
        <v>128.70213492494773</v>
      </c>
      <c r="E249" s="177">
        <f t="shared" si="6"/>
        <v>39.132082935674248</v>
      </c>
      <c r="F249" s="199" t="str">
        <f t="shared" si="7"/>
        <v/>
      </c>
    </row>
    <row r="250" spans="1:6">
      <c r="A250">
        <v>247</v>
      </c>
      <c r="B250" s="46">
        <v>44625</v>
      </c>
      <c r="C250" s="269">
        <v>48.696892543674245</v>
      </c>
      <c r="D250" s="269">
        <v>128.70213492494773</v>
      </c>
      <c r="E250" s="177">
        <f t="shared" si="6"/>
        <v>48.696892543674245</v>
      </c>
      <c r="F250" s="199" t="str">
        <f t="shared" si="7"/>
        <v/>
      </c>
    </row>
    <row r="251" spans="1:6">
      <c r="A251">
        <v>248</v>
      </c>
      <c r="B251" s="46">
        <v>44626</v>
      </c>
      <c r="C251" s="269">
        <v>45.562907035673312</v>
      </c>
      <c r="D251" s="269">
        <v>128.70213492494773</v>
      </c>
      <c r="E251" s="177">
        <f t="shared" si="6"/>
        <v>45.562907035673312</v>
      </c>
      <c r="F251" s="199" t="str">
        <f t="shared" si="7"/>
        <v/>
      </c>
    </row>
    <row r="252" spans="1:6">
      <c r="A252">
        <v>249</v>
      </c>
      <c r="B252" s="46">
        <v>44627</v>
      </c>
      <c r="C252" s="269">
        <v>60.436224323673322</v>
      </c>
      <c r="D252" s="269">
        <v>128.70213492494773</v>
      </c>
      <c r="E252" s="177">
        <f t="shared" si="6"/>
        <v>60.436224323673322</v>
      </c>
      <c r="F252" s="199" t="str">
        <f t="shared" si="7"/>
        <v/>
      </c>
    </row>
    <row r="253" spans="1:6">
      <c r="A253">
        <v>250</v>
      </c>
      <c r="B253" s="46">
        <v>44628</v>
      </c>
      <c r="C253" s="269">
        <v>36.773538775673316</v>
      </c>
      <c r="D253" s="269">
        <v>128.70213492494773</v>
      </c>
      <c r="E253" s="177">
        <f t="shared" si="6"/>
        <v>36.773538775673316</v>
      </c>
      <c r="F253" s="199" t="str">
        <f t="shared" si="7"/>
        <v/>
      </c>
    </row>
    <row r="254" spans="1:6">
      <c r="A254">
        <v>251</v>
      </c>
      <c r="B254" s="46">
        <v>44629</v>
      </c>
      <c r="C254" s="269">
        <v>62.022237105205562</v>
      </c>
      <c r="D254" s="269">
        <v>128.70213492494773</v>
      </c>
      <c r="E254" s="177">
        <f t="shared" si="6"/>
        <v>62.022237105205562</v>
      </c>
      <c r="F254" s="199" t="str">
        <f t="shared" si="7"/>
        <v/>
      </c>
    </row>
    <row r="255" spans="1:6">
      <c r="A255">
        <v>252</v>
      </c>
      <c r="B255" s="46">
        <v>44630</v>
      </c>
      <c r="C255" s="269">
        <v>54.58580692720556</v>
      </c>
      <c r="D255" s="269">
        <v>128.70213492494773</v>
      </c>
      <c r="E255" s="177">
        <f t="shared" si="6"/>
        <v>54.58580692720556</v>
      </c>
      <c r="F255" s="199" t="str">
        <f t="shared" si="7"/>
        <v/>
      </c>
    </row>
    <row r="256" spans="1:6">
      <c r="A256">
        <v>253</v>
      </c>
      <c r="B256" s="46">
        <v>44631</v>
      </c>
      <c r="C256" s="269">
        <v>60.39870195520556</v>
      </c>
      <c r="D256" s="269">
        <v>128.70213492494773</v>
      </c>
      <c r="E256" s="177">
        <f t="shared" si="6"/>
        <v>60.39870195520556</v>
      </c>
      <c r="F256" s="199" t="str">
        <f t="shared" si="7"/>
        <v/>
      </c>
    </row>
    <row r="257" spans="1:7">
      <c r="A257">
        <v>254</v>
      </c>
      <c r="B257" s="46">
        <v>44632</v>
      </c>
      <c r="C257" s="269">
        <v>58.957142285206494</v>
      </c>
      <c r="D257" s="269">
        <v>128.70213492494773</v>
      </c>
      <c r="E257" s="177">
        <f t="shared" si="6"/>
        <v>58.957142285206494</v>
      </c>
      <c r="F257" s="199" t="str">
        <f t="shared" si="7"/>
        <v/>
      </c>
    </row>
    <row r="258" spans="1:7">
      <c r="A258">
        <v>255</v>
      </c>
      <c r="B258" s="46">
        <v>44633</v>
      </c>
      <c r="C258" s="269">
        <v>60.333727731206494</v>
      </c>
      <c r="D258" s="269">
        <v>128.70213492494773</v>
      </c>
      <c r="E258" s="177">
        <f t="shared" si="6"/>
        <v>60.333727731206494</v>
      </c>
      <c r="F258" s="199" t="str">
        <f t="shared" si="7"/>
        <v/>
      </c>
    </row>
    <row r="259" spans="1:7">
      <c r="A259">
        <v>256</v>
      </c>
      <c r="B259" s="46">
        <v>44634</v>
      </c>
      <c r="C259" s="269">
        <v>63.452272503205563</v>
      </c>
      <c r="D259" s="269">
        <v>128.70213492494773</v>
      </c>
      <c r="E259" s="177">
        <f t="shared" si="6"/>
        <v>63.452272503205563</v>
      </c>
      <c r="F259" s="199" t="str">
        <f t="shared" si="7"/>
        <v/>
      </c>
    </row>
    <row r="260" spans="1:7">
      <c r="A260">
        <v>257</v>
      </c>
      <c r="B260" s="46">
        <v>44635</v>
      </c>
      <c r="C260" s="269">
        <v>88.496498825206487</v>
      </c>
      <c r="D260" s="269">
        <v>128.70213492494773</v>
      </c>
      <c r="E260" s="177">
        <f t="shared" ref="E260:E323" si="8">IF(C260&lt;D260,C260,D260)</f>
        <v>88.496498825206487</v>
      </c>
      <c r="F260" s="199" t="str">
        <f t="shared" ref="F260:F323" si="9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>M</v>
      </c>
      <c r="G260" s="200">
        <f>IF(DAY(B260)=15,D260,"")</f>
        <v>128.70213492494773</v>
      </c>
    </row>
    <row r="261" spans="1:7">
      <c r="A261">
        <v>258</v>
      </c>
      <c r="B261" s="46">
        <v>44636</v>
      </c>
      <c r="C261" s="269">
        <v>105.71589378317859</v>
      </c>
      <c r="D261" s="269">
        <v>128.70213492494773</v>
      </c>
      <c r="E261" s="177">
        <f t="shared" si="8"/>
        <v>105.71589378317859</v>
      </c>
      <c r="F261" s="199" t="str">
        <f>IF(DAY(B261)=15,IF(MONTH(B261)=1,"E",IF(MONTH(B261)=2,"F",IF(MONTH(B261)=3,"M",IF(MONTH(B261)=4,"A",IF(MONTH(B261)=5,"M",IF(MONTH(B261)=6,"J",IF(MONTH(B261)=7,"J",IF(MONTH(B261)=8,"A",IF(MONTH(B261)=9,"S",IF(MONTH(B261)=10,"O",IF(MONTH(B261)=11,"N",IF(MONTH(B261)=12,"D","")))))))))))),"")</f>
        <v/>
      </c>
    </row>
    <row r="262" spans="1:7">
      <c r="A262">
        <v>259</v>
      </c>
      <c r="B262" s="46">
        <v>44637</v>
      </c>
      <c r="C262" s="269">
        <v>76.264557677176725</v>
      </c>
      <c r="D262" s="269">
        <v>128.70213492494773</v>
      </c>
      <c r="E262" s="177">
        <f t="shared" si="8"/>
        <v>76.264557677176725</v>
      </c>
      <c r="F262" s="199" t="str">
        <f>IF(DAY(B262)=15,IF(MONTH(B262)=1,"E",IF(MONTH(B262)=2,"F",IF(MONTH(B262)=3,"M",IF(MONTH(B262)=4,"A",IF(MONTH(B262)=5,"M",IF(MONTH(B262)=6,"J",IF(MONTH(B262)=7,"J",IF(MONTH(B262)=8,"A",IF(MONTH(B262)=9,"S",IF(MONTH(B262)=10,"O",IF(MONTH(B262)=11,"N",IF(MONTH(B262)=12,"D","")))))))))))),"")</f>
        <v/>
      </c>
    </row>
    <row r="263" spans="1:7">
      <c r="A263">
        <v>260</v>
      </c>
      <c r="B263" s="46">
        <v>44638</v>
      </c>
      <c r="C263" s="269">
        <v>83.562964599177647</v>
      </c>
      <c r="D263" s="269">
        <v>128.70213492494773</v>
      </c>
      <c r="E263" s="177">
        <f t="shared" si="8"/>
        <v>83.562964599177647</v>
      </c>
      <c r="F263" s="199" t="str">
        <f t="shared" si="9"/>
        <v/>
      </c>
    </row>
    <row r="264" spans="1:7">
      <c r="A264">
        <v>261</v>
      </c>
      <c r="B264" s="46">
        <v>44639</v>
      </c>
      <c r="C264" s="269">
        <v>72.890805351177647</v>
      </c>
      <c r="D264" s="269">
        <v>128.70213492494773</v>
      </c>
      <c r="E264" s="177">
        <f t="shared" si="8"/>
        <v>72.890805351177647</v>
      </c>
      <c r="F264" s="199" t="str">
        <f t="shared" si="9"/>
        <v/>
      </c>
    </row>
    <row r="265" spans="1:7">
      <c r="A265">
        <v>262</v>
      </c>
      <c r="B265" s="46">
        <v>44640</v>
      </c>
      <c r="C265" s="269">
        <v>63.217655083177654</v>
      </c>
      <c r="D265" s="269">
        <v>128.70213492494773</v>
      </c>
      <c r="E265" s="177">
        <f t="shared" si="8"/>
        <v>63.217655083177654</v>
      </c>
      <c r="F265" s="199" t="str">
        <f t="shared" si="9"/>
        <v/>
      </c>
    </row>
    <row r="266" spans="1:7">
      <c r="A266">
        <v>263</v>
      </c>
      <c r="B266" s="46">
        <v>44641</v>
      </c>
      <c r="C266" s="269">
        <v>64.287039147177651</v>
      </c>
      <c r="D266" s="269">
        <v>128.70213492494773</v>
      </c>
      <c r="E266" s="177">
        <f t="shared" si="8"/>
        <v>64.287039147177651</v>
      </c>
      <c r="F266" s="199" t="str">
        <f t="shared" si="9"/>
        <v/>
      </c>
    </row>
    <row r="267" spans="1:7">
      <c r="A267">
        <v>264</v>
      </c>
      <c r="B267" s="46">
        <v>44642</v>
      </c>
      <c r="C267" s="269">
        <v>71.233800761177662</v>
      </c>
      <c r="D267" s="269">
        <v>128.70213492494773</v>
      </c>
      <c r="E267" s="177">
        <f t="shared" si="8"/>
        <v>71.233800761177662</v>
      </c>
      <c r="F267" s="199" t="str">
        <f t="shared" si="9"/>
        <v/>
      </c>
    </row>
    <row r="268" spans="1:7">
      <c r="A268">
        <v>265</v>
      </c>
      <c r="B268" s="46">
        <v>44643</v>
      </c>
      <c r="C268" s="269">
        <v>96.300871922288962</v>
      </c>
      <c r="D268" s="269">
        <v>128.70213492494773</v>
      </c>
      <c r="E268" s="177">
        <f t="shared" si="8"/>
        <v>96.300871922288962</v>
      </c>
      <c r="F268" s="199" t="str">
        <f t="shared" si="9"/>
        <v/>
      </c>
    </row>
    <row r="269" spans="1:7">
      <c r="A269">
        <v>266</v>
      </c>
      <c r="B269" s="46">
        <v>44644</v>
      </c>
      <c r="C269" s="269">
        <v>108.53630518828989</v>
      </c>
      <c r="D269" s="269">
        <v>128.70213492494773</v>
      </c>
      <c r="E269" s="177">
        <f t="shared" si="8"/>
        <v>108.53630518828989</v>
      </c>
      <c r="F269" s="199" t="str">
        <f t="shared" si="9"/>
        <v/>
      </c>
    </row>
    <row r="270" spans="1:7">
      <c r="A270">
        <v>267</v>
      </c>
      <c r="B270" s="46">
        <v>44645</v>
      </c>
      <c r="C270" s="269">
        <v>101.10625637829081</v>
      </c>
      <c r="D270" s="269">
        <v>128.70213492494773</v>
      </c>
      <c r="E270" s="177">
        <f t="shared" si="8"/>
        <v>101.10625637829081</v>
      </c>
      <c r="F270" s="199" t="str">
        <f t="shared" si="9"/>
        <v/>
      </c>
    </row>
    <row r="271" spans="1:7">
      <c r="A271">
        <v>268</v>
      </c>
      <c r="B271" s="46">
        <v>44646</v>
      </c>
      <c r="C271" s="269">
        <v>96.942868272288962</v>
      </c>
      <c r="D271" s="269">
        <v>128.70213492494773</v>
      </c>
      <c r="E271" s="177">
        <f t="shared" si="8"/>
        <v>96.942868272288962</v>
      </c>
      <c r="F271" s="199" t="str">
        <f t="shared" si="9"/>
        <v/>
      </c>
    </row>
    <row r="272" spans="1:7">
      <c r="A272">
        <v>269</v>
      </c>
      <c r="B272" s="46">
        <v>44647</v>
      </c>
      <c r="C272" s="269">
        <v>76.312869546289875</v>
      </c>
      <c r="D272" s="269">
        <v>128.70213492494773</v>
      </c>
      <c r="E272" s="177">
        <f t="shared" si="8"/>
        <v>76.312869546289875</v>
      </c>
      <c r="F272" s="199" t="str">
        <f t="shared" si="9"/>
        <v/>
      </c>
    </row>
    <row r="273" spans="1:6">
      <c r="A273">
        <v>270</v>
      </c>
      <c r="B273" s="46">
        <v>44648</v>
      </c>
      <c r="C273" s="269">
        <v>87.289832582288952</v>
      </c>
      <c r="D273" s="269">
        <v>128.70213492494773</v>
      </c>
      <c r="E273" s="177">
        <f t="shared" si="8"/>
        <v>87.289832582288952</v>
      </c>
      <c r="F273" s="199" t="str">
        <f t="shared" si="9"/>
        <v/>
      </c>
    </row>
    <row r="274" spans="1:6">
      <c r="A274">
        <v>271</v>
      </c>
      <c r="B274" s="46">
        <v>44649</v>
      </c>
      <c r="C274" s="269">
        <v>99.370696372289885</v>
      </c>
      <c r="D274" s="269">
        <v>128.70213492494773</v>
      </c>
      <c r="E274" s="177">
        <f t="shared" si="8"/>
        <v>99.370696372289885</v>
      </c>
      <c r="F274" s="199" t="str">
        <f t="shared" si="9"/>
        <v/>
      </c>
    </row>
    <row r="275" spans="1:6">
      <c r="A275">
        <v>272</v>
      </c>
      <c r="B275" s="46">
        <v>44650</v>
      </c>
      <c r="C275" s="269">
        <v>76.106027651458618</v>
      </c>
      <c r="D275" s="269">
        <v>128.70213492494773</v>
      </c>
      <c r="E275" s="177">
        <f t="shared" si="8"/>
        <v>76.106027651458618</v>
      </c>
      <c r="F275" s="199" t="str">
        <f t="shared" si="9"/>
        <v/>
      </c>
    </row>
    <row r="276" spans="1:6">
      <c r="A276">
        <v>273</v>
      </c>
      <c r="B276" s="46">
        <v>44651</v>
      </c>
      <c r="C276" s="269">
        <v>77.720048207456756</v>
      </c>
      <c r="D276" s="269">
        <v>128.70213492494773</v>
      </c>
      <c r="E276" s="177">
        <f t="shared" si="8"/>
        <v>77.720048207456756</v>
      </c>
      <c r="F276" s="199" t="str">
        <f t="shared" si="9"/>
        <v/>
      </c>
    </row>
    <row r="277" spans="1:6">
      <c r="A277">
        <v>274</v>
      </c>
      <c r="B277" s="46">
        <v>44652</v>
      </c>
      <c r="C277" s="269">
        <v>78.839873601457683</v>
      </c>
      <c r="D277" s="269">
        <v>125.24455872987446</v>
      </c>
      <c r="E277" s="177">
        <f t="shared" si="8"/>
        <v>78.839873601457683</v>
      </c>
      <c r="F277" s="199" t="str">
        <f t="shared" si="9"/>
        <v/>
      </c>
    </row>
    <row r="278" spans="1:6">
      <c r="A278">
        <v>275</v>
      </c>
      <c r="B278" s="46">
        <v>44653</v>
      </c>
      <c r="C278" s="269">
        <v>63.046450265456755</v>
      </c>
      <c r="D278" s="269">
        <v>125.24455872987446</v>
      </c>
      <c r="E278" s="177">
        <f t="shared" si="8"/>
        <v>63.046450265456755</v>
      </c>
      <c r="F278" s="199" t="str">
        <f t="shared" si="9"/>
        <v/>
      </c>
    </row>
    <row r="279" spans="1:6">
      <c r="A279">
        <v>276</v>
      </c>
      <c r="B279" s="46">
        <v>44654</v>
      </c>
      <c r="C279" s="269">
        <v>52.072992857457685</v>
      </c>
      <c r="D279" s="269">
        <v>125.24455872987446</v>
      </c>
      <c r="E279" s="177">
        <f t="shared" si="8"/>
        <v>52.072992857457685</v>
      </c>
      <c r="F279" s="199" t="str">
        <f t="shared" si="9"/>
        <v/>
      </c>
    </row>
    <row r="280" spans="1:6">
      <c r="A280">
        <v>277</v>
      </c>
      <c r="B280" s="46">
        <v>44655</v>
      </c>
      <c r="C280" s="269">
        <v>70.839746007457691</v>
      </c>
      <c r="D280" s="269">
        <v>125.24455872987446</v>
      </c>
      <c r="E280" s="177">
        <f t="shared" si="8"/>
        <v>70.839746007457691</v>
      </c>
      <c r="F280" s="199" t="str">
        <f t="shared" si="9"/>
        <v/>
      </c>
    </row>
    <row r="281" spans="1:6">
      <c r="A281">
        <v>278</v>
      </c>
      <c r="B281" s="46">
        <v>44656</v>
      </c>
      <c r="C281" s="269">
        <v>95.355469031456749</v>
      </c>
      <c r="D281" s="269">
        <v>125.24455872987446</v>
      </c>
      <c r="E281" s="177">
        <f t="shared" si="8"/>
        <v>95.355469031456749</v>
      </c>
      <c r="F281" s="199" t="str">
        <f t="shared" si="9"/>
        <v/>
      </c>
    </row>
    <row r="282" spans="1:6">
      <c r="A282">
        <v>279</v>
      </c>
      <c r="B282" s="46">
        <v>44657</v>
      </c>
      <c r="C282" s="269">
        <v>75.585592753457234</v>
      </c>
      <c r="D282" s="269">
        <v>125.24455872987446</v>
      </c>
      <c r="E282" s="177">
        <f t="shared" si="8"/>
        <v>75.585592753457234</v>
      </c>
      <c r="F282" s="199" t="str">
        <f t="shared" si="9"/>
        <v/>
      </c>
    </row>
    <row r="283" spans="1:6">
      <c r="A283">
        <v>280</v>
      </c>
      <c r="B283" s="46">
        <v>44658</v>
      </c>
      <c r="C283" s="269">
        <v>55.244623899457231</v>
      </c>
      <c r="D283" s="269">
        <v>125.24455872987446</v>
      </c>
      <c r="E283" s="177">
        <f t="shared" si="8"/>
        <v>55.244623899457231</v>
      </c>
      <c r="F283" s="199" t="str">
        <f t="shared" si="9"/>
        <v/>
      </c>
    </row>
    <row r="284" spans="1:6">
      <c r="A284">
        <v>281</v>
      </c>
      <c r="B284" s="46">
        <v>44659</v>
      </c>
      <c r="C284" s="269">
        <v>51.797464833460026</v>
      </c>
      <c r="D284" s="269">
        <v>125.24455872987446</v>
      </c>
      <c r="E284" s="177">
        <f t="shared" si="8"/>
        <v>51.797464833460026</v>
      </c>
      <c r="F284" s="199" t="str">
        <f t="shared" si="9"/>
        <v/>
      </c>
    </row>
    <row r="285" spans="1:6">
      <c r="A285">
        <v>282</v>
      </c>
      <c r="B285" s="46">
        <v>44660</v>
      </c>
      <c r="C285" s="269">
        <v>69.802486067457238</v>
      </c>
      <c r="D285" s="269">
        <v>125.24455872987446</v>
      </c>
      <c r="E285" s="177">
        <f t="shared" si="8"/>
        <v>69.802486067457238</v>
      </c>
      <c r="F285" s="199" t="str">
        <f t="shared" si="9"/>
        <v/>
      </c>
    </row>
    <row r="286" spans="1:6">
      <c r="A286">
        <v>283</v>
      </c>
      <c r="B286" s="46">
        <v>44661</v>
      </c>
      <c r="C286" s="269">
        <v>39.923223189456301</v>
      </c>
      <c r="D286" s="269">
        <v>125.24455872987446</v>
      </c>
      <c r="E286" s="177">
        <f t="shared" si="8"/>
        <v>39.923223189456301</v>
      </c>
      <c r="F286" s="199" t="str">
        <f t="shared" si="9"/>
        <v/>
      </c>
    </row>
    <row r="287" spans="1:6">
      <c r="A287">
        <v>284</v>
      </c>
      <c r="B287" s="46">
        <v>44662</v>
      </c>
      <c r="C287" s="269">
        <v>45.800387089458162</v>
      </c>
      <c r="D287" s="269">
        <v>125.24455872987446</v>
      </c>
      <c r="E287" s="177">
        <f t="shared" si="8"/>
        <v>45.800387089458162</v>
      </c>
      <c r="F287" s="199" t="str">
        <f t="shared" si="9"/>
        <v/>
      </c>
    </row>
    <row r="288" spans="1:6">
      <c r="A288">
        <v>285</v>
      </c>
      <c r="B288" s="46">
        <v>44663</v>
      </c>
      <c r="C288" s="269">
        <v>72.032842325457224</v>
      </c>
      <c r="D288" s="269">
        <v>125.24455872987446</v>
      </c>
      <c r="E288" s="177">
        <f t="shared" si="8"/>
        <v>72.032842325457224</v>
      </c>
      <c r="F288" s="199" t="str">
        <f t="shared" si="9"/>
        <v/>
      </c>
    </row>
    <row r="289" spans="1:7">
      <c r="A289">
        <v>286</v>
      </c>
      <c r="B289" s="46">
        <v>44664</v>
      </c>
      <c r="C289" s="269">
        <v>95.962773481449176</v>
      </c>
      <c r="D289" s="269">
        <v>125.24455872987446</v>
      </c>
      <c r="E289" s="177">
        <f t="shared" si="8"/>
        <v>95.962773481449176</v>
      </c>
      <c r="F289" s="199" t="str">
        <f t="shared" si="9"/>
        <v/>
      </c>
    </row>
    <row r="290" spans="1:7">
      <c r="A290">
        <v>287</v>
      </c>
      <c r="B290" s="46">
        <v>44665</v>
      </c>
      <c r="C290" s="269">
        <v>80.326796453449177</v>
      </c>
      <c r="D290" s="269">
        <v>125.24455872987446</v>
      </c>
      <c r="E290" s="177">
        <f t="shared" si="8"/>
        <v>80.326796453449177</v>
      </c>
      <c r="F290" s="199" t="str">
        <f>IF(DAY(B290)=15,IF(MONTH(B290)=1,"E",IF(MONTH(B290)=2,"F",IF(MONTH(B290)=3,"M",IF(MONTH(B290)=4,"A",IF(MONTH(B290)=5,"M",IF(MONTH(B290)=6,"J",IF(MONTH(B290)=7,"J",IF(MONTH(B290)=8,"A",IF(MONTH(B290)=9,"S",IF(MONTH(B290)=10,"O",IF(MONTH(B290)=11,"N",IF(MONTH(B290)=12,"D","")))))))))))),"")</f>
        <v/>
      </c>
    </row>
    <row r="291" spans="1:7">
      <c r="A291">
        <v>288</v>
      </c>
      <c r="B291" s="46">
        <v>44666</v>
      </c>
      <c r="C291" s="269">
        <v>73.794778233448241</v>
      </c>
      <c r="D291" s="269">
        <v>125.24455872987446</v>
      </c>
      <c r="E291" s="177">
        <f t="shared" si="8"/>
        <v>73.794778233448241</v>
      </c>
      <c r="F291" s="199" t="str">
        <f>IF(DAY(B291)=15,IF(MONTH(B291)=1,"E",IF(MONTH(B291)=2,"F",IF(MONTH(B291)=3,"M",IF(MONTH(B291)=4,"A",IF(MONTH(B291)=5,"M",IF(MONTH(B291)=6,"J",IF(MONTH(B291)=7,"J",IF(MONTH(B291)=8,"A",IF(MONTH(B291)=9,"S",IF(MONTH(B291)=10,"O",IF(MONTH(B291)=11,"N",IF(MONTH(B291)=12,"D","")))))))))))),"")</f>
        <v>A</v>
      </c>
      <c r="G291" s="200">
        <f>IF(DAY(B291)=15,D291,"")</f>
        <v>125.24455872987446</v>
      </c>
    </row>
    <row r="292" spans="1:7">
      <c r="A292">
        <v>289</v>
      </c>
      <c r="B292" s="46">
        <v>44667</v>
      </c>
      <c r="C292" s="269">
        <v>64.55082363744917</v>
      </c>
      <c r="D292" s="269">
        <v>125.24455872987446</v>
      </c>
      <c r="E292" s="177">
        <f t="shared" si="8"/>
        <v>64.55082363744917</v>
      </c>
      <c r="F292" s="199" t="str">
        <f t="shared" si="9"/>
        <v/>
      </c>
    </row>
    <row r="293" spans="1:7">
      <c r="A293">
        <v>290</v>
      </c>
      <c r="B293" s="46">
        <v>44668</v>
      </c>
      <c r="C293" s="269">
        <v>71.875160119449163</v>
      </c>
      <c r="D293" s="269">
        <v>125.24455872987446</v>
      </c>
      <c r="E293" s="177">
        <f t="shared" si="8"/>
        <v>71.875160119449163</v>
      </c>
      <c r="F293" s="199" t="str">
        <f>IF(DAY(B293)=15,IF(MONTH(B293)=1,"E",IF(MONTH(B293)=2,"F",IF(MONTH(B293)=3,"M",IF(MONTH(B293)=4,"A",IF(MONTH(B293)=5,"M",IF(MONTH(B293)=6,"J",IF(MONTH(B293)=7,"J",IF(MONTH(B293)=8,"A",IF(MONTH(B293)=9,"S",IF(MONTH(B293)=10,"O",IF(MONTH(B293)=11,"N",IF(MONTH(B293)=12,"D","")))))))))))),"")</f>
        <v/>
      </c>
    </row>
    <row r="294" spans="1:7">
      <c r="A294">
        <v>291</v>
      </c>
      <c r="B294" s="46">
        <v>44669</v>
      </c>
      <c r="C294" s="269">
        <v>78.589104269448228</v>
      </c>
      <c r="D294" s="269">
        <v>125.24455872987446</v>
      </c>
      <c r="E294" s="177">
        <f t="shared" si="8"/>
        <v>78.589104269448228</v>
      </c>
      <c r="F294" s="199" t="str">
        <f t="shared" si="9"/>
        <v/>
      </c>
    </row>
    <row r="295" spans="1:7">
      <c r="A295">
        <v>292</v>
      </c>
      <c r="B295" s="46">
        <v>44670</v>
      </c>
      <c r="C295" s="269">
        <v>82.199800059450112</v>
      </c>
      <c r="D295" s="269">
        <v>125.24455872987446</v>
      </c>
      <c r="E295" s="177">
        <f t="shared" si="8"/>
        <v>82.199800059450112</v>
      </c>
      <c r="F295" s="199" t="str">
        <f t="shared" si="9"/>
        <v/>
      </c>
    </row>
    <row r="296" spans="1:7">
      <c r="A296">
        <v>293</v>
      </c>
      <c r="B296" s="46">
        <v>44671</v>
      </c>
      <c r="C296" s="269">
        <v>90.743445421669946</v>
      </c>
      <c r="D296" s="269">
        <v>125.24455872987446</v>
      </c>
      <c r="E296" s="177">
        <f t="shared" si="8"/>
        <v>90.743445421669946</v>
      </c>
      <c r="F296" s="199" t="str">
        <f t="shared" si="9"/>
        <v/>
      </c>
    </row>
    <row r="297" spans="1:7">
      <c r="A297">
        <v>294</v>
      </c>
      <c r="B297" s="46">
        <v>44672</v>
      </c>
      <c r="C297" s="269">
        <v>106.76173008966995</v>
      </c>
      <c r="D297" s="269">
        <v>125.24455872987446</v>
      </c>
      <c r="E297" s="177">
        <f t="shared" si="8"/>
        <v>106.76173008966995</v>
      </c>
      <c r="F297" s="199" t="str">
        <f t="shared" si="9"/>
        <v/>
      </c>
    </row>
    <row r="298" spans="1:7">
      <c r="A298">
        <v>295</v>
      </c>
      <c r="B298" s="46">
        <v>44673</v>
      </c>
      <c r="C298" s="269">
        <v>109.09790919367089</v>
      </c>
      <c r="D298" s="269">
        <v>125.24455872987446</v>
      </c>
      <c r="E298" s="177">
        <f t="shared" si="8"/>
        <v>109.09790919367089</v>
      </c>
      <c r="F298" s="199" t="str">
        <f t="shared" si="9"/>
        <v/>
      </c>
    </row>
    <row r="299" spans="1:7">
      <c r="A299">
        <v>296</v>
      </c>
      <c r="B299" s="46">
        <v>44674</v>
      </c>
      <c r="C299" s="269">
        <v>78.608218011670886</v>
      </c>
      <c r="D299" s="269">
        <v>125.24455872987446</v>
      </c>
      <c r="E299" s="177">
        <f t="shared" si="8"/>
        <v>78.608218011670886</v>
      </c>
      <c r="F299" s="199" t="str">
        <f t="shared" si="9"/>
        <v/>
      </c>
    </row>
    <row r="300" spans="1:7">
      <c r="A300">
        <v>297</v>
      </c>
      <c r="B300" s="46">
        <v>44675</v>
      </c>
      <c r="C300" s="269">
        <v>90.865217781669955</v>
      </c>
      <c r="D300" s="269">
        <v>125.24455872987446</v>
      </c>
      <c r="E300" s="177">
        <f t="shared" si="8"/>
        <v>90.865217781669955</v>
      </c>
      <c r="F300" s="199" t="str">
        <f t="shared" si="9"/>
        <v/>
      </c>
    </row>
    <row r="301" spans="1:7">
      <c r="A301">
        <v>298</v>
      </c>
      <c r="B301" s="46">
        <v>44676</v>
      </c>
      <c r="C301" s="269">
        <v>100.78672183766902</v>
      </c>
      <c r="D301" s="269">
        <v>125.24455872987446</v>
      </c>
      <c r="E301" s="177">
        <f t="shared" si="8"/>
        <v>100.78672183766902</v>
      </c>
      <c r="F301" s="199" t="str">
        <f t="shared" si="9"/>
        <v/>
      </c>
    </row>
    <row r="302" spans="1:7">
      <c r="A302">
        <v>299</v>
      </c>
      <c r="B302" s="46">
        <v>44677</v>
      </c>
      <c r="C302" s="269">
        <v>103.82701329367089</v>
      </c>
      <c r="D302" s="269">
        <v>125.24455872987446</v>
      </c>
      <c r="E302" s="177">
        <f t="shared" si="8"/>
        <v>103.82701329367089</v>
      </c>
      <c r="F302" s="199" t="str">
        <f t="shared" si="9"/>
        <v/>
      </c>
    </row>
    <row r="303" spans="1:7">
      <c r="A303">
        <v>300</v>
      </c>
      <c r="B303" s="46">
        <v>44678</v>
      </c>
      <c r="C303" s="269">
        <v>98.870202420552701</v>
      </c>
      <c r="D303" s="269">
        <v>125.24455872987446</v>
      </c>
      <c r="E303" s="177">
        <f t="shared" si="8"/>
        <v>98.870202420552701</v>
      </c>
      <c r="F303" s="199" t="str">
        <f t="shared" si="9"/>
        <v/>
      </c>
    </row>
    <row r="304" spans="1:7">
      <c r="A304">
        <v>301</v>
      </c>
      <c r="B304" s="46">
        <v>44679</v>
      </c>
      <c r="C304" s="269">
        <v>113.83576418455084</v>
      </c>
      <c r="D304" s="269">
        <v>125.24455872987446</v>
      </c>
      <c r="E304" s="177">
        <f t="shared" si="8"/>
        <v>113.83576418455084</v>
      </c>
      <c r="F304" s="199" t="str">
        <f t="shared" si="9"/>
        <v/>
      </c>
    </row>
    <row r="305" spans="1:6">
      <c r="A305">
        <v>302</v>
      </c>
      <c r="B305" s="46">
        <v>44680</v>
      </c>
      <c r="C305" s="269">
        <v>117.61099088055269</v>
      </c>
      <c r="D305" s="269">
        <v>125.24455872987446</v>
      </c>
      <c r="E305" s="177">
        <f t="shared" si="8"/>
        <v>117.61099088055269</v>
      </c>
      <c r="F305" s="199" t="str">
        <f t="shared" si="9"/>
        <v/>
      </c>
    </row>
    <row r="306" spans="1:6">
      <c r="A306">
        <v>303</v>
      </c>
      <c r="B306" s="46">
        <v>44681</v>
      </c>
      <c r="C306" s="269">
        <v>104.52050493055363</v>
      </c>
      <c r="D306" s="269">
        <v>125.24455872987446</v>
      </c>
      <c r="E306" s="177">
        <f t="shared" si="8"/>
        <v>104.52050493055363</v>
      </c>
      <c r="F306" s="199" t="str">
        <f t="shared" si="9"/>
        <v/>
      </c>
    </row>
    <row r="307" spans="1:6">
      <c r="A307">
        <v>304</v>
      </c>
      <c r="B307" s="46">
        <v>44682</v>
      </c>
      <c r="C307" s="269">
        <v>82.959294126549906</v>
      </c>
      <c r="D307" s="269">
        <v>99.174715760964361</v>
      </c>
      <c r="E307" s="177">
        <f t="shared" si="8"/>
        <v>82.959294126549906</v>
      </c>
      <c r="F307" s="199" t="str">
        <f t="shared" si="9"/>
        <v/>
      </c>
    </row>
    <row r="308" spans="1:6">
      <c r="A308">
        <v>305</v>
      </c>
      <c r="B308" s="46">
        <v>44683</v>
      </c>
      <c r="C308" s="269">
        <v>91.021933052553635</v>
      </c>
      <c r="D308" s="269">
        <v>99.174715760964361</v>
      </c>
      <c r="E308" s="177">
        <f t="shared" si="8"/>
        <v>91.021933052553635</v>
      </c>
      <c r="F308" s="199" t="str">
        <f t="shared" si="9"/>
        <v/>
      </c>
    </row>
    <row r="309" spans="1:6">
      <c r="A309">
        <v>306</v>
      </c>
      <c r="B309" s="46">
        <v>44684</v>
      </c>
      <c r="C309" s="269">
        <v>110.8805439485527</v>
      </c>
      <c r="D309" s="269">
        <v>99.174715760964361</v>
      </c>
      <c r="E309" s="177">
        <f t="shared" si="8"/>
        <v>99.174715760964361</v>
      </c>
      <c r="F309" s="199" t="str">
        <f t="shared" si="9"/>
        <v/>
      </c>
    </row>
    <row r="310" spans="1:6">
      <c r="A310">
        <v>307</v>
      </c>
      <c r="B310" s="46">
        <v>44685</v>
      </c>
      <c r="C310" s="269">
        <v>107.11517597630744</v>
      </c>
      <c r="D310" s="269">
        <v>99.174715760964361</v>
      </c>
      <c r="E310" s="177">
        <f t="shared" si="8"/>
        <v>99.174715760964361</v>
      </c>
      <c r="F310" s="199" t="str">
        <f t="shared" si="9"/>
        <v/>
      </c>
    </row>
    <row r="311" spans="1:6">
      <c r="A311">
        <v>308</v>
      </c>
      <c r="B311" s="46">
        <v>44686</v>
      </c>
      <c r="C311" s="269">
        <v>86.649732152306498</v>
      </c>
      <c r="D311" s="269">
        <v>99.174715760964361</v>
      </c>
      <c r="E311" s="177">
        <f t="shared" si="8"/>
        <v>86.649732152306498</v>
      </c>
      <c r="F311" s="199" t="str">
        <f t="shared" si="9"/>
        <v/>
      </c>
    </row>
    <row r="312" spans="1:6">
      <c r="A312">
        <v>309</v>
      </c>
      <c r="B312" s="46">
        <v>44687</v>
      </c>
      <c r="C312" s="269">
        <v>68.948401436307435</v>
      </c>
      <c r="D312" s="269">
        <v>99.174715760964361</v>
      </c>
      <c r="E312" s="177">
        <f t="shared" si="8"/>
        <v>68.948401436307435</v>
      </c>
      <c r="F312" s="199" t="str">
        <f t="shared" si="9"/>
        <v/>
      </c>
    </row>
    <row r="313" spans="1:6">
      <c r="A313">
        <v>310</v>
      </c>
      <c r="B313" s="46">
        <v>44688</v>
      </c>
      <c r="C313" s="269">
        <v>72.468294806305579</v>
      </c>
      <c r="D313" s="269">
        <v>99.174715760964361</v>
      </c>
      <c r="E313" s="177">
        <f t="shared" si="8"/>
        <v>72.468294806305579</v>
      </c>
      <c r="F313" s="199" t="str">
        <f t="shared" si="9"/>
        <v/>
      </c>
    </row>
    <row r="314" spans="1:6">
      <c r="A314">
        <v>311</v>
      </c>
      <c r="B314" s="46">
        <v>44689</v>
      </c>
      <c r="C314" s="269">
        <v>64.690423066308369</v>
      </c>
      <c r="D314" s="269">
        <v>99.174715760964361</v>
      </c>
      <c r="E314" s="177">
        <f t="shared" si="8"/>
        <v>64.690423066308369</v>
      </c>
      <c r="F314" s="199" t="str">
        <f t="shared" si="9"/>
        <v/>
      </c>
    </row>
    <row r="315" spans="1:6">
      <c r="A315">
        <v>312</v>
      </c>
      <c r="B315" s="46">
        <v>44690</v>
      </c>
      <c r="C315" s="269">
        <v>79.107121340306506</v>
      </c>
      <c r="D315" s="269">
        <v>99.174715760964361</v>
      </c>
      <c r="E315" s="177">
        <f t="shared" si="8"/>
        <v>79.107121340306506</v>
      </c>
      <c r="F315" s="199" t="str">
        <f t="shared" si="9"/>
        <v/>
      </c>
    </row>
    <row r="316" spans="1:6">
      <c r="A316">
        <v>313</v>
      </c>
      <c r="B316" s="46">
        <v>44691</v>
      </c>
      <c r="C316" s="269">
        <v>83.215861604307449</v>
      </c>
      <c r="D316" s="269">
        <v>99.174715760964361</v>
      </c>
      <c r="E316" s="177">
        <f t="shared" si="8"/>
        <v>83.215861604307449</v>
      </c>
      <c r="F316" s="199" t="str">
        <f t="shared" si="9"/>
        <v/>
      </c>
    </row>
    <row r="317" spans="1:6">
      <c r="A317">
        <v>314</v>
      </c>
      <c r="B317" s="46">
        <v>44692</v>
      </c>
      <c r="C317" s="269">
        <v>64.301127028005027</v>
      </c>
      <c r="D317" s="269">
        <v>99.174715760964361</v>
      </c>
      <c r="E317" s="177">
        <f t="shared" si="8"/>
        <v>64.301127028005027</v>
      </c>
      <c r="F317" s="199" t="str">
        <f t="shared" si="9"/>
        <v/>
      </c>
    </row>
    <row r="318" spans="1:6">
      <c r="A318">
        <v>315</v>
      </c>
      <c r="B318" s="46">
        <v>44693</v>
      </c>
      <c r="C318" s="269">
        <v>54.710969084005946</v>
      </c>
      <c r="D318" s="269">
        <v>99.174715760964361</v>
      </c>
      <c r="E318" s="177">
        <f t="shared" si="8"/>
        <v>54.710969084005946</v>
      </c>
      <c r="F318" s="199" t="str">
        <f t="shared" si="9"/>
        <v/>
      </c>
    </row>
    <row r="319" spans="1:6">
      <c r="A319">
        <v>316</v>
      </c>
      <c r="B319" s="46">
        <v>44694</v>
      </c>
      <c r="C319" s="269">
        <v>61.459500572005027</v>
      </c>
      <c r="D319" s="269">
        <v>99.174715760964361</v>
      </c>
      <c r="E319" s="177">
        <f t="shared" si="8"/>
        <v>61.459500572005027</v>
      </c>
      <c r="F319" s="199" t="str">
        <f t="shared" si="9"/>
        <v/>
      </c>
    </row>
    <row r="320" spans="1:6">
      <c r="A320">
        <v>317</v>
      </c>
      <c r="B320" s="46">
        <v>44695</v>
      </c>
      <c r="C320" s="269">
        <v>39.984898944004087</v>
      </c>
      <c r="D320" s="269">
        <v>99.174715760964361</v>
      </c>
      <c r="E320" s="177">
        <f t="shared" si="8"/>
        <v>39.984898944004087</v>
      </c>
      <c r="F320" s="199" t="str">
        <f t="shared" si="9"/>
        <v/>
      </c>
    </row>
    <row r="321" spans="1:7">
      <c r="A321">
        <v>318</v>
      </c>
      <c r="B321" s="46">
        <v>44696</v>
      </c>
      <c r="C321" s="269">
        <v>39.059384080005948</v>
      </c>
      <c r="D321" s="269">
        <v>99.174715760964361</v>
      </c>
      <c r="E321" s="177">
        <f t="shared" si="8"/>
        <v>39.059384080005948</v>
      </c>
      <c r="F321" s="199" t="str">
        <f>IF(DAY(B321)=15,IF(MONTH(B321)=1,"E",IF(MONTH(B321)=2,"F",IF(MONTH(B321)=3,"M",IF(MONTH(B321)=4,"A",IF(MONTH(B321)=5,"M",IF(MONTH(B321)=6,"J",IF(MONTH(B321)=7,"J",IF(MONTH(B321)=8,"A",IF(MONTH(B321)=9,"S",IF(MONTH(B321)=10,"O",IF(MONTH(B321)=11,"N",IF(MONTH(B321)=12,"D","")))))))))))),"")</f>
        <v>M</v>
      </c>
      <c r="G321" s="200">
        <f>IF(DAY(B321)=15,D321,"")</f>
        <v>99.174715760964361</v>
      </c>
    </row>
    <row r="322" spans="1:7">
      <c r="A322">
        <v>319</v>
      </c>
      <c r="B322" s="46">
        <v>44697</v>
      </c>
      <c r="C322" s="269">
        <v>49.069294322006876</v>
      </c>
      <c r="D322" s="269">
        <v>99.174715760964361</v>
      </c>
      <c r="E322" s="177">
        <f t="shared" si="8"/>
        <v>49.069294322006876</v>
      </c>
      <c r="F322" s="199" t="str">
        <f t="shared" si="9"/>
        <v/>
      </c>
    </row>
    <row r="323" spans="1:7">
      <c r="A323">
        <v>320</v>
      </c>
      <c r="B323" s="46">
        <v>44698</v>
      </c>
      <c r="C323" s="269">
        <v>51.632073812005018</v>
      </c>
      <c r="D323" s="269">
        <v>99.174715760964361</v>
      </c>
      <c r="E323" s="177">
        <f t="shared" si="8"/>
        <v>51.632073812005018</v>
      </c>
      <c r="F323" s="199" t="str">
        <f t="shared" si="9"/>
        <v/>
      </c>
    </row>
    <row r="324" spans="1:7">
      <c r="A324">
        <v>321</v>
      </c>
      <c r="B324" s="46">
        <v>44699</v>
      </c>
      <c r="C324" s="269">
        <v>61.044502312259816</v>
      </c>
      <c r="D324" s="269">
        <v>99.174715760964361</v>
      </c>
      <c r="E324" s="177">
        <f t="shared" ref="E324:E387" si="10">IF(C324&lt;D324,C324,D324)</f>
        <v>61.044502312259816</v>
      </c>
      <c r="F324" s="199" t="str">
        <f t="shared" ref="F324:F387" si="11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7">
      <c r="A325">
        <v>322</v>
      </c>
      <c r="B325" s="46">
        <v>44700</v>
      </c>
      <c r="C325" s="269">
        <v>65.046981836259818</v>
      </c>
      <c r="D325" s="269">
        <v>99.174715760964361</v>
      </c>
      <c r="E325" s="177">
        <f t="shared" si="10"/>
        <v>65.046981836259818</v>
      </c>
      <c r="F325" s="199" t="str">
        <f t="shared" si="11"/>
        <v/>
      </c>
    </row>
    <row r="326" spans="1:7">
      <c r="A326">
        <v>323</v>
      </c>
      <c r="B326" s="46">
        <v>44701</v>
      </c>
      <c r="C326" s="269">
        <v>61.973451656260742</v>
      </c>
      <c r="D326" s="269">
        <v>99.174715760964361</v>
      </c>
      <c r="E326" s="177">
        <f t="shared" si="10"/>
        <v>61.973451656260742</v>
      </c>
      <c r="F326" s="199" t="str">
        <f t="shared" si="11"/>
        <v/>
      </c>
    </row>
    <row r="327" spans="1:7">
      <c r="A327">
        <v>324</v>
      </c>
      <c r="B327" s="46">
        <v>44702</v>
      </c>
      <c r="C327" s="269">
        <v>57.66031306425981</v>
      </c>
      <c r="D327" s="269">
        <v>99.174715760964361</v>
      </c>
      <c r="E327" s="177">
        <f t="shared" si="10"/>
        <v>57.66031306425981</v>
      </c>
      <c r="F327" s="199" t="str">
        <f t="shared" si="11"/>
        <v/>
      </c>
    </row>
    <row r="328" spans="1:7">
      <c r="A328">
        <v>325</v>
      </c>
      <c r="B328" s="46">
        <v>44703</v>
      </c>
      <c r="C328" s="269">
        <v>52.574491350260743</v>
      </c>
      <c r="D328" s="269">
        <v>99.174715760964361</v>
      </c>
      <c r="E328" s="177">
        <f t="shared" si="10"/>
        <v>52.574491350260743</v>
      </c>
      <c r="F328" s="199" t="str">
        <f t="shared" si="11"/>
        <v/>
      </c>
    </row>
    <row r="329" spans="1:7">
      <c r="A329">
        <v>326</v>
      </c>
      <c r="B329" s="46">
        <v>44704</v>
      </c>
      <c r="C329" s="269">
        <v>62.651791904259817</v>
      </c>
      <c r="D329" s="269">
        <v>99.174715760964361</v>
      </c>
      <c r="E329" s="177">
        <f t="shared" si="10"/>
        <v>62.651791904259817</v>
      </c>
      <c r="F329" s="199" t="str">
        <f t="shared" si="11"/>
        <v/>
      </c>
    </row>
    <row r="330" spans="1:7">
      <c r="A330">
        <v>327</v>
      </c>
      <c r="B330" s="46">
        <v>44705</v>
      </c>
      <c r="C330" s="269">
        <v>55.702016632261682</v>
      </c>
      <c r="D330" s="269">
        <v>99.174715760964361</v>
      </c>
      <c r="E330" s="177">
        <f t="shared" si="10"/>
        <v>55.702016632261682</v>
      </c>
      <c r="F330" s="199" t="str">
        <f t="shared" si="11"/>
        <v/>
      </c>
    </row>
    <row r="331" spans="1:7">
      <c r="A331">
        <v>328</v>
      </c>
      <c r="B331" s="46">
        <v>44706</v>
      </c>
      <c r="C331" s="269">
        <v>37.10577716888654</v>
      </c>
      <c r="D331" s="269">
        <v>99.174715760964361</v>
      </c>
      <c r="E331" s="177">
        <f t="shared" si="10"/>
        <v>37.10577716888654</v>
      </c>
      <c r="F331" s="199" t="str">
        <f t="shared" si="11"/>
        <v/>
      </c>
    </row>
    <row r="332" spans="1:7">
      <c r="A332">
        <v>329</v>
      </c>
      <c r="B332" s="46">
        <v>44707</v>
      </c>
      <c r="C332" s="269">
        <v>32.7984575448884</v>
      </c>
      <c r="D332" s="269">
        <v>99.174715760964361</v>
      </c>
      <c r="E332" s="177">
        <f t="shared" si="10"/>
        <v>32.7984575448884</v>
      </c>
      <c r="F332" s="199" t="str">
        <f t="shared" si="11"/>
        <v/>
      </c>
    </row>
    <row r="333" spans="1:7">
      <c r="A333">
        <v>330</v>
      </c>
      <c r="B333" s="46">
        <v>44708</v>
      </c>
      <c r="C333" s="269">
        <v>34.793228270888399</v>
      </c>
      <c r="D333" s="269">
        <v>99.174715760964361</v>
      </c>
      <c r="E333" s="177">
        <f t="shared" si="10"/>
        <v>34.793228270888399</v>
      </c>
      <c r="F333" s="199" t="str">
        <f t="shared" si="11"/>
        <v/>
      </c>
    </row>
    <row r="334" spans="1:7">
      <c r="A334">
        <v>331</v>
      </c>
      <c r="B334" s="46">
        <v>44709</v>
      </c>
      <c r="C334" s="269">
        <v>41.2591363828884</v>
      </c>
      <c r="D334" s="269">
        <v>99.174715760964361</v>
      </c>
      <c r="E334" s="177">
        <f t="shared" si="10"/>
        <v>41.2591363828884</v>
      </c>
      <c r="F334" s="199" t="str">
        <f t="shared" si="11"/>
        <v/>
      </c>
    </row>
    <row r="335" spans="1:7">
      <c r="A335">
        <v>332</v>
      </c>
      <c r="B335" s="46">
        <v>44710</v>
      </c>
      <c r="C335" s="269">
        <v>28.227946492888396</v>
      </c>
      <c r="D335" s="269">
        <v>99.174715760964361</v>
      </c>
      <c r="E335" s="177">
        <f t="shared" si="10"/>
        <v>28.227946492888396</v>
      </c>
      <c r="F335" s="199" t="str">
        <f t="shared" si="11"/>
        <v/>
      </c>
    </row>
    <row r="336" spans="1:7">
      <c r="A336">
        <v>333</v>
      </c>
      <c r="B336" s="46">
        <v>44711</v>
      </c>
      <c r="C336" s="269">
        <v>38.312418940888399</v>
      </c>
      <c r="D336" s="269">
        <v>99.174715760964361</v>
      </c>
      <c r="E336" s="177">
        <f t="shared" si="10"/>
        <v>38.312418940888399</v>
      </c>
      <c r="F336" s="199" t="str">
        <f t="shared" si="11"/>
        <v/>
      </c>
    </row>
    <row r="337" spans="1:7">
      <c r="A337">
        <v>334</v>
      </c>
      <c r="B337" s="46">
        <v>44712</v>
      </c>
      <c r="C337" s="269">
        <v>48.322491006887468</v>
      </c>
      <c r="D337" s="269">
        <v>99.174715760964361</v>
      </c>
      <c r="E337" s="177">
        <f t="shared" si="10"/>
        <v>48.322491006887468</v>
      </c>
      <c r="F337" s="199" t="str">
        <f t="shared" si="11"/>
        <v/>
      </c>
    </row>
    <row r="338" spans="1:7">
      <c r="A338">
        <v>335</v>
      </c>
      <c r="B338" s="46">
        <v>44713</v>
      </c>
      <c r="C338" s="269">
        <v>41.123223929528258</v>
      </c>
      <c r="D338" s="269">
        <v>63.620103867145374</v>
      </c>
      <c r="E338" s="177">
        <f t="shared" si="10"/>
        <v>41.123223929528258</v>
      </c>
      <c r="F338" s="199" t="str">
        <f t="shared" si="11"/>
        <v/>
      </c>
    </row>
    <row r="339" spans="1:7">
      <c r="A339">
        <v>336</v>
      </c>
      <c r="B339" s="46">
        <v>44714</v>
      </c>
      <c r="C339" s="269">
        <v>52.456698009527322</v>
      </c>
      <c r="D339" s="269">
        <v>63.620103867145374</v>
      </c>
      <c r="E339" s="177">
        <f t="shared" si="10"/>
        <v>52.456698009527322</v>
      </c>
      <c r="F339" s="199" t="str">
        <f t="shared" si="11"/>
        <v/>
      </c>
    </row>
    <row r="340" spans="1:7">
      <c r="A340">
        <v>337</v>
      </c>
      <c r="B340" s="46">
        <v>44715</v>
      </c>
      <c r="C340" s="269">
        <v>46.022433545527328</v>
      </c>
      <c r="D340" s="269">
        <v>63.620103867145374</v>
      </c>
      <c r="E340" s="177">
        <f t="shared" si="10"/>
        <v>46.022433545527328</v>
      </c>
      <c r="F340" s="199" t="str">
        <f t="shared" si="11"/>
        <v/>
      </c>
    </row>
    <row r="341" spans="1:7">
      <c r="A341">
        <v>338</v>
      </c>
      <c r="B341" s="46">
        <v>44716</v>
      </c>
      <c r="C341" s="269">
        <v>32.122847235526393</v>
      </c>
      <c r="D341" s="269">
        <v>63.620103867145374</v>
      </c>
      <c r="E341" s="177">
        <f t="shared" si="10"/>
        <v>32.122847235526393</v>
      </c>
      <c r="F341" s="199" t="str">
        <f t="shared" si="11"/>
        <v/>
      </c>
    </row>
    <row r="342" spans="1:7">
      <c r="A342">
        <v>339</v>
      </c>
      <c r="B342" s="46">
        <v>44717</v>
      </c>
      <c r="C342" s="269">
        <v>24.04601276152826</v>
      </c>
      <c r="D342" s="269">
        <v>63.620103867145374</v>
      </c>
      <c r="E342" s="177">
        <f t="shared" si="10"/>
        <v>24.04601276152826</v>
      </c>
      <c r="F342" s="199" t="str">
        <f t="shared" si="11"/>
        <v/>
      </c>
    </row>
    <row r="343" spans="1:7">
      <c r="A343">
        <v>340</v>
      </c>
      <c r="B343" s="46">
        <v>44718</v>
      </c>
      <c r="C343" s="269">
        <v>30.42039194552919</v>
      </c>
      <c r="D343" s="269">
        <v>63.620103867145374</v>
      </c>
      <c r="E343" s="177">
        <f t="shared" si="10"/>
        <v>30.42039194552919</v>
      </c>
      <c r="F343" s="199" t="str">
        <f t="shared" si="11"/>
        <v/>
      </c>
    </row>
    <row r="344" spans="1:7">
      <c r="A344">
        <v>341</v>
      </c>
      <c r="B344" s="46">
        <v>44719</v>
      </c>
      <c r="C344" s="269">
        <v>29.281747123526394</v>
      </c>
      <c r="D344" s="269">
        <v>63.620103867145374</v>
      </c>
      <c r="E344" s="177">
        <f t="shared" si="10"/>
        <v>29.281747123526394</v>
      </c>
      <c r="F344" s="199" t="str">
        <f t="shared" si="11"/>
        <v/>
      </c>
    </row>
    <row r="345" spans="1:7">
      <c r="A345">
        <v>342</v>
      </c>
      <c r="B345" s="46">
        <v>44720</v>
      </c>
      <c r="C345" s="269">
        <v>22.808710077752295</v>
      </c>
      <c r="D345" s="269">
        <v>63.620103867145374</v>
      </c>
      <c r="E345" s="177">
        <f t="shared" si="10"/>
        <v>22.808710077752295</v>
      </c>
      <c r="F345" s="199" t="str">
        <f t="shared" si="11"/>
        <v/>
      </c>
    </row>
    <row r="346" spans="1:7">
      <c r="A346">
        <v>343</v>
      </c>
      <c r="B346" s="46">
        <v>44721</v>
      </c>
      <c r="C346" s="269">
        <v>25.381636507752294</v>
      </c>
      <c r="D346" s="269">
        <v>63.620103867145374</v>
      </c>
      <c r="E346" s="177">
        <f t="shared" si="10"/>
        <v>25.381636507752294</v>
      </c>
      <c r="F346" s="199" t="str">
        <f t="shared" si="11"/>
        <v/>
      </c>
    </row>
    <row r="347" spans="1:7">
      <c r="A347">
        <v>344</v>
      </c>
      <c r="B347" s="46">
        <v>44722</v>
      </c>
      <c r="C347" s="269">
        <v>30.097485453753222</v>
      </c>
      <c r="D347" s="269">
        <v>63.620103867145374</v>
      </c>
      <c r="E347" s="177">
        <f t="shared" si="10"/>
        <v>30.097485453753222</v>
      </c>
      <c r="F347" s="199" t="str">
        <f t="shared" si="11"/>
        <v/>
      </c>
    </row>
    <row r="348" spans="1:7">
      <c r="A348">
        <v>345</v>
      </c>
      <c r="B348" s="46">
        <v>44723</v>
      </c>
      <c r="C348" s="269">
        <v>26.399948901751362</v>
      </c>
      <c r="D348" s="269">
        <v>63.620103867145374</v>
      </c>
      <c r="E348" s="177">
        <f t="shared" si="10"/>
        <v>26.399948901751362</v>
      </c>
      <c r="F348" s="199" t="str">
        <f t="shared" si="11"/>
        <v/>
      </c>
    </row>
    <row r="349" spans="1:7">
      <c r="A349">
        <v>346</v>
      </c>
      <c r="B349" s="46">
        <v>44724</v>
      </c>
      <c r="C349" s="269">
        <v>19.313892079751355</v>
      </c>
      <c r="D349" s="269">
        <v>63.620103867145374</v>
      </c>
      <c r="E349" s="177">
        <f t="shared" si="10"/>
        <v>19.313892079751355</v>
      </c>
      <c r="F349" s="199" t="str">
        <f t="shared" si="11"/>
        <v/>
      </c>
    </row>
    <row r="350" spans="1:7">
      <c r="A350">
        <v>347</v>
      </c>
      <c r="B350" s="46">
        <v>44725</v>
      </c>
      <c r="C350" s="269">
        <v>46.131497131753228</v>
      </c>
      <c r="D350" s="269">
        <v>63.620103867145374</v>
      </c>
      <c r="E350" s="177">
        <f t="shared" si="10"/>
        <v>46.131497131753228</v>
      </c>
      <c r="F350" s="199" t="str">
        <f t="shared" si="11"/>
        <v/>
      </c>
    </row>
    <row r="351" spans="1:7">
      <c r="A351">
        <v>348</v>
      </c>
      <c r="B351" s="46">
        <v>44726</v>
      </c>
      <c r="C351" s="269">
        <v>42.376979761752295</v>
      </c>
      <c r="D351" s="269">
        <v>63.620103867145374</v>
      </c>
      <c r="E351" s="177">
        <f t="shared" si="10"/>
        <v>42.376979761752295</v>
      </c>
      <c r="F351" s="199" t="str">
        <f>IF(DAY(B351)=15,IF(MONTH(B351)=1,"E",IF(MONTH(B351)=2,"F",IF(MONTH(B351)=3,"M",IF(MONTH(B351)=4,"A",IF(MONTH(B351)=5,"M",IF(MONTH(B351)=6,"J",IF(MONTH(B351)=7,"J",IF(MONTH(B351)=8,"A",IF(MONTH(B351)=9,"S",IF(MONTH(B351)=10,"O",IF(MONTH(B351)=11,"N",IF(MONTH(B351)=12,"D","")))))))))))),"")</f>
        <v/>
      </c>
    </row>
    <row r="352" spans="1:7">
      <c r="A352">
        <v>349</v>
      </c>
      <c r="B352" s="46">
        <v>44727</v>
      </c>
      <c r="C352" s="269">
        <v>29.866455020219043</v>
      </c>
      <c r="D352" s="269">
        <v>63.620103867145374</v>
      </c>
      <c r="E352" s="177">
        <f t="shared" si="10"/>
        <v>29.866455020219043</v>
      </c>
      <c r="F352" s="199" t="str">
        <f>IF(DAY(B352)=15,IF(MONTH(B352)=1,"E",IF(MONTH(B352)=2,"F",IF(MONTH(B352)=3,"M",IF(MONTH(B352)=4,"A",IF(MONTH(B352)=5,"M",IF(MONTH(B352)=6,"J",IF(MONTH(B352)=7,"J",IF(MONTH(B352)=8,"A",IF(MONTH(B352)=9,"S",IF(MONTH(B352)=10,"O",IF(MONTH(B352)=11,"N",IF(MONTH(B352)=12,"D","")))))))))))),"")</f>
        <v>J</v>
      </c>
      <c r="G352" s="200">
        <f>IF(DAY(B352)=15,D352,"")</f>
        <v>63.620103867145374</v>
      </c>
    </row>
    <row r="353" spans="1:6">
      <c r="A353">
        <v>350</v>
      </c>
      <c r="B353" s="46">
        <v>44728</v>
      </c>
      <c r="C353" s="269">
        <v>3.6858126262199731</v>
      </c>
      <c r="D353" s="269">
        <v>63.620103867145374</v>
      </c>
      <c r="E353" s="177">
        <f t="shared" si="10"/>
        <v>3.6858126262199731</v>
      </c>
      <c r="F353" s="199" t="str">
        <f t="shared" si="11"/>
        <v/>
      </c>
    </row>
    <row r="354" spans="1:6">
      <c r="A354">
        <v>351</v>
      </c>
      <c r="B354" s="46">
        <v>44729</v>
      </c>
      <c r="C354" s="269">
        <v>4.2177814382199683</v>
      </c>
      <c r="D354" s="269">
        <v>63.620103867145374</v>
      </c>
      <c r="E354" s="177">
        <f t="shared" si="10"/>
        <v>4.2177814382199683</v>
      </c>
      <c r="F354" s="199" t="str">
        <f t="shared" si="11"/>
        <v/>
      </c>
    </row>
    <row r="355" spans="1:6">
      <c r="A355">
        <v>352</v>
      </c>
      <c r="B355" s="46">
        <v>44730</v>
      </c>
      <c r="C355" s="269">
        <v>5.5702210842199715</v>
      </c>
      <c r="D355" s="269">
        <v>63.620103867145374</v>
      </c>
      <c r="E355" s="177">
        <f t="shared" si="10"/>
        <v>5.5702210842199715</v>
      </c>
      <c r="F355" s="199" t="str">
        <f t="shared" si="11"/>
        <v/>
      </c>
    </row>
    <row r="356" spans="1:6">
      <c r="A356">
        <v>353</v>
      </c>
      <c r="B356" s="46">
        <v>44731</v>
      </c>
      <c r="C356" s="269">
        <v>5.4717802962209028</v>
      </c>
      <c r="D356" s="269">
        <v>63.620103867145374</v>
      </c>
      <c r="E356" s="177">
        <f t="shared" si="10"/>
        <v>5.4717802962209028</v>
      </c>
      <c r="F356" s="199" t="str">
        <f t="shared" si="11"/>
        <v/>
      </c>
    </row>
    <row r="357" spans="1:6">
      <c r="A357">
        <v>354</v>
      </c>
      <c r="B357" s="46">
        <v>44732</v>
      </c>
      <c r="C357" s="269">
        <v>4.6292638182190418</v>
      </c>
      <c r="D357" s="269">
        <v>63.620103867145374</v>
      </c>
      <c r="E357" s="177">
        <f t="shared" si="10"/>
        <v>4.6292638182190418</v>
      </c>
      <c r="F357" s="199" t="str">
        <f t="shared" si="11"/>
        <v/>
      </c>
    </row>
    <row r="358" spans="1:6">
      <c r="A358">
        <v>355</v>
      </c>
      <c r="B358" s="46">
        <v>44733</v>
      </c>
      <c r="C358" s="269">
        <v>7.8382079562199722</v>
      </c>
      <c r="D358" s="269">
        <v>63.620103867145374</v>
      </c>
      <c r="E358" s="177">
        <f t="shared" si="10"/>
        <v>7.8382079562199722</v>
      </c>
      <c r="F358" s="199" t="str">
        <f t="shared" si="11"/>
        <v/>
      </c>
    </row>
    <row r="359" spans="1:6">
      <c r="A359">
        <v>356</v>
      </c>
      <c r="B359" s="46">
        <v>44734</v>
      </c>
      <c r="C359" s="269">
        <v>19.542001010242529</v>
      </c>
      <c r="D359" s="269">
        <v>63.620103867145374</v>
      </c>
      <c r="E359" s="177">
        <f t="shared" si="10"/>
        <v>19.542001010242529</v>
      </c>
      <c r="F359" s="199" t="str">
        <f t="shared" si="11"/>
        <v/>
      </c>
    </row>
    <row r="360" spans="1:6">
      <c r="A360">
        <v>357</v>
      </c>
      <c r="B360" s="46">
        <v>44735</v>
      </c>
      <c r="C360" s="269">
        <v>11.83257413824346</v>
      </c>
      <c r="D360" s="269">
        <v>63.620103867145374</v>
      </c>
      <c r="E360" s="177">
        <f t="shared" si="10"/>
        <v>11.83257413824346</v>
      </c>
      <c r="F360" s="199" t="str">
        <f t="shared" si="11"/>
        <v/>
      </c>
    </row>
    <row r="361" spans="1:6">
      <c r="A361">
        <v>358</v>
      </c>
      <c r="B361" s="46">
        <v>44736</v>
      </c>
      <c r="C361" s="269">
        <v>13.604441506245326</v>
      </c>
      <c r="D361" s="269">
        <v>63.620103867145374</v>
      </c>
      <c r="E361" s="177">
        <f t="shared" si="10"/>
        <v>13.604441506245326</v>
      </c>
      <c r="F361" s="199" t="str">
        <f t="shared" si="11"/>
        <v/>
      </c>
    </row>
    <row r="362" spans="1:6">
      <c r="A362">
        <v>359</v>
      </c>
      <c r="B362" s="46">
        <v>44737</v>
      </c>
      <c r="C362" s="269">
        <v>14.067334344244395</v>
      </c>
      <c r="D362" s="269">
        <v>63.620103867145374</v>
      </c>
      <c r="E362" s="177">
        <f t="shared" si="10"/>
        <v>14.067334344244395</v>
      </c>
      <c r="F362" s="199" t="str">
        <f t="shared" si="11"/>
        <v/>
      </c>
    </row>
    <row r="363" spans="1:6">
      <c r="A363">
        <v>360</v>
      </c>
      <c r="B363" s="46">
        <v>44738</v>
      </c>
      <c r="C363" s="269">
        <v>14.775482156243463</v>
      </c>
      <c r="D363" s="269">
        <v>63.620103867145374</v>
      </c>
      <c r="E363" s="177">
        <f t="shared" si="10"/>
        <v>14.775482156243463</v>
      </c>
      <c r="F363" s="199" t="str">
        <f t="shared" si="11"/>
        <v/>
      </c>
    </row>
    <row r="364" spans="1:6">
      <c r="A364">
        <v>361</v>
      </c>
      <c r="B364" s="46">
        <v>44739</v>
      </c>
      <c r="C364" s="269">
        <v>16.261251046242531</v>
      </c>
      <c r="D364" s="269">
        <v>63.620103867145374</v>
      </c>
      <c r="E364" s="177">
        <f t="shared" si="10"/>
        <v>16.261251046242531</v>
      </c>
      <c r="F364" s="199" t="str">
        <f t="shared" si="11"/>
        <v/>
      </c>
    </row>
    <row r="365" spans="1:6">
      <c r="A365">
        <v>362</v>
      </c>
      <c r="B365" s="46">
        <v>44740</v>
      </c>
      <c r="C365" s="269">
        <v>21.935580164243461</v>
      </c>
      <c r="D365" s="269">
        <v>63.620103867145374</v>
      </c>
      <c r="E365" s="177">
        <f t="shared" si="10"/>
        <v>21.935580164243461</v>
      </c>
      <c r="F365" s="199" t="str">
        <f t="shared" si="11"/>
        <v/>
      </c>
    </row>
    <row r="366" spans="1:6">
      <c r="A366">
        <v>363</v>
      </c>
      <c r="B366" s="46">
        <v>44741</v>
      </c>
      <c r="C366" s="269">
        <v>9.1596987699111931</v>
      </c>
      <c r="D366" s="269">
        <v>63.620103867145374</v>
      </c>
      <c r="E366" s="177">
        <f t="shared" si="10"/>
        <v>9.1596987699111931</v>
      </c>
      <c r="F366" s="199" t="str">
        <f t="shared" si="11"/>
        <v/>
      </c>
    </row>
    <row r="367" spans="1:6">
      <c r="A367">
        <v>364</v>
      </c>
      <c r="B367" s="46">
        <v>44742</v>
      </c>
      <c r="C367" s="269">
        <v>13.891888505911192</v>
      </c>
      <c r="D367" s="269">
        <v>63.620103867145374</v>
      </c>
      <c r="E367" s="177">
        <f t="shared" si="10"/>
        <v>13.891888505911192</v>
      </c>
      <c r="F367" s="199" t="str">
        <f t="shared" si="11"/>
        <v/>
      </c>
    </row>
    <row r="368" spans="1:6">
      <c r="A368">
        <v>365</v>
      </c>
      <c r="B368" s="46">
        <v>44743</v>
      </c>
      <c r="C368" s="269">
        <v>18.251279493911191</v>
      </c>
      <c r="D368" s="269">
        <v>27.438293490002458</v>
      </c>
      <c r="E368" s="177">
        <f t="shared" si="10"/>
        <v>18.251279493911191</v>
      </c>
      <c r="F368" s="199" t="str">
        <f t="shared" si="11"/>
        <v/>
      </c>
    </row>
    <row r="369" spans="1:7">
      <c r="A369">
        <v>366</v>
      </c>
      <c r="B369" s="46">
        <v>44744</v>
      </c>
      <c r="C369" s="269">
        <v>13.30726302791026</v>
      </c>
      <c r="D369" s="269">
        <v>27.438293490002458</v>
      </c>
      <c r="E369" s="177">
        <f t="shared" si="10"/>
        <v>13.30726302791026</v>
      </c>
      <c r="F369" s="199" t="str">
        <f t="shared" si="11"/>
        <v/>
      </c>
    </row>
    <row r="370" spans="1:7">
      <c r="A370">
        <v>367</v>
      </c>
      <c r="B370" s="46">
        <v>44745</v>
      </c>
      <c r="C370" s="269">
        <v>10.85917095791026</v>
      </c>
      <c r="D370" s="269">
        <v>27.438293490002458</v>
      </c>
      <c r="E370" s="177">
        <f t="shared" si="10"/>
        <v>10.85917095791026</v>
      </c>
      <c r="F370" s="199" t="str">
        <f t="shared" si="11"/>
        <v/>
      </c>
    </row>
    <row r="371" spans="1:7">
      <c r="A371">
        <v>368</v>
      </c>
      <c r="B371" s="46">
        <v>44746</v>
      </c>
      <c r="C371" s="269">
        <v>12.598542783910263</v>
      </c>
      <c r="D371" s="269">
        <v>27.438293490002458</v>
      </c>
      <c r="E371" s="177">
        <f t="shared" si="10"/>
        <v>12.598542783910263</v>
      </c>
      <c r="F371" s="199" t="str">
        <f t="shared" si="11"/>
        <v/>
      </c>
    </row>
    <row r="372" spans="1:7">
      <c r="A372">
        <v>369</v>
      </c>
      <c r="B372" s="46">
        <v>44747</v>
      </c>
      <c r="C372" s="269">
        <v>9.8952008619102596</v>
      </c>
      <c r="D372" s="269">
        <v>27.438293490002458</v>
      </c>
      <c r="E372" s="177">
        <f t="shared" si="10"/>
        <v>9.8952008619102596</v>
      </c>
      <c r="F372" s="199" t="str">
        <f t="shared" si="11"/>
        <v/>
      </c>
    </row>
    <row r="373" spans="1:7">
      <c r="A373">
        <v>370</v>
      </c>
      <c r="B373" s="46">
        <v>44748</v>
      </c>
      <c r="C373" s="269">
        <v>11.241820423679</v>
      </c>
      <c r="D373" s="269">
        <v>27.438293490002458</v>
      </c>
      <c r="E373" s="177">
        <f t="shared" si="10"/>
        <v>11.241820423679</v>
      </c>
      <c r="F373" s="199" t="str">
        <f t="shared" si="11"/>
        <v/>
      </c>
    </row>
    <row r="374" spans="1:7">
      <c r="A374">
        <v>371</v>
      </c>
      <c r="B374" s="46">
        <v>44749</v>
      </c>
      <c r="C374" s="269">
        <v>8.9794350036817967</v>
      </c>
      <c r="D374" s="269">
        <v>27.438293490002458</v>
      </c>
      <c r="E374" s="177">
        <f t="shared" si="10"/>
        <v>8.9794350036817967</v>
      </c>
      <c r="F374" s="199" t="str">
        <f t="shared" si="11"/>
        <v/>
      </c>
    </row>
    <row r="375" spans="1:7">
      <c r="A375">
        <v>372</v>
      </c>
      <c r="B375" s="46">
        <v>44750</v>
      </c>
      <c r="C375" s="269">
        <v>9.724760133679931</v>
      </c>
      <c r="D375" s="269">
        <v>27.438293490002458</v>
      </c>
      <c r="E375" s="177">
        <f t="shared" si="10"/>
        <v>9.724760133679931</v>
      </c>
      <c r="F375" s="199" t="str">
        <f t="shared" si="11"/>
        <v/>
      </c>
    </row>
    <row r="376" spans="1:7">
      <c r="A376">
        <v>373</v>
      </c>
      <c r="B376" s="46">
        <v>44751</v>
      </c>
      <c r="C376" s="269">
        <v>10.570958937678999</v>
      </c>
      <c r="D376" s="269">
        <v>27.438293490002458</v>
      </c>
      <c r="E376" s="177">
        <f t="shared" si="10"/>
        <v>10.570958937678999</v>
      </c>
      <c r="F376" s="199" t="str">
        <f t="shared" si="11"/>
        <v/>
      </c>
    </row>
    <row r="377" spans="1:7">
      <c r="A377">
        <v>374</v>
      </c>
      <c r="B377" s="46">
        <v>44752</v>
      </c>
      <c r="C377" s="269">
        <v>6.7936013716790002</v>
      </c>
      <c r="D377" s="269">
        <v>27.438293490002458</v>
      </c>
      <c r="E377" s="177">
        <f t="shared" si="10"/>
        <v>6.7936013716790002</v>
      </c>
      <c r="F377" s="199" t="str">
        <f t="shared" si="11"/>
        <v/>
      </c>
    </row>
    <row r="378" spans="1:7">
      <c r="A378">
        <v>375</v>
      </c>
      <c r="B378" s="46">
        <v>44753</v>
      </c>
      <c r="C378" s="269">
        <v>6.1090904676808639</v>
      </c>
      <c r="D378" s="269">
        <v>27.438293490002458</v>
      </c>
      <c r="E378" s="177">
        <f t="shared" si="10"/>
        <v>6.1090904676808639</v>
      </c>
      <c r="F378" s="199" t="str">
        <f t="shared" si="11"/>
        <v/>
      </c>
    </row>
    <row r="379" spans="1:7">
      <c r="A379">
        <v>376</v>
      </c>
      <c r="B379" s="46">
        <v>44754</v>
      </c>
      <c r="C379" s="269">
        <v>11.517142063679</v>
      </c>
      <c r="D379" s="269">
        <v>27.438293490002458</v>
      </c>
      <c r="E379" s="177">
        <f t="shared" si="10"/>
        <v>11.517142063679</v>
      </c>
      <c r="F379" s="199" t="str">
        <f t="shared" si="11"/>
        <v/>
      </c>
    </row>
    <row r="380" spans="1:7">
      <c r="A380">
        <v>377</v>
      </c>
      <c r="B380" s="46">
        <v>44755</v>
      </c>
      <c r="C380" s="269">
        <v>4.7365951573210552</v>
      </c>
      <c r="D380" s="269">
        <v>27.438293490002458</v>
      </c>
      <c r="E380" s="177">
        <f t="shared" si="10"/>
        <v>4.7365951573210552</v>
      </c>
      <c r="F380" s="199" t="str">
        <f t="shared" si="11"/>
        <v/>
      </c>
    </row>
    <row r="381" spans="1:7">
      <c r="A381">
        <v>378</v>
      </c>
      <c r="B381" s="46">
        <v>44756</v>
      </c>
      <c r="C381" s="269">
        <v>4.4466675373191977</v>
      </c>
      <c r="D381" s="269">
        <v>27.438293490002458</v>
      </c>
      <c r="E381" s="177">
        <f t="shared" si="10"/>
        <v>4.4466675373191977</v>
      </c>
      <c r="F381" s="199" t="str">
        <f t="shared" si="11"/>
        <v/>
      </c>
    </row>
    <row r="382" spans="1:7">
      <c r="A382">
        <v>379</v>
      </c>
      <c r="B382" s="46">
        <v>44757</v>
      </c>
      <c r="C382" s="269">
        <v>3.4484459653201265</v>
      </c>
      <c r="D382" s="269">
        <v>27.438293490002458</v>
      </c>
      <c r="E382" s="177">
        <f t="shared" si="10"/>
        <v>3.4484459653201265</v>
      </c>
      <c r="F382" s="199" t="str">
        <f t="shared" si="11"/>
        <v>J</v>
      </c>
      <c r="G382" s="200">
        <f>IF(DAY(B382)=15,D382,"")</f>
        <v>27.438293490002458</v>
      </c>
    </row>
    <row r="383" spans="1:7">
      <c r="A383">
        <v>380</v>
      </c>
      <c r="B383" s="46">
        <v>44758</v>
      </c>
      <c r="C383" s="269">
        <v>2.2119180733191932</v>
      </c>
      <c r="D383" s="269">
        <v>27.438293490002458</v>
      </c>
      <c r="E383" s="177">
        <f t="shared" si="10"/>
        <v>2.2119180733191932</v>
      </c>
      <c r="F383" s="199" t="str">
        <f t="shared" si="11"/>
        <v/>
      </c>
    </row>
    <row r="384" spans="1:7">
      <c r="A384">
        <v>381</v>
      </c>
      <c r="B384" s="46">
        <v>44759</v>
      </c>
      <c r="C384" s="269">
        <v>4.3806667053201274</v>
      </c>
      <c r="D384" s="269">
        <v>27.438293490002458</v>
      </c>
      <c r="E384" s="177">
        <f t="shared" si="10"/>
        <v>4.3806667053201274</v>
      </c>
      <c r="F384" s="199" t="str">
        <f t="shared" si="11"/>
        <v/>
      </c>
    </row>
    <row r="385" spans="1:6">
      <c r="A385">
        <v>382</v>
      </c>
      <c r="B385" s="46">
        <v>44760</v>
      </c>
      <c r="C385" s="269">
        <v>2.7063242153210596</v>
      </c>
      <c r="D385" s="269">
        <v>27.438293490002458</v>
      </c>
      <c r="E385" s="177">
        <f t="shared" si="10"/>
        <v>2.7063242153210596</v>
      </c>
      <c r="F385" s="199" t="str">
        <f t="shared" si="11"/>
        <v/>
      </c>
    </row>
    <row r="386" spans="1:6">
      <c r="A386">
        <v>383</v>
      </c>
      <c r="B386" s="46">
        <v>44761</v>
      </c>
      <c r="C386" s="269">
        <v>8.1026848313191948</v>
      </c>
      <c r="D386" s="269">
        <v>27.438293490002458</v>
      </c>
      <c r="E386" s="177">
        <f t="shared" si="10"/>
        <v>8.1026848313191948</v>
      </c>
      <c r="F386" s="199" t="str">
        <f t="shared" si="11"/>
        <v/>
      </c>
    </row>
    <row r="387" spans="1:6">
      <c r="A387">
        <v>384</v>
      </c>
      <c r="B387" s="46">
        <v>44762</v>
      </c>
      <c r="C387" s="269">
        <v>7.0364355158213581</v>
      </c>
      <c r="D387" s="269">
        <v>27.438293490002458</v>
      </c>
      <c r="E387" s="177">
        <f t="shared" si="10"/>
        <v>7.0364355158213581</v>
      </c>
      <c r="F387" s="199" t="str">
        <f t="shared" si="11"/>
        <v/>
      </c>
    </row>
    <row r="388" spans="1:6">
      <c r="A388">
        <v>385</v>
      </c>
      <c r="B388" s="46">
        <v>44763</v>
      </c>
      <c r="C388" s="269">
        <v>2.2514252478222878</v>
      </c>
      <c r="D388" s="269">
        <v>27.438293490002458</v>
      </c>
      <c r="E388" s="177">
        <f t="shared" ref="E388:E395" si="12">IF(C388&lt;D388,C388,D388)</f>
        <v>2.2514252478222878</v>
      </c>
      <c r="F388" s="199" t="str">
        <f t="shared" ref="F388:F397" si="13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6">
      <c r="A389">
        <v>386</v>
      </c>
      <c r="B389" s="46">
        <v>44764</v>
      </c>
      <c r="C389" s="269">
        <v>9.5429019778213551</v>
      </c>
      <c r="D389" s="269">
        <v>27.438293490002458</v>
      </c>
      <c r="E389" s="177">
        <f t="shared" si="12"/>
        <v>9.5429019778213551</v>
      </c>
      <c r="F389" s="199" t="str">
        <f t="shared" si="13"/>
        <v/>
      </c>
    </row>
    <row r="390" spans="1:6">
      <c r="A390">
        <v>387</v>
      </c>
      <c r="B390" s="46">
        <v>44765</v>
      </c>
      <c r="C390" s="269">
        <v>1.8340053678213553</v>
      </c>
      <c r="D390" s="269">
        <v>27.438293490002458</v>
      </c>
      <c r="E390" s="177">
        <f t="shared" si="12"/>
        <v>1.8340053678213553</v>
      </c>
      <c r="F390" s="199" t="str">
        <f t="shared" si="13"/>
        <v/>
      </c>
    </row>
    <row r="391" spans="1:6">
      <c r="A391">
        <v>388</v>
      </c>
      <c r="B391" s="46">
        <v>44766</v>
      </c>
      <c r="C391" s="269">
        <v>6.3163635378232215</v>
      </c>
      <c r="D391" s="269">
        <v>27.438293490002458</v>
      </c>
      <c r="E391" s="177">
        <f t="shared" si="12"/>
        <v>6.3163635378232215</v>
      </c>
      <c r="F391" s="199" t="str">
        <f t="shared" si="13"/>
        <v/>
      </c>
    </row>
    <row r="392" spans="1:6">
      <c r="A392">
        <v>389</v>
      </c>
      <c r="B392" s="46">
        <v>44767</v>
      </c>
      <c r="C392" s="269">
        <v>2.608429777821355</v>
      </c>
      <c r="D392" s="269">
        <v>27.438293490002458</v>
      </c>
      <c r="E392" s="177">
        <f t="shared" si="12"/>
        <v>2.608429777821355</v>
      </c>
      <c r="F392" s="199" t="str">
        <f t="shared" si="13"/>
        <v/>
      </c>
    </row>
    <row r="393" spans="1:6">
      <c r="A393">
        <v>390</v>
      </c>
      <c r="B393" s="46">
        <v>44768</v>
      </c>
      <c r="C393" s="269">
        <v>2.9616896878222905</v>
      </c>
      <c r="D393" s="269">
        <v>27.438293490002458</v>
      </c>
      <c r="E393" s="177">
        <f t="shared" si="12"/>
        <v>2.9616896878222905</v>
      </c>
      <c r="F393" s="199" t="str">
        <f t="shared" si="13"/>
        <v/>
      </c>
    </row>
    <row r="394" spans="1:6">
      <c r="A394">
        <v>391</v>
      </c>
      <c r="B394" s="46">
        <v>44769</v>
      </c>
      <c r="C394" s="269">
        <v>1.8403673500869917</v>
      </c>
      <c r="D394" s="269">
        <v>27.438293490002458</v>
      </c>
      <c r="E394" s="177">
        <f t="shared" si="12"/>
        <v>1.8403673500869917</v>
      </c>
      <c r="F394" s="199" t="str">
        <f t="shared" si="13"/>
        <v/>
      </c>
    </row>
    <row r="395" spans="1:6">
      <c r="A395">
        <v>392</v>
      </c>
      <c r="B395" s="46">
        <v>44770</v>
      </c>
      <c r="C395" s="269">
        <v>3.9601499940860667</v>
      </c>
      <c r="D395" s="269">
        <v>27.438293490002458</v>
      </c>
      <c r="E395" s="177">
        <f t="shared" si="12"/>
        <v>3.9601499940860667</v>
      </c>
      <c r="F395" s="199" t="str">
        <f t="shared" si="13"/>
        <v/>
      </c>
    </row>
    <row r="396" spans="1:6">
      <c r="A396">
        <v>393</v>
      </c>
      <c r="B396" s="46">
        <v>44771</v>
      </c>
      <c r="C396" s="269">
        <v>4.9799810000860667</v>
      </c>
      <c r="D396" s="269">
        <v>27.438293490002458</v>
      </c>
      <c r="E396" s="177">
        <f t="shared" ref="E396:E397" si="14">IF(C396&lt;D396,C396,D396)</f>
        <v>4.9799810000860667</v>
      </c>
      <c r="F396" s="199" t="str">
        <f t="shared" si="13"/>
        <v/>
      </c>
    </row>
    <row r="397" spans="1:6">
      <c r="A397">
        <v>394</v>
      </c>
      <c r="B397" s="46">
        <v>44772</v>
      </c>
      <c r="C397" s="269">
        <v>3.3192366360860652</v>
      </c>
      <c r="D397" s="269">
        <v>27.438293490002458</v>
      </c>
      <c r="E397" s="177">
        <f t="shared" si="14"/>
        <v>3.3192366360860652</v>
      </c>
      <c r="F397" s="199" t="str">
        <f t="shared" si="13"/>
        <v/>
      </c>
    </row>
    <row r="398" spans="1:6">
      <c r="A398">
        <v>395</v>
      </c>
      <c r="B398" s="46">
        <v>44773</v>
      </c>
      <c r="C398" s="269">
        <v>1.9814935200851322</v>
      </c>
      <c r="D398" s="269">
        <v>27.438293490002458</v>
      </c>
      <c r="E398" s="177">
        <f t="shared" ref="E398" si="15">IF(C398&lt;D398,C398,D398)</f>
        <v>1.9814935200851322</v>
      </c>
      <c r="F398" s="199" t="str">
        <f t="shared" ref="F398" si="16">IF(DAY(B398)=15,IF(MONTH(B398)=1,"E",IF(MONTH(B398)=2,"F",IF(MONTH(B398)=3,"M",IF(MONTH(B398)=4,"A",IF(MONTH(B398)=5,"M",IF(MONTH(B398)=6,"J",IF(MONTH(B398)=7,"J",IF(MONTH(B398)=8,"A",IF(MONTH(B398)=9,"S",IF(MONTH(B398)=10,"O",IF(MONTH(B398)=11,"N",IF(MONTH(B398)=12,"D","")))))))))))),"")</f>
        <v/>
      </c>
    </row>
    <row r="399" spans="1:6">
      <c r="B399" s="46"/>
      <c r="C399" s="269"/>
      <c r="D399" s="269"/>
      <c r="E399" s="177"/>
      <c r="F399" s="199" t="str">
        <f t="shared" ref="F399:F400" si="17">IF(DAY(B399)=15,IF(MONTH(B399)=1,"E",IF(MONTH(B399)=2,"F",IF(MONTH(B399)=3,"M",IF(MONTH(B399)=4,"A",IF(MONTH(B399)=5,"M",IF(MONTH(B399)=6,"J",IF(MONTH(B399)=7,"J",IF(MONTH(B399)=8,"A",IF(MONTH(B399)=9,"S",IF(MONTH(B399)=10,"O",IF(MONTH(B399)=11,"N",IF(MONTH(B399)=12,"D","")))))))))))),"")</f>
        <v/>
      </c>
    </row>
    <row r="400" spans="1:6">
      <c r="B400" s="46"/>
      <c r="C400" s="269"/>
      <c r="D400" s="269"/>
      <c r="E400" s="177"/>
      <c r="F400" s="199" t="str">
        <f t="shared" si="17"/>
        <v/>
      </c>
    </row>
    <row r="401" spans="3:7">
      <c r="C401" s="177" t="s">
        <v>147</v>
      </c>
      <c r="D401" s="177" t="s">
        <v>147</v>
      </c>
      <c r="E401" s="177" t="str">
        <f t="shared" ref="E401:E451" si="18">IF(C401&lt;D401,C401,D401)</f>
        <v/>
      </c>
      <c r="F401" s="199" t="str">
        <f t="shared" ref="F401:F412" si="19">IF(DAY(B401)=15,IF(MONTH(B401)=1,"E",IF(MONTH(B401)=2,"F",IF(MONTH(B401)=3,"M",IF(MONTH(B401)=4,"A",IF(MONTH(B401)=5,"M",IF(MONTH(B401)=6,"J",IF(MONTH(B401)=7,"J",IF(MONTH(B401)=8,"A",IF(MONTH(B401)=9,"S",IF(MONTH(B401)=10,"O",IF(MONTH(B401)=11,"N",IF(MONTH(B401)=12,"D","")))))))))))),"")</f>
        <v/>
      </c>
    </row>
    <row r="402" spans="3:7">
      <c r="C402" s="177" t="s">
        <v>147</v>
      </c>
      <c r="D402" s="177" t="s">
        <v>147</v>
      </c>
      <c r="E402" s="177" t="str">
        <f t="shared" si="18"/>
        <v/>
      </c>
      <c r="F402" s="199" t="str">
        <f t="shared" si="19"/>
        <v/>
      </c>
    </row>
    <row r="403" spans="3:7">
      <c r="C403" s="177" t="s">
        <v>147</v>
      </c>
      <c r="D403" s="177" t="s">
        <v>147</v>
      </c>
      <c r="E403" s="177" t="str">
        <f t="shared" si="18"/>
        <v/>
      </c>
      <c r="F403" s="199" t="str">
        <f t="shared" si="19"/>
        <v/>
      </c>
    </row>
    <row r="404" spans="3:7">
      <c r="C404" s="177" t="s">
        <v>147</v>
      </c>
      <c r="D404" s="177" t="s">
        <v>147</v>
      </c>
      <c r="E404" s="177" t="str">
        <f t="shared" si="18"/>
        <v/>
      </c>
      <c r="F404" s="199" t="str">
        <f t="shared" si="19"/>
        <v/>
      </c>
    </row>
    <row r="405" spans="3:7">
      <c r="C405" s="177" t="s">
        <v>147</v>
      </c>
      <c r="D405" s="177" t="s">
        <v>147</v>
      </c>
      <c r="E405" s="177" t="str">
        <f t="shared" si="18"/>
        <v/>
      </c>
      <c r="F405" s="199" t="str">
        <f t="shared" si="19"/>
        <v/>
      </c>
    </row>
    <row r="406" spans="3:7">
      <c r="C406" s="177" t="s">
        <v>147</v>
      </c>
      <c r="D406" s="177" t="s">
        <v>147</v>
      </c>
      <c r="E406" s="177" t="str">
        <f t="shared" si="18"/>
        <v/>
      </c>
      <c r="F406" s="199" t="str">
        <f t="shared" si="19"/>
        <v/>
      </c>
    </row>
    <row r="407" spans="3:7">
      <c r="C407" s="177" t="s">
        <v>147</v>
      </c>
      <c r="D407" s="177" t="s">
        <v>147</v>
      </c>
      <c r="E407" s="177" t="str">
        <f t="shared" si="18"/>
        <v/>
      </c>
      <c r="F407" s="199" t="str">
        <f t="shared" si="19"/>
        <v/>
      </c>
    </row>
    <row r="408" spans="3:7">
      <c r="C408" s="177" t="s">
        <v>147</v>
      </c>
      <c r="D408" s="177" t="s">
        <v>147</v>
      </c>
      <c r="E408" s="177" t="str">
        <f t="shared" si="18"/>
        <v/>
      </c>
      <c r="F408" s="199" t="str">
        <f t="shared" si="19"/>
        <v/>
      </c>
    </row>
    <row r="409" spans="3:7">
      <c r="C409" s="177" t="s">
        <v>147</v>
      </c>
      <c r="D409" s="177" t="s">
        <v>147</v>
      </c>
      <c r="E409" s="177" t="str">
        <f t="shared" si="18"/>
        <v/>
      </c>
      <c r="F409" s="199" t="str">
        <f t="shared" si="19"/>
        <v/>
      </c>
    </row>
    <row r="410" spans="3:7">
      <c r="C410" s="177" t="s">
        <v>147</v>
      </c>
      <c r="D410" s="177" t="s">
        <v>147</v>
      </c>
      <c r="E410" s="177" t="str">
        <f t="shared" si="18"/>
        <v/>
      </c>
      <c r="F410" s="199" t="str">
        <f t="shared" si="19"/>
        <v/>
      </c>
    </row>
    <row r="411" spans="3:7">
      <c r="C411" s="177" t="s">
        <v>147</v>
      </c>
      <c r="D411" s="177" t="s">
        <v>147</v>
      </c>
      <c r="E411" s="177" t="str">
        <f t="shared" si="18"/>
        <v/>
      </c>
      <c r="F411" s="199" t="str">
        <f t="shared" si="19"/>
        <v/>
      </c>
    </row>
    <row r="412" spans="3:7">
      <c r="C412" s="177" t="s">
        <v>147</v>
      </c>
      <c r="D412" s="177" t="s">
        <v>147</v>
      </c>
      <c r="E412" s="177" t="str">
        <f t="shared" si="18"/>
        <v/>
      </c>
      <c r="F412" s="199" t="str">
        <f t="shared" si="19"/>
        <v/>
      </c>
      <c r="G412" s="200" t="str">
        <f t="shared" ref="G412" si="20">IF(DAY(B412)=15,D412,"")</f>
        <v/>
      </c>
    </row>
    <row r="413" spans="3:7">
      <c r="C413" s="177" t="s">
        <v>147</v>
      </c>
      <c r="D413" s="177" t="s">
        <v>147</v>
      </c>
      <c r="E413" s="177" t="str">
        <f t="shared" si="18"/>
        <v/>
      </c>
    </row>
    <row r="414" spans="3:7">
      <c r="C414" s="177" t="s">
        <v>147</v>
      </c>
      <c r="D414" s="177" t="s">
        <v>147</v>
      </c>
      <c r="E414" s="177" t="str">
        <f t="shared" si="18"/>
        <v/>
      </c>
    </row>
    <row r="415" spans="3:7">
      <c r="C415" s="177" t="s">
        <v>147</v>
      </c>
      <c r="D415" s="177" t="s">
        <v>147</v>
      </c>
      <c r="E415" s="177" t="str">
        <f t="shared" si="18"/>
        <v/>
      </c>
    </row>
    <row r="416" spans="3:7">
      <c r="C416" s="177" t="s">
        <v>147</v>
      </c>
      <c r="D416" s="177" t="s">
        <v>147</v>
      </c>
      <c r="E416" s="177" t="str">
        <f t="shared" si="18"/>
        <v/>
      </c>
    </row>
    <row r="417" spans="3:5">
      <c r="C417" s="177" t="s">
        <v>147</v>
      </c>
      <c r="D417" s="177" t="s">
        <v>147</v>
      </c>
      <c r="E417" s="177" t="str">
        <f t="shared" si="18"/>
        <v/>
      </c>
    </row>
    <row r="418" spans="3:5">
      <c r="C418" s="177" t="s">
        <v>147</v>
      </c>
      <c r="D418" s="177" t="s">
        <v>147</v>
      </c>
      <c r="E418" s="177" t="str">
        <f t="shared" si="18"/>
        <v/>
      </c>
    </row>
    <row r="419" spans="3:5">
      <c r="C419" s="177" t="s">
        <v>147</v>
      </c>
      <c r="D419" s="177" t="s">
        <v>147</v>
      </c>
      <c r="E419" s="177" t="str">
        <f t="shared" si="18"/>
        <v/>
      </c>
    </row>
    <row r="420" spans="3:5">
      <c r="C420" s="177" t="s">
        <v>147</v>
      </c>
      <c r="D420" s="177" t="s">
        <v>147</v>
      </c>
      <c r="E420" s="177" t="str">
        <f t="shared" si="18"/>
        <v/>
      </c>
    </row>
    <row r="421" spans="3:5">
      <c r="C421" s="177" t="s">
        <v>147</v>
      </c>
      <c r="D421" s="177" t="s">
        <v>147</v>
      </c>
      <c r="E421" s="177" t="str">
        <f t="shared" si="18"/>
        <v/>
      </c>
    </row>
    <row r="422" spans="3:5">
      <c r="C422" s="177" t="s">
        <v>147</v>
      </c>
      <c r="D422" s="177" t="s">
        <v>147</v>
      </c>
      <c r="E422" s="177" t="str">
        <f t="shared" si="18"/>
        <v/>
      </c>
    </row>
    <row r="423" spans="3:5">
      <c r="C423" s="177" t="s">
        <v>147</v>
      </c>
      <c r="D423" s="177" t="s">
        <v>147</v>
      </c>
      <c r="E423" s="177" t="str">
        <f t="shared" si="18"/>
        <v/>
      </c>
    </row>
    <row r="424" spans="3:5">
      <c r="C424" s="177" t="s">
        <v>147</v>
      </c>
      <c r="D424" s="177" t="s">
        <v>147</v>
      </c>
      <c r="E424" s="177" t="str">
        <f t="shared" si="18"/>
        <v/>
      </c>
    </row>
    <row r="425" spans="3:5">
      <c r="C425" s="177" t="s">
        <v>147</v>
      </c>
      <c r="D425" s="177" t="s">
        <v>147</v>
      </c>
      <c r="E425" s="177" t="str">
        <f t="shared" si="18"/>
        <v/>
      </c>
    </row>
    <row r="426" spans="3:5">
      <c r="C426" s="177" t="s">
        <v>147</v>
      </c>
      <c r="D426" s="177" t="s">
        <v>147</v>
      </c>
      <c r="E426" s="177" t="str">
        <f t="shared" si="18"/>
        <v/>
      </c>
    </row>
    <row r="427" spans="3:5">
      <c r="C427" s="177" t="s">
        <v>147</v>
      </c>
      <c r="D427" s="177" t="s">
        <v>147</v>
      </c>
      <c r="E427" s="177" t="str">
        <f t="shared" si="18"/>
        <v/>
      </c>
    </row>
    <row r="428" spans="3:5">
      <c r="C428" s="177" t="s">
        <v>147</v>
      </c>
      <c r="D428" s="177" t="s">
        <v>147</v>
      </c>
      <c r="E428" s="177" t="str">
        <f t="shared" si="18"/>
        <v/>
      </c>
    </row>
    <row r="429" spans="3:5">
      <c r="C429" s="177" t="s">
        <v>147</v>
      </c>
      <c r="D429" s="177" t="s">
        <v>147</v>
      </c>
      <c r="E429" s="177" t="str">
        <f t="shared" si="18"/>
        <v/>
      </c>
    </row>
    <row r="430" spans="3:5">
      <c r="C430" s="177" t="s">
        <v>147</v>
      </c>
      <c r="D430" s="177" t="s">
        <v>147</v>
      </c>
      <c r="E430" s="177" t="str">
        <f t="shared" si="18"/>
        <v/>
      </c>
    </row>
    <row r="431" spans="3:5">
      <c r="C431" s="177" t="s">
        <v>147</v>
      </c>
      <c r="D431" s="177" t="s">
        <v>147</v>
      </c>
      <c r="E431" s="177" t="str">
        <f t="shared" si="18"/>
        <v/>
      </c>
    </row>
    <row r="432" spans="3:5">
      <c r="C432" s="177" t="s">
        <v>147</v>
      </c>
      <c r="D432" s="177" t="s">
        <v>147</v>
      </c>
      <c r="E432" s="177" t="str">
        <f t="shared" si="18"/>
        <v/>
      </c>
    </row>
    <row r="433" spans="3:5">
      <c r="C433" s="177" t="s">
        <v>147</v>
      </c>
      <c r="D433" s="177" t="s">
        <v>147</v>
      </c>
      <c r="E433" s="177" t="str">
        <f t="shared" si="18"/>
        <v/>
      </c>
    </row>
    <row r="434" spans="3:5">
      <c r="C434" s="177" t="s">
        <v>147</v>
      </c>
      <c r="D434" s="177" t="s">
        <v>147</v>
      </c>
      <c r="E434" s="177" t="str">
        <f t="shared" si="18"/>
        <v/>
      </c>
    </row>
    <row r="435" spans="3:5">
      <c r="C435" s="177" t="s">
        <v>147</v>
      </c>
      <c r="D435" s="177" t="s">
        <v>147</v>
      </c>
      <c r="E435" s="177" t="str">
        <f t="shared" si="18"/>
        <v/>
      </c>
    </row>
    <row r="436" spans="3:5">
      <c r="C436" s="177" t="s">
        <v>147</v>
      </c>
      <c r="D436" s="177" t="s">
        <v>147</v>
      </c>
      <c r="E436" s="177" t="str">
        <f t="shared" si="18"/>
        <v/>
      </c>
    </row>
    <row r="437" spans="3:5">
      <c r="C437" s="177" t="s">
        <v>147</v>
      </c>
      <c r="D437" s="177" t="s">
        <v>147</v>
      </c>
      <c r="E437" s="177" t="str">
        <f t="shared" si="18"/>
        <v/>
      </c>
    </row>
    <row r="438" spans="3:5">
      <c r="C438" s="177" t="s">
        <v>147</v>
      </c>
      <c r="D438" s="177" t="s">
        <v>147</v>
      </c>
      <c r="E438" s="177" t="str">
        <f t="shared" si="18"/>
        <v/>
      </c>
    </row>
    <row r="439" spans="3:5">
      <c r="C439" s="177" t="s">
        <v>147</v>
      </c>
      <c r="D439" s="177" t="s">
        <v>147</v>
      </c>
      <c r="E439" s="177" t="str">
        <f t="shared" si="18"/>
        <v/>
      </c>
    </row>
    <row r="440" spans="3:5">
      <c r="C440" s="177" t="s">
        <v>147</v>
      </c>
      <c r="D440" s="177" t="s">
        <v>147</v>
      </c>
      <c r="E440" s="177" t="str">
        <f t="shared" si="18"/>
        <v/>
      </c>
    </row>
    <row r="441" spans="3:5">
      <c r="C441" s="177" t="s">
        <v>147</v>
      </c>
      <c r="D441" s="177" t="s">
        <v>147</v>
      </c>
      <c r="E441" s="177" t="str">
        <f t="shared" si="18"/>
        <v/>
      </c>
    </row>
    <row r="442" spans="3:5">
      <c r="C442" s="177" t="s">
        <v>147</v>
      </c>
      <c r="D442" s="177" t="s">
        <v>147</v>
      </c>
      <c r="E442" s="177" t="str">
        <f t="shared" si="18"/>
        <v/>
      </c>
    </row>
    <row r="443" spans="3:5">
      <c r="C443" s="177" t="s">
        <v>147</v>
      </c>
      <c r="D443" s="177" t="s">
        <v>147</v>
      </c>
      <c r="E443" s="177" t="str">
        <f t="shared" si="18"/>
        <v/>
      </c>
    </row>
    <row r="444" spans="3:5">
      <c r="C444" s="177" t="s">
        <v>147</v>
      </c>
      <c r="D444" s="177" t="s">
        <v>147</v>
      </c>
      <c r="E444" s="177" t="str">
        <f t="shared" si="18"/>
        <v/>
      </c>
    </row>
    <row r="445" spans="3:5">
      <c r="C445" s="177" t="s">
        <v>147</v>
      </c>
      <c r="D445" s="177" t="s">
        <v>147</v>
      </c>
      <c r="E445" s="177" t="str">
        <f t="shared" si="18"/>
        <v/>
      </c>
    </row>
    <row r="446" spans="3:5">
      <c r="C446" s="177" t="s">
        <v>147</v>
      </c>
      <c r="D446" s="177" t="s">
        <v>147</v>
      </c>
      <c r="E446" s="177" t="str">
        <f t="shared" si="18"/>
        <v/>
      </c>
    </row>
    <row r="447" spans="3:5">
      <c r="C447" s="177" t="s">
        <v>147</v>
      </c>
      <c r="D447" s="177" t="s">
        <v>147</v>
      </c>
      <c r="E447" s="177" t="str">
        <f t="shared" si="18"/>
        <v/>
      </c>
    </row>
    <row r="448" spans="3:5">
      <c r="C448" s="177" t="s">
        <v>147</v>
      </c>
      <c r="D448" s="177" t="s">
        <v>147</v>
      </c>
      <c r="E448" s="177" t="str">
        <f t="shared" si="18"/>
        <v/>
      </c>
    </row>
    <row r="449" spans="3:5">
      <c r="C449" s="177" t="s">
        <v>147</v>
      </c>
      <c r="D449" s="177" t="s">
        <v>147</v>
      </c>
      <c r="E449" s="177" t="str">
        <f t="shared" si="18"/>
        <v/>
      </c>
    </row>
    <row r="450" spans="3:5">
      <c r="C450" s="177" t="s">
        <v>147</v>
      </c>
      <c r="D450" s="177" t="s">
        <v>147</v>
      </c>
      <c r="E450" s="177" t="str">
        <f t="shared" si="18"/>
        <v/>
      </c>
    </row>
    <row r="451" spans="3:5">
      <c r="C451" s="177" t="s">
        <v>147</v>
      </c>
      <c r="D451" s="177" t="s">
        <v>147</v>
      </c>
      <c r="E451" s="177" t="str">
        <f t="shared" si="18"/>
        <v/>
      </c>
    </row>
    <row r="452" spans="3:5">
      <c r="C452" s="177" t="s">
        <v>147</v>
      </c>
      <c r="D452" s="177" t="s">
        <v>147</v>
      </c>
      <c r="E452" s="177" t="str">
        <f t="shared" ref="E452:E515" si="21">IF(C452&lt;D452,C452,D452)</f>
        <v/>
      </c>
    </row>
    <row r="453" spans="3:5">
      <c r="C453" s="177" t="s">
        <v>147</v>
      </c>
      <c r="D453" s="177" t="s">
        <v>147</v>
      </c>
      <c r="E453" s="177" t="str">
        <f t="shared" si="21"/>
        <v/>
      </c>
    </row>
    <row r="454" spans="3:5">
      <c r="C454" s="177" t="s">
        <v>147</v>
      </c>
      <c r="D454" s="177" t="s">
        <v>147</v>
      </c>
      <c r="E454" s="177" t="str">
        <f t="shared" si="21"/>
        <v/>
      </c>
    </row>
    <row r="455" spans="3:5">
      <c r="C455" s="177" t="s">
        <v>147</v>
      </c>
      <c r="D455" s="177" t="s">
        <v>147</v>
      </c>
      <c r="E455" s="177" t="str">
        <f t="shared" si="21"/>
        <v/>
      </c>
    </row>
    <row r="456" spans="3:5">
      <c r="C456" s="177" t="s">
        <v>147</v>
      </c>
      <c r="D456" s="177" t="s">
        <v>147</v>
      </c>
      <c r="E456" s="177" t="str">
        <f t="shared" si="21"/>
        <v/>
      </c>
    </row>
    <row r="457" spans="3:5">
      <c r="C457" s="177" t="s">
        <v>147</v>
      </c>
      <c r="D457" s="177" t="s">
        <v>147</v>
      </c>
      <c r="E457" s="177" t="str">
        <f t="shared" si="21"/>
        <v/>
      </c>
    </row>
    <row r="458" spans="3:5">
      <c r="C458" s="177" t="s">
        <v>147</v>
      </c>
      <c r="D458" s="177" t="s">
        <v>147</v>
      </c>
      <c r="E458" s="177" t="str">
        <f t="shared" si="21"/>
        <v/>
      </c>
    </row>
    <row r="459" spans="3:5">
      <c r="C459" s="177" t="s">
        <v>147</v>
      </c>
      <c r="D459" s="177" t="s">
        <v>147</v>
      </c>
      <c r="E459" s="177" t="str">
        <f t="shared" si="21"/>
        <v/>
      </c>
    </row>
    <row r="460" spans="3:5">
      <c r="C460" s="177" t="s">
        <v>147</v>
      </c>
      <c r="D460" s="177" t="s">
        <v>147</v>
      </c>
      <c r="E460" s="177" t="str">
        <f t="shared" si="21"/>
        <v/>
      </c>
    </row>
    <row r="461" spans="3:5">
      <c r="C461" s="177" t="s">
        <v>147</v>
      </c>
      <c r="D461" s="177" t="s">
        <v>147</v>
      </c>
      <c r="E461" s="177" t="str">
        <f t="shared" si="21"/>
        <v/>
      </c>
    </row>
    <row r="462" spans="3:5">
      <c r="C462" s="177" t="s">
        <v>147</v>
      </c>
      <c r="D462" s="177" t="s">
        <v>147</v>
      </c>
      <c r="E462" s="177" t="str">
        <f t="shared" si="21"/>
        <v/>
      </c>
    </row>
    <row r="463" spans="3:5">
      <c r="C463" s="177" t="s">
        <v>147</v>
      </c>
      <c r="D463" s="177" t="s">
        <v>147</v>
      </c>
      <c r="E463" s="177" t="str">
        <f t="shared" si="21"/>
        <v/>
      </c>
    </row>
    <row r="464" spans="3:5">
      <c r="C464" s="177" t="s">
        <v>147</v>
      </c>
      <c r="D464" s="177" t="s">
        <v>147</v>
      </c>
      <c r="E464" s="177" t="str">
        <f t="shared" si="21"/>
        <v/>
      </c>
    </row>
    <row r="465" spans="3:5">
      <c r="C465" s="177" t="s">
        <v>147</v>
      </c>
      <c r="D465" s="177" t="s">
        <v>147</v>
      </c>
      <c r="E465" s="177" t="str">
        <f t="shared" si="21"/>
        <v/>
      </c>
    </row>
    <row r="466" spans="3:5">
      <c r="C466" s="177" t="s">
        <v>147</v>
      </c>
      <c r="D466" s="177" t="s">
        <v>147</v>
      </c>
      <c r="E466" s="177" t="str">
        <f t="shared" si="21"/>
        <v/>
      </c>
    </row>
    <row r="467" spans="3:5">
      <c r="C467" s="177" t="s">
        <v>147</v>
      </c>
      <c r="D467" s="177" t="s">
        <v>147</v>
      </c>
      <c r="E467" s="177" t="str">
        <f t="shared" si="21"/>
        <v/>
      </c>
    </row>
    <row r="468" spans="3:5">
      <c r="C468" s="177" t="s">
        <v>147</v>
      </c>
      <c r="D468" s="177" t="s">
        <v>147</v>
      </c>
      <c r="E468" s="177" t="str">
        <f t="shared" si="21"/>
        <v/>
      </c>
    </row>
    <row r="469" spans="3:5">
      <c r="C469" s="177" t="s">
        <v>147</v>
      </c>
      <c r="D469" s="177" t="s">
        <v>147</v>
      </c>
      <c r="E469" s="177" t="str">
        <f t="shared" si="21"/>
        <v/>
      </c>
    </row>
    <row r="470" spans="3:5">
      <c r="C470" s="177" t="s">
        <v>147</v>
      </c>
      <c r="D470" s="177" t="s">
        <v>147</v>
      </c>
      <c r="E470" s="177" t="str">
        <f t="shared" si="21"/>
        <v/>
      </c>
    </row>
    <row r="471" spans="3:5">
      <c r="C471" s="177" t="s">
        <v>147</v>
      </c>
      <c r="D471" s="177" t="s">
        <v>147</v>
      </c>
      <c r="E471" s="177" t="str">
        <f t="shared" si="21"/>
        <v/>
      </c>
    </row>
    <row r="472" spans="3:5">
      <c r="C472" s="177" t="s">
        <v>147</v>
      </c>
      <c r="D472" s="177" t="s">
        <v>147</v>
      </c>
      <c r="E472" s="177" t="str">
        <f t="shared" si="21"/>
        <v/>
      </c>
    </row>
    <row r="473" spans="3:5">
      <c r="C473" s="177" t="s">
        <v>147</v>
      </c>
      <c r="D473" s="177" t="s">
        <v>147</v>
      </c>
      <c r="E473" s="177" t="str">
        <f t="shared" si="21"/>
        <v/>
      </c>
    </row>
    <row r="474" spans="3:5">
      <c r="C474" s="177" t="s">
        <v>147</v>
      </c>
      <c r="D474" s="177" t="s">
        <v>147</v>
      </c>
      <c r="E474" s="177" t="str">
        <f t="shared" si="21"/>
        <v/>
      </c>
    </row>
    <row r="475" spans="3:5">
      <c r="C475" s="177" t="s">
        <v>147</v>
      </c>
      <c r="D475" s="177" t="s">
        <v>147</v>
      </c>
      <c r="E475" s="177" t="str">
        <f t="shared" si="21"/>
        <v/>
      </c>
    </row>
    <row r="476" spans="3:5">
      <c r="C476" s="177" t="s">
        <v>147</v>
      </c>
      <c r="D476" s="177" t="s">
        <v>147</v>
      </c>
      <c r="E476" s="177" t="str">
        <f t="shared" si="21"/>
        <v/>
      </c>
    </row>
    <row r="477" spans="3:5">
      <c r="C477" s="177" t="s">
        <v>147</v>
      </c>
      <c r="D477" s="177" t="s">
        <v>147</v>
      </c>
      <c r="E477" s="177" t="str">
        <f t="shared" si="21"/>
        <v/>
      </c>
    </row>
    <row r="478" spans="3:5">
      <c r="C478" s="177" t="s">
        <v>147</v>
      </c>
      <c r="D478" s="177" t="s">
        <v>147</v>
      </c>
      <c r="E478" s="177" t="str">
        <f t="shared" si="21"/>
        <v/>
      </c>
    </row>
    <row r="479" spans="3:5">
      <c r="C479" s="177" t="s">
        <v>147</v>
      </c>
      <c r="D479" s="177" t="s">
        <v>147</v>
      </c>
      <c r="E479" s="177" t="str">
        <f t="shared" si="21"/>
        <v/>
      </c>
    </row>
    <row r="480" spans="3:5">
      <c r="C480" s="177" t="s">
        <v>147</v>
      </c>
      <c r="D480" s="177" t="s">
        <v>147</v>
      </c>
      <c r="E480" s="177" t="str">
        <f t="shared" si="21"/>
        <v/>
      </c>
    </row>
    <row r="481" spans="3:5">
      <c r="C481" s="177" t="s">
        <v>147</v>
      </c>
      <c r="D481" s="177" t="s">
        <v>147</v>
      </c>
      <c r="E481" s="177" t="str">
        <f t="shared" si="21"/>
        <v/>
      </c>
    </row>
    <row r="482" spans="3:5">
      <c r="C482" s="177" t="s">
        <v>147</v>
      </c>
      <c r="D482" s="177" t="s">
        <v>147</v>
      </c>
      <c r="E482" s="177" t="str">
        <f t="shared" si="21"/>
        <v/>
      </c>
    </row>
    <row r="483" spans="3:5">
      <c r="C483" s="177" t="s">
        <v>147</v>
      </c>
      <c r="D483" s="177" t="s">
        <v>147</v>
      </c>
      <c r="E483" s="177" t="str">
        <f t="shared" si="21"/>
        <v/>
      </c>
    </row>
    <row r="484" spans="3:5">
      <c r="C484" s="177" t="s">
        <v>147</v>
      </c>
      <c r="D484" s="177" t="s">
        <v>147</v>
      </c>
      <c r="E484" s="177" t="str">
        <f t="shared" si="21"/>
        <v/>
      </c>
    </row>
    <row r="485" spans="3:5">
      <c r="C485" s="177" t="s">
        <v>147</v>
      </c>
      <c r="D485" s="177" t="s">
        <v>147</v>
      </c>
      <c r="E485" s="177" t="str">
        <f t="shared" si="21"/>
        <v/>
      </c>
    </row>
    <row r="486" spans="3:5">
      <c r="C486" s="177" t="s">
        <v>147</v>
      </c>
      <c r="D486" s="177" t="s">
        <v>147</v>
      </c>
      <c r="E486" s="177" t="str">
        <f t="shared" si="21"/>
        <v/>
      </c>
    </row>
    <row r="487" spans="3:5">
      <c r="C487" s="177" t="s">
        <v>147</v>
      </c>
      <c r="D487" s="177" t="s">
        <v>147</v>
      </c>
      <c r="E487" s="177" t="str">
        <f t="shared" si="21"/>
        <v/>
      </c>
    </row>
    <row r="488" spans="3:5">
      <c r="C488" s="177" t="s">
        <v>147</v>
      </c>
      <c r="D488" s="177" t="s">
        <v>147</v>
      </c>
      <c r="E488" s="177" t="str">
        <f t="shared" si="21"/>
        <v/>
      </c>
    </row>
    <row r="489" spans="3:5">
      <c r="C489" s="177" t="s">
        <v>147</v>
      </c>
      <c r="D489" s="177" t="s">
        <v>147</v>
      </c>
      <c r="E489" s="177" t="str">
        <f t="shared" si="21"/>
        <v/>
      </c>
    </row>
    <row r="490" spans="3:5">
      <c r="C490" s="177" t="s">
        <v>147</v>
      </c>
      <c r="D490" s="177" t="s">
        <v>147</v>
      </c>
      <c r="E490" s="177" t="str">
        <f t="shared" si="21"/>
        <v/>
      </c>
    </row>
    <row r="491" spans="3:5">
      <c r="C491" s="177" t="s">
        <v>147</v>
      </c>
      <c r="D491" s="177" t="s">
        <v>147</v>
      </c>
      <c r="E491" s="177" t="str">
        <f t="shared" si="21"/>
        <v/>
      </c>
    </row>
    <row r="492" spans="3:5">
      <c r="C492" s="177" t="s">
        <v>147</v>
      </c>
      <c r="D492" s="177" t="s">
        <v>147</v>
      </c>
      <c r="E492" s="177" t="str">
        <f t="shared" si="21"/>
        <v/>
      </c>
    </row>
    <row r="493" spans="3:5">
      <c r="C493" s="177" t="s">
        <v>147</v>
      </c>
      <c r="D493" s="177" t="s">
        <v>147</v>
      </c>
      <c r="E493" s="177" t="str">
        <f t="shared" si="21"/>
        <v/>
      </c>
    </row>
    <row r="494" spans="3:5">
      <c r="C494" s="177" t="s">
        <v>147</v>
      </c>
      <c r="D494" s="177" t="s">
        <v>147</v>
      </c>
      <c r="E494" s="177" t="str">
        <f t="shared" si="21"/>
        <v/>
      </c>
    </row>
    <row r="495" spans="3:5">
      <c r="C495" s="177" t="s">
        <v>147</v>
      </c>
      <c r="D495" s="177" t="s">
        <v>147</v>
      </c>
      <c r="E495" s="177" t="str">
        <f t="shared" si="21"/>
        <v/>
      </c>
    </row>
    <row r="496" spans="3:5">
      <c r="C496" s="177" t="s">
        <v>147</v>
      </c>
      <c r="D496" s="177" t="s">
        <v>147</v>
      </c>
      <c r="E496" s="177" t="str">
        <f t="shared" si="21"/>
        <v/>
      </c>
    </row>
    <row r="497" spans="3:5">
      <c r="C497" s="177" t="s">
        <v>147</v>
      </c>
      <c r="D497" s="177" t="s">
        <v>147</v>
      </c>
      <c r="E497" s="177" t="str">
        <f t="shared" si="21"/>
        <v/>
      </c>
    </row>
    <row r="498" spans="3:5">
      <c r="C498" s="177" t="s">
        <v>147</v>
      </c>
      <c r="D498" s="177" t="s">
        <v>147</v>
      </c>
      <c r="E498" s="177" t="str">
        <f t="shared" si="21"/>
        <v/>
      </c>
    </row>
    <row r="499" spans="3:5">
      <c r="C499" s="177" t="s">
        <v>147</v>
      </c>
      <c r="D499" s="177" t="s">
        <v>147</v>
      </c>
      <c r="E499" s="177" t="str">
        <f t="shared" si="21"/>
        <v/>
      </c>
    </row>
    <row r="500" spans="3:5">
      <c r="C500" s="177" t="s">
        <v>147</v>
      </c>
      <c r="D500" s="177" t="s">
        <v>147</v>
      </c>
      <c r="E500" s="177" t="str">
        <f t="shared" si="21"/>
        <v/>
      </c>
    </row>
    <row r="501" spans="3:5">
      <c r="C501" s="177" t="s">
        <v>147</v>
      </c>
      <c r="D501" s="177" t="s">
        <v>147</v>
      </c>
      <c r="E501" s="177" t="str">
        <f t="shared" si="21"/>
        <v/>
      </c>
    </row>
    <row r="502" spans="3:5">
      <c r="C502" s="177" t="s">
        <v>147</v>
      </c>
      <c r="D502" s="177" t="s">
        <v>147</v>
      </c>
      <c r="E502" s="177" t="str">
        <f t="shared" si="21"/>
        <v/>
      </c>
    </row>
    <row r="503" spans="3:5">
      <c r="C503" s="177" t="s">
        <v>147</v>
      </c>
      <c r="D503" s="177" t="s">
        <v>147</v>
      </c>
      <c r="E503" s="177" t="str">
        <f t="shared" si="21"/>
        <v/>
      </c>
    </row>
    <row r="504" spans="3:5">
      <c r="C504" s="177" t="s">
        <v>147</v>
      </c>
      <c r="D504" s="177" t="s">
        <v>147</v>
      </c>
      <c r="E504" s="177" t="str">
        <f t="shared" si="21"/>
        <v/>
      </c>
    </row>
    <row r="505" spans="3:5">
      <c r="C505" s="177" t="s">
        <v>147</v>
      </c>
      <c r="D505" s="177" t="s">
        <v>147</v>
      </c>
      <c r="E505" s="177" t="str">
        <f t="shared" si="21"/>
        <v/>
      </c>
    </row>
    <row r="506" spans="3:5">
      <c r="C506" s="177" t="s">
        <v>147</v>
      </c>
      <c r="D506" s="177" t="s">
        <v>147</v>
      </c>
      <c r="E506" s="177" t="str">
        <f t="shared" si="21"/>
        <v/>
      </c>
    </row>
    <row r="507" spans="3:5">
      <c r="C507" s="177" t="s">
        <v>147</v>
      </c>
      <c r="D507" s="177" t="s">
        <v>147</v>
      </c>
      <c r="E507" s="177" t="str">
        <f t="shared" si="21"/>
        <v/>
      </c>
    </row>
    <row r="508" spans="3:5">
      <c r="C508" s="177" t="s">
        <v>147</v>
      </c>
      <c r="D508" s="177" t="s">
        <v>147</v>
      </c>
      <c r="E508" s="177" t="str">
        <f t="shared" si="21"/>
        <v/>
      </c>
    </row>
    <row r="509" spans="3:5">
      <c r="C509" s="177" t="s">
        <v>147</v>
      </c>
      <c r="D509" s="177" t="s">
        <v>147</v>
      </c>
      <c r="E509" s="177" t="str">
        <f t="shared" si="21"/>
        <v/>
      </c>
    </row>
    <row r="510" spans="3:5">
      <c r="C510" s="177" t="s">
        <v>147</v>
      </c>
      <c r="D510" s="177" t="s">
        <v>147</v>
      </c>
      <c r="E510" s="177" t="str">
        <f t="shared" si="21"/>
        <v/>
      </c>
    </row>
    <row r="511" spans="3:5">
      <c r="C511" s="177" t="s">
        <v>147</v>
      </c>
      <c r="D511" s="177" t="s">
        <v>147</v>
      </c>
      <c r="E511" s="177" t="str">
        <f t="shared" si="21"/>
        <v/>
      </c>
    </row>
    <row r="512" spans="3:5">
      <c r="C512" s="177" t="s">
        <v>147</v>
      </c>
      <c r="D512" s="177" t="s">
        <v>147</v>
      </c>
      <c r="E512" s="177" t="str">
        <f t="shared" si="21"/>
        <v/>
      </c>
    </row>
    <row r="513" spans="3:5">
      <c r="C513" s="177" t="s">
        <v>147</v>
      </c>
      <c r="D513" s="177" t="s">
        <v>147</v>
      </c>
      <c r="E513" s="177" t="str">
        <f t="shared" si="21"/>
        <v/>
      </c>
    </row>
    <row r="514" spans="3:5">
      <c r="C514" s="177" t="s">
        <v>147</v>
      </c>
      <c r="D514" s="177" t="s">
        <v>147</v>
      </c>
      <c r="E514" s="177" t="str">
        <f t="shared" si="21"/>
        <v/>
      </c>
    </row>
    <row r="515" spans="3:5">
      <c r="C515" s="177" t="s">
        <v>147</v>
      </c>
      <c r="D515" s="177" t="s">
        <v>147</v>
      </c>
      <c r="E515" s="177" t="str">
        <f t="shared" si="21"/>
        <v/>
      </c>
    </row>
    <row r="516" spans="3:5">
      <c r="C516" s="177" t="s">
        <v>147</v>
      </c>
      <c r="D516" s="177" t="s">
        <v>147</v>
      </c>
      <c r="E516" s="177" t="str">
        <f t="shared" ref="E516:E579" si="22">IF(C516&lt;D516,C516,D516)</f>
        <v/>
      </c>
    </row>
    <row r="517" spans="3:5">
      <c r="C517" s="177" t="s">
        <v>147</v>
      </c>
      <c r="D517" s="177" t="s">
        <v>147</v>
      </c>
      <c r="E517" s="177" t="str">
        <f t="shared" si="22"/>
        <v/>
      </c>
    </row>
    <row r="518" spans="3:5">
      <c r="C518" s="177" t="s">
        <v>147</v>
      </c>
      <c r="D518" s="177" t="s">
        <v>147</v>
      </c>
      <c r="E518" s="177" t="str">
        <f t="shared" si="22"/>
        <v/>
      </c>
    </row>
    <row r="519" spans="3:5">
      <c r="C519" s="177" t="s">
        <v>147</v>
      </c>
      <c r="D519" s="177" t="s">
        <v>147</v>
      </c>
      <c r="E519" s="177" t="str">
        <f t="shared" si="22"/>
        <v/>
      </c>
    </row>
    <row r="520" spans="3:5">
      <c r="C520" s="177" t="s">
        <v>147</v>
      </c>
      <c r="D520" s="177" t="s">
        <v>147</v>
      </c>
      <c r="E520" s="177" t="str">
        <f t="shared" si="22"/>
        <v/>
      </c>
    </row>
    <row r="521" spans="3:5">
      <c r="C521" s="177" t="s">
        <v>147</v>
      </c>
      <c r="D521" s="177" t="s">
        <v>147</v>
      </c>
      <c r="E521" s="177" t="str">
        <f t="shared" si="22"/>
        <v/>
      </c>
    </row>
    <row r="522" spans="3:5">
      <c r="C522" s="177" t="s">
        <v>147</v>
      </c>
      <c r="D522" s="177" t="s">
        <v>147</v>
      </c>
      <c r="E522" s="177" t="str">
        <f t="shared" si="22"/>
        <v/>
      </c>
    </row>
    <row r="523" spans="3:5">
      <c r="C523" s="177" t="s">
        <v>147</v>
      </c>
      <c r="D523" s="177" t="s">
        <v>147</v>
      </c>
      <c r="E523" s="177" t="str">
        <f t="shared" si="22"/>
        <v/>
      </c>
    </row>
    <row r="524" spans="3:5">
      <c r="C524" s="177" t="s">
        <v>147</v>
      </c>
      <c r="D524" s="177" t="s">
        <v>147</v>
      </c>
      <c r="E524" s="177" t="str">
        <f t="shared" si="22"/>
        <v/>
      </c>
    </row>
    <row r="525" spans="3:5">
      <c r="C525" s="177" t="s">
        <v>147</v>
      </c>
      <c r="D525" s="177" t="s">
        <v>147</v>
      </c>
      <c r="E525" s="177" t="str">
        <f t="shared" si="22"/>
        <v/>
      </c>
    </row>
    <row r="526" spans="3:5">
      <c r="C526" s="177" t="s">
        <v>147</v>
      </c>
      <c r="D526" s="177" t="s">
        <v>147</v>
      </c>
      <c r="E526" s="177" t="str">
        <f t="shared" si="22"/>
        <v/>
      </c>
    </row>
    <row r="527" spans="3:5">
      <c r="C527" s="177" t="s">
        <v>147</v>
      </c>
      <c r="D527" s="177" t="s">
        <v>147</v>
      </c>
      <c r="E527" s="177" t="str">
        <f t="shared" si="22"/>
        <v/>
      </c>
    </row>
    <row r="528" spans="3:5">
      <c r="C528" s="177" t="s">
        <v>147</v>
      </c>
      <c r="D528" s="177" t="s">
        <v>147</v>
      </c>
      <c r="E528" s="177" t="str">
        <f t="shared" si="22"/>
        <v/>
      </c>
    </row>
    <row r="529" spans="3:5">
      <c r="C529" s="177" t="s">
        <v>147</v>
      </c>
      <c r="D529" s="177" t="s">
        <v>147</v>
      </c>
      <c r="E529" s="177" t="str">
        <f t="shared" si="22"/>
        <v/>
      </c>
    </row>
    <row r="530" spans="3:5">
      <c r="C530" s="177" t="s">
        <v>147</v>
      </c>
      <c r="D530" s="177" t="s">
        <v>147</v>
      </c>
      <c r="E530" s="177" t="str">
        <f t="shared" si="22"/>
        <v/>
      </c>
    </row>
    <row r="531" spans="3:5">
      <c r="C531" s="177" t="s">
        <v>147</v>
      </c>
      <c r="D531" s="177" t="s">
        <v>147</v>
      </c>
      <c r="E531" s="177" t="str">
        <f t="shared" si="22"/>
        <v/>
      </c>
    </row>
    <row r="532" spans="3:5">
      <c r="C532" s="177" t="s">
        <v>147</v>
      </c>
      <c r="D532" s="177" t="s">
        <v>147</v>
      </c>
      <c r="E532" s="177" t="str">
        <f t="shared" si="22"/>
        <v/>
      </c>
    </row>
    <row r="533" spans="3:5">
      <c r="C533" s="177" t="s">
        <v>147</v>
      </c>
      <c r="D533" s="177" t="s">
        <v>147</v>
      </c>
      <c r="E533" s="177" t="str">
        <f t="shared" si="22"/>
        <v/>
      </c>
    </row>
    <row r="534" spans="3:5">
      <c r="C534" s="177" t="s">
        <v>147</v>
      </c>
      <c r="D534" s="177" t="s">
        <v>147</v>
      </c>
      <c r="E534" s="177" t="str">
        <f t="shared" si="22"/>
        <v/>
      </c>
    </row>
    <row r="535" spans="3:5">
      <c r="C535" s="177" t="s">
        <v>147</v>
      </c>
      <c r="D535" s="177" t="s">
        <v>147</v>
      </c>
      <c r="E535" s="177" t="str">
        <f t="shared" si="22"/>
        <v/>
      </c>
    </row>
    <row r="536" spans="3:5">
      <c r="C536" s="177" t="s">
        <v>147</v>
      </c>
      <c r="D536" s="177" t="s">
        <v>147</v>
      </c>
      <c r="E536" s="177" t="str">
        <f t="shared" si="22"/>
        <v/>
      </c>
    </row>
    <row r="537" spans="3:5">
      <c r="C537" s="177" t="s">
        <v>147</v>
      </c>
      <c r="D537" s="177" t="s">
        <v>147</v>
      </c>
      <c r="E537" s="177" t="str">
        <f t="shared" si="22"/>
        <v/>
      </c>
    </row>
    <row r="538" spans="3:5">
      <c r="C538" s="177" t="s">
        <v>147</v>
      </c>
      <c r="D538" s="177" t="s">
        <v>147</v>
      </c>
      <c r="E538" s="177" t="str">
        <f t="shared" si="22"/>
        <v/>
      </c>
    </row>
    <row r="539" spans="3:5">
      <c r="C539" s="177" t="s">
        <v>147</v>
      </c>
      <c r="D539" s="177" t="s">
        <v>147</v>
      </c>
      <c r="E539" s="177" t="str">
        <f t="shared" si="22"/>
        <v/>
      </c>
    </row>
    <row r="540" spans="3:5">
      <c r="C540" s="177" t="s">
        <v>147</v>
      </c>
      <c r="D540" s="177" t="s">
        <v>147</v>
      </c>
      <c r="E540" s="177" t="str">
        <f t="shared" si="22"/>
        <v/>
      </c>
    </row>
    <row r="541" spans="3:5">
      <c r="C541" s="177" t="s">
        <v>147</v>
      </c>
      <c r="D541" s="177" t="s">
        <v>147</v>
      </c>
      <c r="E541" s="177" t="str">
        <f t="shared" si="22"/>
        <v/>
      </c>
    </row>
    <row r="542" spans="3:5">
      <c r="C542" s="177" t="s">
        <v>147</v>
      </c>
      <c r="D542" s="177" t="s">
        <v>147</v>
      </c>
      <c r="E542" s="177" t="str">
        <f t="shared" si="22"/>
        <v/>
      </c>
    </row>
    <row r="543" spans="3:5">
      <c r="C543" s="177" t="s">
        <v>147</v>
      </c>
      <c r="D543" s="177" t="s">
        <v>147</v>
      </c>
      <c r="E543" s="177" t="str">
        <f t="shared" si="22"/>
        <v/>
      </c>
    </row>
    <row r="544" spans="3:5">
      <c r="C544" s="177" t="s">
        <v>147</v>
      </c>
      <c r="D544" s="177" t="s">
        <v>147</v>
      </c>
      <c r="E544" s="177" t="str">
        <f t="shared" si="22"/>
        <v/>
      </c>
    </row>
    <row r="545" spans="3:5">
      <c r="C545" s="177" t="s">
        <v>147</v>
      </c>
      <c r="D545" s="177" t="s">
        <v>147</v>
      </c>
      <c r="E545" s="177" t="str">
        <f t="shared" si="22"/>
        <v/>
      </c>
    </row>
    <row r="546" spans="3:5">
      <c r="C546" s="177" t="s">
        <v>147</v>
      </c>
      <c r="D546" s="177" t="s">
        <v>147</v>
      </c>
      <c r="E546" s="177" t="str">
        <f t="shared" si="22"/>
        <v/>
      </c>
    </row>
    <row r="547" spans="3:5">
      <c r="C547" s="177" t="s">
        <v>147</v>
      </c>
      <c r="D547" s="177" t="s">
        <v>147</v>
      </c>
      <c r="E547" s="177" t="str">
        <f t="shared" si="22"/>
        <v/>
      </c>
    </row>
    <row r="548" spans="3:5">
      <c r="C548" s="177" t="s">
        <v>147</v>
      </c>
      <c r="D548" s="177" t="s">
        <v>147</v>
      </c>
      <c r="E548" s="177" t="str">
        <f t="shared" si="22"/>
        <v/>
      </c>
    </row>
    <row r="549" spans="3:5">
      <c r="C549" s="177" t="s">
        <v>147</v>
      </c>
      <c r="D549" s="177" t="s">
        <v>147</v>
      </c>
      <c r="E549" s="177" t="str">
        <f t="shared" si="22"/>
        <v/>
      </c>
    </row>
    <row r="550" spans="3:5">
      <c r="C550" s="177" t="s">
        <v>147</v>
      </c>
      <c r="D550" s="177" t="s">
        <v>147</v>
      </c>
      <c r="E550" s="177" t="str">
        <f t="shared" si="22"/>
        <v/>
      </c>
    </row>
    <row r="551" spans="3:5">
      <c r="C551" s="177" t="s">
        <v>147</v>
      </c>
      <c r="D551" s="177" t="s">
        <v>147</v>
      </c>
      <c r="E551" s="177" t="str">
        <f t="shared" si="22"/>
        <v/>
      </c>
    </row>
    <row r="552" spans="3:5">
      <c r="C552" s="177" t="s">
        <v>147</v>
      </c>
      <c r="D552" s="177" t="s">
        <v>147</v>
      </c>
      <c r="E552" s="177" t="str">
        <f t="shared" si="22"/>
        <v/>
      </c>
    </row>
    <row r="553" spans="3:5">
      <c r="C553" s="177" t="s">
        <v>147</v>
      </c>
      <c r="D553" s="177" t="s">
        <v>147</v>
      </c>
      <c r="E553" s="177" t="str">
        <f t="shared" si="22"/>
        <v/>
      </c>
    </row>
    <row r="554" spans="3:5">
      <c r="C554" s="177" t="s">
        <v>147</v>
      </c>
      <c r="D554" s="177" t="s">
        <v>147</v>
      </c>
      <c r="E554" s="177" t="str">
        <f t="shared" si="22"/>
        <v/>
      </c>
    </row>
    <row r="555" spans="3:5">
      <c r="C555" s="177" t="s">
        <v>147</v>
      </c>
      <c r="D555" s="177" t="s">
        <v>147</v>
      </c>
      <c r="E555" s="177" t="str">
        <f t="shared" si="22"/>
        <v/>
      </c>
    </row>
    <row r="556" spans="3:5">
      <c r="C556" s="177" t="s">
        <v>147</v>
      </c>
      <c r="D556" s="177" t="s">
        <v>147</v>
      </c>
      <c r="E556" s="177" t="str">
        <f t="shared" si="22"/>
        <v/>
      </c>
    </row>
    <row r="557" spans="3:5">
      <c r="C557" s="177" t="s">
        <v>147</v>
      </c>
      <c r="D557" s="177" t="s">
        <v>147</v>
      </c>
      <c r="E557" s="177" t="str">
        <f t="shared" si="22"/>
        <v/>
      </c>
    </row>
    <row r="558" spans="3:5">
      <c r="C558" s="177" t="s">
        <v>147</v>
      </c>
      <c r="D558" s="177" t="s">
        <v>147</v>
      </c>
      <c r="E558" s="177" t="str">
        <f t="shared" si="22"/>
        <v/>
      </c>
    </row>
    <row r="559" spans="3:5">
      <c r="C559" s="177" t="s">
        <v>147</v>
      </c>
      <c r="D559" s="177" t="s">
        <v>147</v>
      </c>
      <c r="E559" s="177" t="str">
        <f t="shared" si="22"/>
        <v/>
      </c>
    </row>
    <row r="560" spans="3:5">
      <c r="C560" s="177" t="s">
        <v>147</v>
      </c>
      <c r="D560" s="177" t="s">
        <v>147</v>
      </c>
      <c r="E560" s="177" t="str">
        <f t="shared" si="22"/>
        <v/>
      </c>
    </row>
    <row r="561" spans="3:5">
      <c r="C561" s="177" t="s">
        <v>147</v>
      </c>
      <c r="D561" s="177" t="s">
        <v>147</v>
      </c>
      <c r="E561" s="177" t="str">
        <f t="shared" si="22"/>
        <v/>
      </c>
    </row>
    <row r="562" spans="3:5">
      <c r="C562" s="177" t="s">
        <v>147</v>
      </c>
      <c r="D562" s="177" t="s">
        <v>147</v>
      </c>
      <c r="E562" s="177" t="str">
        <f t="shared" si="22"/>
        <v/>
      </c>
    </row>
    <row r="563" spans="3:5">
      <c r="C563" s="177" t="s">
        <v>147</v>
      </c>
      <c r="D563" s="177" t="s">
        <v>147</v>
      </c>
      <c r="E563" s="177" t="str">
        <f t="shared" si="22"/>
        <v/>
      </c>
    </row>
    <row r="564" spans="3:5">
      <c r="C564" s="177" t="s">
        <v>147</v>
      </c>
      <c r="D564" s="177" t="s">
        <v>147</v>
      </c>
      <c r="E564" s="177" t="str">
        <f t="shared" si="22"/>
        <v/>
      </c>
    </row>
    <row r="565" spans="3:5">
      <c r="C565" s="177" t="s">
        <v>147</v>
      </c>
      <c r="D565" s="177" t="s">
        <v>147</v>
      </c>
      <c r="E565" s="177" t="str">
        <f t="shared" si="22"/>
        <v/>
      </c>
    </row>
    <row r="566" spans="3:5">
      <c r="C566" s="177" t="s">
        <v>147</v>
      </c>
      <c r="D566" s="177" t="s">
        <v>147</v>
      </c>
      <c r="E566" s="177" t="str">
        <f t="shared" si="22"/>
        <v/>
      </c>
    </row>
    <row r="567" spans="3:5">
      <c r="C567" s="177" t="s">
        <v>147</v>
      </c>
      <c r="D567" s="177" t="s">
        <v>147</v>
      </c>
      <c r="E567" s="177" t="str">
        <f t="shared" si="22"/>
        <v/>
      </c>
    </row>
    <row r="568" spans="3:5">
      <c r="C568" s="177" t="s">
        <v>147</v>
      </c>
      <c r="D568" s="177" t="s">
        <v>147</v>
      </c>
      <c r="E568" s="177" t="str">
        <f t="shared" si="22"/>
        <v/>
      </c>
    </row>
    <row r="569" spans="3:5">
      <c r="C569" s="177" t="s">
        <v>147</v>
      </c>
      <c r="D569" s="177" t="s">
        <v>147</v>
      </c>
      <c r="E569" s="177" t="str">
        <f t="shared" si="22"/>
        <v/>
      </c>
    </row>
    <row r="570" spans="3:5">
      <c r="C570" s="177" t="s">
        <v>147</v>
      </c>
      <c r="D570" s="177" t="s">
        <v>147</v>
      </c>
      <c r="E570" s="177" t="str">
        <f t="shared" si="22"/>
        <v/>
      </c>
    </row>
    <row r="571" spans="3:5">
      <c r="C571" s="177" t="s">
        <v>147</v>
      </c>
      <c r="D571" s="177" t="s">
        <v>147</v>
      </c>
      <c r="E571" s="177" t="str">
        <f t="shared" si="22"/>
        <v/>
      </c>
    </row>
    <row r="572" spans="3:5">
      <c r="C572" s="177" t="s">
        <v>147</v>
      </c>
      <c r="D572" s="177" t="s">
        <v>147</v>
      </c>
      <c r="E572" s="177" t="str">
        <f t="shared" si="22"/>
        <v/>
      </c>
    </row>
    <row r="573" spans="3:5">
      <c r="C573" s="177" t="s">
        <v>147</v>
      </c>
      <c r="D573" s="177" t="s">
        <v>147</v>
      </c>
      <c r="E573" s="177" t="str">
        <f t="shared" si="22"/>
        <v/>
      </c>
    </row>
    <row r="574" spans="3:5">
      <c r="C574" s="177" t="s">
        <v>147</v>
      </c>
      <c r="D574" s="177" t="s">
        <v>147</v>
      </c>
      <c r="E574" s="177" t="str">
        <f t="shared" si="22"/>
        <v/>
      </c>
    </row>
    <row r="575" spans="3:5">
      <c r="C575" s="177" t="s">
        <v>147</v>
      </c>
      <c r="D575" s="177" t="s">
        <v>147</v>
      </c>
      <c r="E575" s="177" t="str">
        <f t="shared" si="22"/>
        <v/>
      </c>
    </row>
    <row r="576" spans="3:5">
      <c r="C576" s="177" t="s">
        <v>147</v>
      </c>
      <c r="D576" s="177" t="s">
        <v>147</v>
      </c>
      <c r="E576" s="177" t="str">
        <f t="shared" si="22"/>
        <v/>
      </c>
    </row>
    <row r="577" spans="3:5">
      <c r="C577" s="177" t="s">
        <v>147</v>
      </c>
      <c r="D577" s="177" t="s">
        <v>147</v>
      </c>
      <c r="E577" s="177" t="str">
        <f t="shared" si="22"/>
        <v/>
      </c>
    </row>
    <row r="578" spans="3:5">
      <c r="C578" s="177" t="s">
        <v>147</v>
      </c>
      <c r="D578" s="177" t="s">
        <v>147</v>
      </c>
      <c r="E578" s="177" t="str">
        <f t="shared" si="22"/>
        <v/>
      </c>
    </row>
    <row r="579" spans="3:5">
      <c r="C579" s="177" t="s">
        <v>147</v>
      </c>
      <c r="D579" s="177" t="s">
        <v>147</v>
      </c>
      <c r="E579" s="177" t="str">
        <f t="shared" si="22"/>
        <v/>
      </c>
    </row>
    <row r="580" spans="3:5">
      <c r="C580" s="177" t="s">
        <v>147</v>
      </c>
      <c r="D580" s="177" t="s">
        <v>147</v>
      </c>
      <c r="E580" s="177" t="str">
        <f t="shared" ref="E580:E643" si="23">IF(C580&lt;D580,C580,D580)</f>
        <v/>
      </c>
    </row>
    <row r="581" spans="3:5">
      <c r="C581" s="177" t="s">
        <v>147</v>
      </c>
      <c r="D581" s="177" t="s">
        <v>147</v>
      </c>
      <c r="E581" s="177" t="str">
        <f t="shared" si="23"/>
        <v/>
      </c>
    </row>
    <row r="582" spans="3:5">
      <c r="C582" s="177" t="s">
        <v>147</v>
      </c>
      <c r="D582" s="177" t="s">
        <v>147</v>
      </c>
      <c r="E582" s="177" t="str">
        <f t="shared" si="23"/>
        <v/>
      </c>
    </row>
    <row r="583" spans="3:5">
      <c r="C583" s="177" t="s">
        <v>147</v>
      </c>
      <c r="D583" s="177" t="s">
        <v>147</v>
      </c>
      <c r="E583" s="177" t="str">
        <f t="shared" si="23"/>
        <v/>
      </c>
    </row>
    <row r="584" spans="3:5">
      <c r="C584" s="177" t="s">
        <v>147</v>
      </c>
      <c r="D584" s="177" t="s">
        <v>147</v>
      </c>
      <c r="E584" s="177" t="str">
        <f t="shared" si="23"/>
        <v/>
      </c>
    </row>
    <row r="585" spans="3:5">
      <c r="C585" s="177" t="s">
        <v>147</v>
      </c>
      <c r="D585" s="177" t="s">
        <v>147</v>
      </c>
      <c r="E585" s="177" t="str">
        <f t="shared" si="23"/>
        <v/>
      </c>
    </row>
    <row r="586" spans="3:5">
      <c r="C586" s="177" t="s">
        <v>147</v>
      </c>
      <c r="D586" s="177" t="s">
        <v>147</v>
      </c>
      <c r="E586" s="177" t="str">
        <f t="shared" si="23"/>
        <v/>
      </c>
    </row>
    <row r="587" spans="3:5">
      <c r="C587" s="177" t="s">
        <v>147</v>
      </c>
      <c r="D587" s="177" t="s">
        <v>147</v>
      </c>
      <c r="E587" s="177" t="str">
        <f t="shared" si="23"/>
        <v/>
      </c>
    </row>
    <row r="588" spans="3:5">
      <c r="C588" s="177" t="s">
        <v>147</v>
      </c>
      <c r="D588" s="177" t="s">
        <v>147</v>
      </c>
      <c r="E588" s="177" t="str">
        <f t="shared" si="23"/>
        <v/>
      </c>
    </row>
    <row r="589" spans="3:5">
      <c r="C589" s="177" t="s">
        <v>147</v>
      </c>
      <c r="D589" s="177" t="s">
        <v>147</v>
      </c>
      <c r="E589" s="177" t="str">
        <f t="shared" si="23"/>
        <v/>
      </c>
    </row>
    <row r="590" spans="3:5">
      <c r="C590" s="177" t="s">
        <v>147</v>
      </c>
      <c r="D590" s="177" t="s">
        <v>147</v>
      </c>
      <c r="E590" s="177" t="str">
        <f t="shared" si="23"/>
        <v/>
      </c>
    </row>
    <row r="591" spans="3:5">
      <c r="C591" s="177" t="s">
        <v>147</v>
      </c>
      <c r="D591" s="177" t="s">
        <v>147</v>
      </c>
      <c r="E591" s="177" t="str">
        <f t="shared" si="23"/>
        <v/>
      </c>
    </row>
    <row r="592" spans="3:5">
      <c r="C592" s="177" t="s">
        <v>147</v>
      </c>
      <c r="D592" s="177" t="s">
        <v>147</v>
      </c>
      <c r="E592" s="177" t="str">
        <f t="shared" si="23"/>
        <v/>
      </c>
    </row>
    <row r="593" spans="3:5">
      <c r="C593" s="177" t="s">
        <v>147</v>
      </c>
      <c r="D593" s="177" t="s">
        <v>147</v>
      </c>
      <c r="E593" s="177" t="str">
        <f t="shared" si="23"/>
        <v/>
      </c>
    </row>
    <row r="594" spans="3:5">
      <c r="C594" s="177" t="s">
        <v>147</v>
      </c>
      <c r="D594" s="177" t="s">
        <v>147</v>
      </c>
      <c r="E594" s="177" t="str">
        <f t="shared" si="23"/>
        <v/>
      </c>
    </row>
    <row r="595" spans="3:5">
      <c r="C595" s="177" t="s">
        <v>147</v>
      </c>
      <c r="D595" s="177" t="s">
        <v>147</v>
      </c>
      <c r="E595" s="177" t="str">
        <f t="shared" si="23"/>
        <v/>
      </c>
    </row>
    <row r="596" spans="3:5">
      <c r="C596" s="177" t="s">
        <v>147</v>
      </c>
      <c r="D596" s="177" t="s">
        <v>147</v>
      </c>
      <c r="E596" s="177" t="str">
        <f t="shared" si="23"/>
        <v/>
      </c>
    </row>
    <row r="597" spans="3:5">
      <c r="C597" s="177" t="s">
        <v>147</v>
      </c>
      <c r="D597" s="177" t="s">
        <v>147</v>
      </c>
      <c r="E597" s="177" t="str">
        <f t="shared" si="23"/>
        <v/>
      </c>
    </row>
    <row r="598" spans="3:5">
      <c r="C598" s="177" t="s">
        <v>147</v>
      </c>
      <c r="D598" s="177" t="s">
        <v>147</v>
      </c>
      <c r="E598" s="177" t="str">
        <f t="shared" si="23"/>
        <v/>
      </c>
    </row>
    <row r="599" spans="3:5">
      <c r="C599" s="177" t="s">
        <v>147</v>
      </c>
      <c r="D599" s="177" t="s">
        <v>147</v>
      </c>
      <c r="E599" s="177" t="str">
        <f t="shared" si="23"/>
        <v/>
      </c>
    </row>
    <row r="600" spans="3:5">
      <c r="C600" s="177" t="s">
        <v>147</v>
      </c>
      <c r="D600" s="177" t="s">
        <v>147</v>
      </c>
      <c r="E600" s="177" t="str">
        <f t="shared" si="23"/>
        <v/>
      </c>
    </row>
    <row r="601" spans="3:5">
      <c r="C601" s="177" t="s">
        <v>147</v>
      </c>
      <c r="D601" s="177" t="s">
        <v>147</v>
      </c>
      <c r="E601" s="177" t="str">
        <f t="shared" si="23"/>
        <v/>
      </c>
    </row>
    <row r="602" spans="3:5">
      <c r="C602" s="177" t="s">
        <v>147</v>
      </c>
      <c r="D602" s="177" t="s">
        <v>147</v>
      </c>
      <c r="E602" s="177" t="str">
        <f t="shared" si="23"/>
        <v/>
      </c>
    </row>
    <row r="603" spans="3:5">
      <c r="C603" s="177" t="s">
        <v>147</v>
      </c>
      <c r="D603" s="177" t="s">
        <v>147</v>
      </c>
      <c r="E603" s="177" t="str">
        <f t="shared" si="23"/>
        <v/>
      </c>
    </row>
    <row r="604" spans="3:5">
      <c r="C604" s="177" t="s">
        <v>147</v>
      </c>
      <c r="D604" s="177" t="s">
        <v>147</v>
      </c>
      <c r="E604" s="177" t="str">
        <f t="shared" si="23"/>
        <v/>
      </c>
    </row>
    <row r="605" spans="3:5">
      <c r="C605" s="177" t="s">
        <v>147</v>
      </c>
      <c r="D605" s="177" t="s">
        <v>147</v>
      </c>
      <c r="E605" s="177" t="str">
        <f t="shared" si="23"/>
        <v/>
      </c>
    </row>
    <row r="606" spans="3:5">
      <c r="C606" s="177" t="s">
        <v>147</v>
      </c>
      <c r="D606" s="177" t="s">
        <v>147</v>
      </c>
      <c r="E606" s="177" t="str">
        <f t="shared" si="23"/>
        <v/>
      </c>
    </row>
    <row r="607" spans="3:5">
      <c r="C607" s="177" t="s">
        <v>147</v>
      </c>
      <c r="D607" s="177" t="s">
        <v>147</v>
      </c>
      <c r="E607" s="177" t="str">
        <f t="shared" si="23"/>
        <v/>
      </c>
    </row>
    <row r="608" spans="3:5">
      <c r="C608" s="177" t="s">
        <v>147</v>
      </c>
      <c r="D608" s="177" t="s">
        <v>147</v>
      </c>
      <c r="E608" s="177" t="str">
        <f t="shared" si="23"/>
        <v/>
      </c>
    </row>
    <row r="609" spans="3:5">
      <c r="C609" s="177" t="s">
        <v>147</v>
      </c>
      <c r="D609" s="177" t="s">
        <v>147</v>
      </c>
      <c r="E609" s="177" t="str">
        <f t="shared" si="23"/>
        <v/>
      </c>
    </row>
    <row r="610" spans="3:5">
      <c r="C610" s="177" t="s">
        <v>147</v>
      </c>
      <c r="D610" s="177" t="s">
        <v>147</v>
      </c>
      <c r="E610" s="177" t="str">
        <f t="shared" si="23"/>
        <v/>
      </c>
    </row>
    <row r="611" spans="3:5">
      <c r="C611" s="177" t="s">
        <v>147</v>
      </c>
      <c r="D611" s="177" t="s">
        <v>147</v>
      </c>
      <c r="E611" s="177" t="str">
        <f t="shared" si="23"/>
        <v/>
      </c>
    </row>
    <row r="612" spans="3:5">
      <c r="C612" s="177" t="s">
        <v>147</v>
      </c>
      <c r="D612" s="177" t="s">
        <v>147</v>
      </c>
      <c r="E612" s="177" t="str">
        <f t="shared" si="23"/>
        <v/>
      </c>
    </row>
    <row r="613" spans="3:5">
      <c r="C613" s="177" t="s">
        <v>147</v>
      </c>
      <c r="D613" s="177" t="s">
        <v>147</v>
      </c>
      <c r="E613" s="177" t="str">
        <f t="shared" si="23"/>
        <v/>
      </c>
    </row>
    <row r="614" spans="3:5">
      <c r="C614" s="177" t="s">
        <v>147</v>
      </c>
      <c r="D614" s="177" t="s">
        <v>147</v>
      </c>
      <c r="E614" s="177" t="str">
        <f t="shared" si="23"/>
        <v/>
      </c>
    </row>
    <row r="615" spans="3:5">
      <c r="C615" s="177" t="s">
        <v>147</v>
      </c>
      <c r="D615" s="177" t="s">
        <v>147</v>
      </c>
      <c r="E615" s="177" t="str">
        <f t="shared" si="23"/>
        <v/>
      </c>
    </row>
    <row r="616" spans="3:5">
      <c r="C616" s="177" t="s">
        <v>147</v>
      </c>
      <c r="D616" s="177" t="s">
        <v>147</v>
      </c>
      <c r="E616" s="177" t="str">
        <f t="shared" si="23"/>
        <v/>
      </c>
    </row>
    <row r="617" spans="3:5">
      <c r="C617" s="177" t="s">
        <v>147</v>
      </c>
      <c r="D617" s="177" t="s">
        <v>147</v>
      </c>
      <c r="E617" s="177" t="str">
        <f t="shared" si="23"/>
        <v/>
      </c>
    </row>
    <row r="618" spans="3:5">
      <c r="C618" s="177" t="s">
        <v>147</v>
      </c>
      <c r="D618" s="177" t="s">
        <v>147</v>
      </c>
      <c r="E618" s="177" t="str">
        <f t="shared" si="23"/>
        <v/>
      </c>
    </row>
    <row r="619" spans="3:5">
      <c r="C619" s="177" t="s">
        <v>147</v>
      </c>
      <c r="D619" s="177" t="s">
        <v>147</v>
      </c>
      <c r="E619" s="177" t="str">
        <f t="shared" si="23"/>
        <v/>
      </c>
    </row>
    <row r="620" spans="3:5">
      <c r="C620" s="177" t="s">
        <v>147</v>
      </c>
      <c r="D620" s="177" t="s">
        <v>147</v>
      </c>
      <c r="E620" s="177" t="str">
        <f t="shared" si="23"/>
        <v/>
      </c>
    </row>
    <row r="621" spans="3:5">
      <c r="C621" s="177" t="s">
        <v>147</v>
      </c>
      <c r="D621" s="177" t="s">
        <v>147</v>
      </c>
      <c r="E621" s="177" t="str">
        <f t="shared" si="23"/>
        <v/>
      </c>
    </row>
    <row r="622" spans="3:5">
      <c r="C622" s="177" t="s">
        <v>147</v>
      </c>
      <c r="D622" s="177" t="s">
        <v>147</v>
      </c>
      <c r="E622" s="177" t="str">
        <f t="shared" si="23"/>
        <v/>
      </c>
    </row>
    <row r="623" spans="3:5">
      <c r="C623" s="177" t="s">
        <v>147</v>
      </c>
      <c r="D623" s="177" t="s">
        <v>147</v>
      </c>
      <c r="E623" s="177" t="str">
        <f t="shared" si="23"/>
        <v/>
      </c>
    </row>
    <row r="624" spans="3:5">
      <c r="C624" s="177" t="s">
        <v>147</v>
      </c>
      <c r="D624" s="177" t="s">
        <v>147</v>
      </c>
      <c r="E624" s="177" t="str">
        <f t="shared" si="23"/>
        <v/>
      </c>
    </row>
    <row r="625" spans="3:5">
      <c r="C625" s="177" t="s">
        <v>147</v>
      </c>
      <c r="D625" s="177" t="s">
        <v>147</v>
      </c>
      <c r="E625" s="177" t="str">
        <f t="shared" si="23"/>
        <v/>
      </c>
    </row>
    <row r="626" spans="3:5">
      <c r="C626" s="177" t="s">
        <v>147</v>
      </c>
      <c r="D626" s="177" t="s">
        <v>147</v>
      </c>
      <c r="E626" s="177" t="str">
        <f t="shared" si="23"/>
        <v/>
      </c>
    </row>
    <row r="627" spans="3:5">
      <c r="C627" s="177" t="s">
        <v>147</v>
      </c>
      <c r="D627" s="177" t="s">
        <v>147</v>
      </c>
      <c r="E627" s="177" t="str">
        <f t="shared" si="23"/>
        <v/>
      </c>
    </row>
    <row r="628" spans="3:5">
      <c r="C628" s="177" t="s">
        <v>147</v>
      </c>
      <c r="D628" s="177" t="s">
        <v>147</v>
      </c>
      <c r="E628" s="177" t="str">
        <f t="shared" si="23"/>
        <v/>
      </c>
    </row>
    <row r="629" spans="3:5">
      <c r="C629" s="177" t="s">
        <v>147</v>
      </c>
      <c r="D629" s="177" t="s">
        <v>147</v>
      </c>
      <c r="E629" s="177" t="str">
        <f t="shared" si="23"/>
        <v/>
      </c>
    </row>
    <row r="630" spans="3:5">
      <c r="C630" s="177" t="s">
        <v>147</v>
      </c>
      <c r="D630" s="177" t="s">
        <v>147</v>
      </c>
      <c r="E630" s="177" t="str">
        <f t="shared" si="23"/>
        <v/>
      </c>
    </row>
    <row r="631" spans="3:5">
      <c r="C631" s="177" t="s">
        <v>147</v>
      </c>
      <c r="D631" s="177" t="s">
        <v>147</v>
      </c>
      <c r="E631" s="177" t="str">
        <f t="shared" si="23"/>
        <v/>
      </c>
    </row>
    <row r="632" spans="3:5">
      <c r="C632" s="177" t="s">
        <v>147</v>
      </c>
      <c r="D632" s="177" t="s">
        <v>147</v>
      </c>
      <c r="E632" s="177" t="str">
        <f t="shared" si="23"/>
        <v/>
      </c>
    </row>
    <row r="633" spans="3:5">
      <c r="C633" s="177" t="s">
        <v>147</v>
      </c>
      <c r="D633" s="177" t="s">
        <v>147</v>
      </c>
      <c r="E633" s="177" t="str">
        <f t="shared" si="23"/>
        <v/>
      </c>
    </row>
    <row r="634" spans="3:5">
      <c r="C634" s="177" t="s">
        <v>147</v>
      </c>
      <c r="D634" s="177" t="s">
        <v>147</v>
      </c>
      <c r="E634" s="177" t="str">
        <f t="shared" si="23"/>
        <v/>
      </c>
    </row>
    <row r="635" spans="3:5">
      <c r="C635" s="177" t="s">
        <v>147</v>
      </c>
      <c r="D635" s="177" t="s">
        <v>147</v>
      </c>
      <c r="E635" s="177" t="str">
        <f t="shared" si="23"/>
        <v/>
      </c>
    </row>
    <row r="636" spans="3:5">
      <c r="C636" s="177" t="s">
        <v>147</v>
      </c>
      <c r="D636" s="177" t="s">
        <v>147</v>
      </c>
      <c r="E636" s="177" t="str">
        <f t="shared" si="23"/>
        <v/>
      </c>
    </row>
    <row r="637" spans="3:5">
      <c r="C637" s="177" t="s">
        <v>147</v>
      </c>
      <c r="D637" s="177" t="s">
        <v>147</v>
      </c>
      <c r="E637" s="177" t="str">
        <f t="shared" si="23"/>
        <v/>
      </c>
    </row>
    <row r="638" spans="3:5">
      <c r="C638" s="177" t="s">
        <v>147</v>
      </c>
      <c r="D638" s="177" t="s">
        <v>147</v>
      </c>
      <c r="E638" s="177" t="str">
        <f t="shared" si="23"/>
        <v/>
      </c>
    </row>
    <row r="639" spans="3:5">
      <c r="C639" s="177" t="s">
        <v>147</v>
      </c>
      <c r="D639" s="177" t="s">
        <v>147</v>
      </c>
      <c r="E639" s="177" t="str">
        <f t="shared" si="23"/>
        <v/>
      </c>
    </row>
    <row r="640" spans="3:5">
      <c r="C640" s="177" t="s">
        <v>147</v>
      </c>
      <c r="D640" s="177" t="s">
        <v>147</v>
      </c>
      <c r="E640" s="177" t="str">
        <f t="shared" si="23"/>
        <v/>
      </c>
    </row>
    <row r="641" spans="3:5">
      <c r="C641" s="177" t="s">
        <v>147</v>
      </c>
      <c r="D641" s="177" t="s">
        <v>147</v>
      </c>
      <c r="E641" s="177" t="str">
        <f t="shared" si="23"/>
        <v/>
      </c>
    </row>
    <row r="642" spans="3:5">
      <c r="C642" s="177" t="s">
        <v>147</v>
      </c>
      <c r="D642" s="177" t="s">
        <v>147</v>
      </c>
      <c r="E642" s="177" t="str">
        <f t="shared" si="23"/>
        <v/>
      </c>
    </row>
    <row r="643" spans="3:5">
      <c r="C643" s="177" t="s">
        <v>147</v>
      </c>
      <c r="D643" s="177" t="s">
        <v>147</v>
      </c>
      <c r="E643" s="177" t="str">
        <f t="shared" si="23"/>
        <v/>
      </c>
    </row>
    <row r="644" spans="3:5">
      <c r="C644" s="177" t="s">
        <v>147</v>
      </c>
      <c r="D644" s="177" t="s">
        <v>147</v>
      </c>
      <c r="E644" s="177" t="str">
        <f t="shared" ref="E644:E707" si="24">IF(C644&lt;D644,C644,D644)</f>
        <v/>
      </c>
    </row>
    <row r="645" spans="3:5">
      <c r="C645" s="177" t="s">
        <v>147</v>
      </c>
      <c r="D645" s="177" t="s">
        <v>147</v>
      </c>
      <c r="E645" s="177" t="str">
        <f t="shared" si="24"/>
        <v/>
      </c>
    </row>
    <row r="646" spans="3:5">
      <c r="C646" s="177" t="s">
        <v>147</v>
      </c>
      <c r="D646" s="177" t="s">
        <v>147</v>
      </c>
      <c r="E646" s="177" t="str">
        <f t="shared" si="24"/>
        <v/>
      </c>
    </row>
    <row r="647" spans="3:5">
      <c r="C647" s="177" t="s">
        <v>147</v>
      </c>
      <c r="D647" s="177" t="s">
        <v>147</v>
      </c>
      <c r="E647" s="177" t="str">
        <f t="shared" si="24"/>
        <v/>
      </c>
    </row>
    <row r="648" spans="3:5">
      <c r="C648" s="177" t="s">
        <v>147</v>
      </c>
      <c r="D648" s="177" t="s">
        <v>147</v>
      </c>
      <c r="E648" s="177" t="str">
        <f t="shared" si="24"/>
        <v/>
      </c>
    </row>
    <row r="649" spans="3:5">
      <c r="C649" s="177" t="s">
        <v>147</v>
      </c>
      <c r="D649" s="177" t="s">
        <v>147</v>
      </c>
      <c r="E649" s="177" t="str">
        <f t="shared" si="24"/>
        <v/>
      </c>
    </row>
    <row r="650" spans="3:5">
      <c r="C650" s="177" t="s">
        <v>147</v>
      </c>
      <c r="D650" s="177" t="s">
        <v>147</v>
      </c>
      <c r="E650" s="177" t="str">
        <f t="shared" si="24"/>
        <v/>
      </c>
    </row>
    <row r="651" spans="3:5">
      <c r="C651" s="177" t="s">
        <v>147</v>
      </c>
      <c r="D651" s="177" t="s">
        <v>147</v>
      </c>
      <c r="E651" s="177" t="str">
        <f t="shared" si="24"/>
        <v/>
      </c>
    </row>
    <row r="652" spans="3:5">
      <c r="C652" s="177" t="s">
        <v>147</v>
      </c>
      <c r="D652" s="177" t="s">
        <v>147</v>
      </c>
      <c r="E652" s="177" t="str">
        <f t="shared" si="24"/>
        <v/>
      </c>
    </row>
    <row r="653" spans="3:5">
      <c r="C653" s="177" t="s">
        <v>147</v>
      </c>
      <c r="D653" s="177" t="s">
        <v>147</v>
      </c>
      <c r="E653" s="177" t="str">
        <f t="shared" si="24"/>
        <v/>
      </c>
    </row>
    <row r="654" spans="3:5">
      <c r="C654" s="177" t="s">
        <v>147</v>
      </c>
      <c r="D654" s="177" t="s">
        <v>147</v>
      </c>
      <c r="E654" s="177" t="str">
        <f t="shared" si="24"/>
        <v/>
      </c>
    </row>
    <row r="655" spans="3:5">
      <c r="C655" s="177" t="s">
        <v>147</v>
      </c>
      <c r="D655" s="177" t="s">
        <v>147</v>
      </c>
      <c r="E655" s="177" t="str">
        <f t="shared" si="24"/>
        <v/>
      </c>
    </row>
    <row r="656" spans="3:5">
      <c r="C656" s="177" t="s">
        <v>147</v>
      </c>
      <c r="D656" s="177" t="s">
        <v>147</v>
      </c>
      <c r="E656" s="177" t="str">
        <f t="shared" si="24"/>
        <v/>
      </c>
    </row>
    <row r="657" spans="3:5">
      <c r="C657" s="177" t="s">
        <v>147</v>
      </c>
      <c r="D657" s="177" t="s">
        <v>147</v>
      </c>
      <c r="E657" s="177" t="str">
        <f t="shared" si="24"/>
        <v/>
      </c>
    </row>
    <row r="658" spans="3:5">
      <c r="C658" s="177" t="s">
        <v>147</v>
      </c>
      <c r="D658" s="177" t="s">
        <v>147</v>
      </c>
      <c r="E658" s="177" t="str">
        <f t="shared" si="24"/>
        <v/>
      </c>
    </row>
    <row r="659" spans="3:5">
      <c r="C659" s="177" t="s">
        <v>147</v>
      </c>
      <c r="D659" s="177" t="s">
        <v>147</v>
      </c>
      <c r="E659" s="177" t="str">
        <f t="shared" si="24"/>
        <v/>
      </c>
    </row>
    <row r="660" spans="3:5">
      <c r="C660" s="177" t="s">
        <v>147</v>
      </c>
      <c r="D660" s="177" t="s">
        <v>147</v>
      </c>
      <c r="E660" s="177" t="str">
        <f t="shared" si="24"/>
        <v/>
      </c>
    </row>
    <row r="661" spans="3:5">
      <c r="C661" s="177" t="s">
        <v>147</v>
      </c>
      <c r="D661" s="177" t="s">
        <v>147</v>
      </c>
      <c r="E661" s="177" t="str">
        <f t="shared" si="24"/>
        <v/>
      </c>
    </row>
    <row r="662" spans="3:5">
      <c r="C662" s="177" t="s">
        <v>147</v>
      </c>
      <c r="D662" s="177" t="s">
        <v>147</v>
      </c>
      <c r="E662" s="177" t="str">
        <f t="shared" si="24"/>
        <v/>
      </c>
    </row>
    <row r="663" spans="3:5">
      <c r="C663" s="177" t="s">
        <v>147</v>
      </c>
      <c r="D663" s="177" t="s">
        <v>147</v>
      </c>
      <c r="E663" s="177" t="str">
        <f t="shared" si="24"/>
        <v/>
      </c>
    </row>
    <row r="664" spans="3:5">
      <c r="C664" s="177" t="s">
        <v>147</v>
      </c>
      <c r="D664" s="177" t="s">
        <v>147</v>
      </c>
      <c r="E664" s="177" t="str">
        <f t="shared" si="24"/>
        <v/>
      </c>
    </row>
    <row r="665" spans="3:5">
      <c r="C665" s="177" t="s">
        <v>147</v>
      </c>
      <c r="D665" s="177" t="s">
        <v>147</v>
      </c>
      <c r="E665" s="177" t="str">
        <f t="shared" si="24"/>
        <v/>
      </c>
    </row>
    <row r="666" spans="3:5">
      <c r="C666" s="177" t="s">
        <v>147</v>
      </c>
      <c r="D666" s="177" t="s">
        <v>147</v>
      </c>
      <c r="E666" s="177" t="str">
        <f t="shared" si="24"/>
        <v/>
      </c>
    </row>
    <row r="667" spans="3:5">
      <c r="C667" s="177" t="s">
        <v>147</v>
      </c>
      <c r="D667" s="177" t="s">
        <v>147</v>
      </c>
      <c r="E667" s="177" t="str">
        <f t="shared" si="24"/>
        <v/>
      </c>
    </row>
    <row r="668" spans="3:5">
      <c r="C668" s="177" t="s">
        <v>147</v>
      </c>
      <c r="D668" s="177" t="s">
        <v>147</v>
      </c>
      <c r="E668" s="177" t="str">
        <f t="shared" si="24"/>
        <v/>
      </c>
    </row>
    <row r="669" spans="3:5">
      <c r="C669" s="177" t="s">
        <v>147</v>
      </c>
      <c r="D669" s="177" t="s">
        <v>147</v>
      </c>
      <c r="E669" s="177" t="str">
        <f t="shared" si="24"/>
        <v/>
      </c>
    </row>
    <row r="670" spans="3:5">
      <c r="C670" s="177" t="s">
        <v>147</v>
      </c>
      <c r="D670" s="177" t="s">
        <v>147</v>
      </c>
      <c r="E670" s="177" t="str">
        <f t="shared" si="24"/>
        <v/>
      </c>
    </row>
    <row r="671" spans="3:5">
      <c r="C671" s="177" t="s">
        <v>147</v>
      </c>
      <c r="D671" s="177" t="s">
        <v>147</v>
      </c>
      <c r="E671" s="177" t="str">
        <f t="shared" si="24"/>
        <v/>
      </c>
    </row>
    <row r="672" spans="3:5">
      <c r="C672" s="177" t="s">
        <v>147</v>
      </c>
      <c r="D672" s="177" t="s">
        <v>147</v>
      </c>
      <c r="E672" s="177" t="str">
        <f t="shared" si="24"/>
        <v/>
      </c>
    </row>
    <row r="673" spans="3:5">
      <c r="C673" s="177" t="s">
        <v>147</v>
      </c>
      <c r="D673" s="177" t="s">
        <v>147</v>
      </c>
      <c r="E673" s="177" t="str">
        <f t="shared" si="24"/>
        <v/>
      </c>
    </row>
    <row r="674" spans="3:5">
      <c r="C674" s="177" t="s">
        <v>147</v>
      </c>
      <c r="D674" s="177" t="s">
        <v>147</v>
      </c>
      <c r="E674" s="177" t="str">
        <f t="shared" si="24"/>
        <v/>
      </c>
    </row>
    <row r="675" spans="3:5">
      <c r="C675" s="177" t="s">
        <v>147</v>
      </c>
      <c r="D675" s="177" t="s">
        <v>147</v>
      </c>
      <c r="E675" s="177" t="str">
        <f t="shared" si="24"/>
        <v/>
      </c>
    </row>
    <row r="676" spans="3:5">
      <c r="C676" s="177" t="s">
        <v>147</v>
      </c>
      <c r="D676" s="177" t="s">
        <v>147</v>
      </c>
      <c r="E676" s="177" t="str">
        <f t="shared" si="24"/>
        <v/>
      </c>
    </row>
    <row r="677" spans="3:5">
      <c r="C677" s="177" t="s">
        <v>147</v>
      </c>
      <c r="D677" s="177" t="s">
        <v>147</v>
      </c>
      <c r="E677" s="177" t="str">
        <f t="shared" si="24"/>
        <v/>
      </c>
    </row>
    <row r="678" spans="3:5">
      <c r="C678" s="177" t="s">
        <v>147</v>
      </c>
      <c r="D678" s="177" t="s">
        <v>147</v>
      </c>
      <c r="E678" s="177" t="str">
        <f t="shared" si="24"/>
        <v/>
      </c>
    </row>
    <row r="679" spans="3:5">
      <c r="C679" s="177" t="s">
        <v>147</v>
      </c>
      <c r="D679" s="177" t="s">
        <v>147</v>
      </c>
      <c r="E679" s="177" t="str">
        <f t="shared" si="24"/>
        <v/>
      </c>
    </row>
    <row r="680" spans="3:5">
      <c r="C680" s="177" t="s">
        <v>147</v>
      </c>
      <c r="D680" s="177" t="s">
        <v>147</v>
      </c>
      <c r="E680" s="177" t="str">
        <f t="shared" si="24"/>
        <v/>
      </c>
    </row>
    <row r="681" spans="3:5">
      <c r="C681" s="177" t="s">
        <v>147</v>
      </c>
      <c r="D681" s="177" t="s">
        <v>147</v>
      </c>
      <c r="E681" s="177" t="str">
        <f t="shared" si="24"/>
        <v/>
      </c>
    </row>
    <row r="682" spans="3:5">
      <c r="C682" s="177" t="s">
        <v>147</v>
      </c>
      <c r="D682" s="177" t="s">
        <v>147</v>
      </c>
      <c r="E682" s="177" t="str">
        <f t="shared" si="24"/>
        <v/>
      </c>
    </row>
    <row r="683" spans="3:5">
      <c r="C683" s="177" t="s">
        <v>147</v>
      </c>
      <c r="D683" s="177" t="s">
        <v>147</v>
      </c>
      <c r="E683" s="177" t="str">
        <f t="shared" si="24"/>
        <v/>
      </c>
    </row>
    <row r="684" spans="3:5">
      <c r="C684" s="177" t="s">
        <v>147</v>
      </c>
      <c r="D684" s="177" t="s">
        <v>147</v>
      </c>
      <c r="E684" s="177" t="str">
        <f t="shared" si="24"/>
        <v/>
      </c>
    </row>
    <row r="685" spans="3:5">
      <c r="C685" s="177" t="s">
        <v>147</v>
      </c>
      <c r="D685" s="177" t="s">
        <v>147</v>
      </c>
      <c r="E685" s="177" t="str">
        <f t="shared" si="24"/>
        <v/>
      </c>
    </row>
    <row r="686" spans="3:5">
      <c r="C686" s="177" t="s">
        <v>147</v>
      </c>
      <c r="D686" s="177" t="s">
        <v>147</v>
      </c>
      <c r="E686" s="177" t="str">
        <f t="shared" si="24"/>
        <v/>
      </c>
    </row>
    <row r="687" spans="3:5">
      <c r="C687" s="177" t="s">
        <v>147</v>
      </c>
      <c r="D687" s="177" t="s">
        <v>147</v>
      </c>
      <c r="E687" s="177" t="str">
        <f t="shared" si="24"/>
        <v/>
      </c>
    </row>
    <row r="688" spans="3:5">
      <c r="C688" s="177" t="s">
        <v>147</v>
      </c>
      <c r="D688" s="177" t="s">
        <v>147</v>
      </c>
      <c r="E688" s="177" t="str">
        <f t="shared" si="24"/>
        <v/>
      </c>
    </row>
    <row r="689" spans="3:5">
      <c r="C689" s="177" t="s">
        <v>147</v>
      </c>
      <c r="D689" s="177" t="s">
        <v>147</v>
      </c>
      <c r="E689" s="177" t="str">
        <f t="shared" si="24"/>
        <v/>
      </c>
    </row>
    <row r="690" spans="3:5">
      <c r="C690" s="177" t="s">
        <v>147</v>
      </c>
      <c r="D690" s="177" t="s">
        <v>147</v>
      </c>
      <c r="E690" s="177" t="str">
        <f t="shared" si="24"/>
        <v/>
      </c>
    </row>
    <row r="691" spans="3:5">
      <c r="C691" s="177" t="s">
        <v>147</v>
      </c>
      <c r="D691" s="177" t="s">
        <v>147</v>
      </c>
      <c r="E691" s="177" t="str">
        <f t="shared" si="24"/>
        <v/>
      </c>
    </row>
    <row r="692" spans="3:5">
      <c r="C692" s="177" t="s">
        <v>147</v>
      </c>
      <c r="D692" s="177" t="s">
        <v>147</v>
      </c>
      <c r="E692" s="177" t="str">
        <f t="shared" si="24"/>
        <v/>
      </c>
    </row>
    <row r="693" spans="3:5">
      <c r="C693" s="177" t="s">
        <v>147</v>
      </c>
      <c r="D693" s="177" t="s">
        <v>147</v>
      </c>
      <c r="E693" s="177" t="str">
        <f t="shared" si="24"/>
        <v/>
      </c>
    </row>
    <row r="694" spans="3:5">
      <c r="C694" s="177" t="s">
        <v>147</v>
      </c>
      <c r="D694" s="177" t="s">
        <v>147</v>
      </c>
      <c r="E694" s="177" t="str">
        <f t="shared" si="24"/>
        <v/>
      </c>
    </row>
    <row r="695" spans="3:5">
      <c r="C695" s="177" t="s">
        <v>147</v>
      </c>
      <c r="D695" s="177" t="s">
        <v>147</v>
      </c>
      <c r="E695" s="177" t="str">
        <f t="shared" si="24"/>
        <v/>
      </c>
    </row>
    <row r="696" spans="3:5">
      <c r="C696" s="177" t="s">
        <v>147</v>
      </c>
      <c r="D696" s="177" t="s">
        <v>147</v>
      </c>
      <c r="E696" s="177" t="str">
        <f t="shared" si="24"/>
        <v/>
      </c>
    </row>
    <row r="697" spans="3:5">
      <c r="C697" s="177" t="s">
        <v>147</v>
      </c>
      <c r="D697" s="177" t="s">
        <v>147</v>
      </c>
      <c r="E697" s="177" t="str">
        <f t="shared" si="24"/>
        <v/>
      </c>
    </row>
    <row r="698" spans="3:5">
      <c r="C698" s="177" t="s">
        <v>147</v>
      </c>
      <c r="D698" s="177" t="s">
        <v>147</v>
      </c>
      <c r="E698" s="177" t="str">
        <f t="shared" si="24"/>
        <v/>
      </c>
    </row>
    <row r="699" spans="3:5">
      <c r="C699" s="177" t="s">
        <v>147</v>
      </c>
      <c r="D699" s="177" t="s">
        <v>147</v>
      </c>
      <c r="E699" s="177" t="str">
        <f t="shared" si="24"/>
        <v/>
      </c>
    </row>
    <row r="700" spans="3:5">
      <c r="C700" s="177" t="s">
        <v>147</v>
      </c>
      <c r="D700" s="177" t="s">
        <v>147</v>
      </c>
      <c r="E700" s="177" t="str">
        <f t="shared" si="24"/>
        <v/>
      </c>
    </row>
    <row r="701" spans="3:5">
      <c r="C701" s="177" t="s">
        <v>147</v>
      </c>
      <c r="D701" s="177" t="s">
        <v>147</v>
      </c>
      <c r="E701" s="177" t="str">
        <f t="shared" si="24"/>
        <v/>
      </c>
    </row>
    <row r="702" spans="3:5">
      <c r="C702" s="177" t="s">
        <v>147</v>
      </c>
      <c r="D702" s="177" t="s">
        <v>147</v>
      </c>
      <c r="E702" s="177" t="str">
        <f t="shared" si="24"/>
        <v/>
      </c>
    </row>
    <row r="703" spans="3:5">
      <c r="C703" s="177" t="s">
        <v>147</v>
      </c>
      <c r="D703" s="177" t="s">
        <v>147</v>
      </c>
      <c r="E703" s="177" t="str">
        <f t="shared" si="24"/>
        <v/>
      </c>
    </row>
    <row r="704" spans="3:5">
      <c r="C704" s="177" t="s">
        <v>147</v>
      </c>
      <c r="D704" s="177" t="s">
        <v>147</v>
      </c>
      <c r="E704" s="177" t="str">
        <f t="shared" si="24"/>
        <v/>
      </c>
    </row>
    <row r="705" spans="3:5">
      <c r="C705" s="177" t="s">
        <v>147</v>
      </c>
      <c r="D705" s="177" t="s">
        <v>147</v>
      </c>
      <c r="E705" s="177" t="str">
        <f t="shared" si="24"/>
        <v/>
      </c>
    </row>
    <row r="706" spans="3:5">
      <c r="C706" s="177" t="s">
        <v>147</v>
      </c>
      <c r="D706" s="177" t="s">
        <v>147</v>
      </c>
      <c r="E706" s="177" t="str">
        <f t="shared" si="24"/>
        <v/>
      </c>
    </row>
    <row r="707" spans="3:5">
      <c r="C707" s="177" t="s">
        <v>147</v>
      </c>
      <c r="D707" s="177" t="s">
        <v>147</v>
      </c>
      <c r="E707" s="177" t="str">
        <f t="shared" si="24"/>
        <v/>
      </c>
    </row>
    <row r="708" spans="3:5">
      <c r="C708" s="177" t="s">
        <v>147</v>
      </c>
      <c r="D708" s="177" t="s">
        <v>147</v>
      </c>
      <c r="E708" s="177" t="str">
        <f t="shared" ref="E708:E771" si="25">IF(C708&lt;D708,C708,D708)</f>
        <v/>
      </c>
    </row>
    <row r="709" spans="3:5">
      <c r="C709" s="177" t="s">
        <v>147</v>
      </c>
      <c r="D709" s="177" t="s">
        <v>147</v>
      </c>
      <c r="E709" s="177" t="str">
        <f t="shared" si="25"/>
        <v/>
      </c>
    </row>
    <row r="710" spans="3:5">
      <c r="C710" s="177" t="s">
        <v>147</v>
      </c>
      <c r="D710" s="177" t="s">
        <v>147</v>
      </c>
      <c r="E710" s="177" t="str">
        <f t="shared" si="25"/>
        <v/>
      </c>
    </row>
    <row r="711" spans="3:5">
      <c r="C711" s="177" t="s">
        <v>147</v>
      </c>
      <c r="D711" s="177" t="s">
        <v>147</v>
      </c>
      <c r="E711" s="177" t="str">
        <f t="shared" si="25"/>
        <v/>
      </c>
    </row>
    <row r="712" spans="3:5">
      <c r="C712" s="177" t="s">
        <v>147</v>
      </c>
      <c r="D712" s="177" t="s">
        <v>147</v>
      </c>
      <c r="E712" s="177" t="str">
        <f t="shared" si="25"/>
        <v/>
      </c>
    </row>
    <row r="713" spans="3:5">
      <c r="C713" s="177" t="s">
        <v>147</v>
      </c>
      <c r="D713" s="177" t="s">
        <v>147</v>
      </c>
      <c r="E713" s="177" t="str">
        <f t="shared" si="25"/>
        <v/>
      </c>
    </row>
    <row r="714" spans="3:5">
      <c r="C714" s="177" t="s">
        <v>147</v>
      </c>
      <c r="D714" s="177" t="s">
        <v>147</v>
      </c>
      <c r="E714" s="177" t="str">
        <f t="shared" si="25"/>
        <v/>
      </c>
    </row>
    <row r="715" spans="3:5">
      <c r="C715" s="177" t="s">
        <v>147</v>
      </c>
      <c r="D715" s="177" t="s">
        <v>147</v>
      </c>
      <c r="E715" s="177" t="str">
        <f t="shared" si="25"/>
        <v/>
      </c>
    </row>
    <row r="716" spans="3:5">
      <c r="C716" s="177" t="s">
        <v>147</v>
      </c>
      <c r="D716" s="177" t="s">
        <v>147</v>
      </c>
      <c r="E716" s="177" t="str">
        <f t="shared" si="25"/>
        <v/>
      </c>
    </row>
    <row r="717" spans="3:5">
      <c r="C717" s="177" t="s">
        <v>147</v>
      </c>
      <c r="D717" s="177" t="s">
        <v>147</v>
      </c>
      <c r="E717" s="177" t="str">
        <f t="shared" si="25"/>
        <v/>
      </c>
    </row>
    <row r="718" spans="3:5">
      <c r="C718" s="177" t="s">
        <v>147</v>
      </c>
      <c r="D718" s="177" t="s">
        <v>147</v>
      </c>
      <c r="E718" s="177" t="str">
        <f t="shared" si="25"/>
        <v/>
      </c>
    </row>
    <row r="719" spans="3:5">
      <c r="C719" s="177" t="s">
        <v>147</v>
      </c>
      <c r="D719" s="177" t="s">
        <v>147</v>
      </c>
      <c r="E719" s="177" t="str">
        <f t="shared" si="25"/>
        <v/>
      </c>
    </row>
    <row r="720" spans="3:5">
      <c r="C720" s="177" t="s">
        <v>147</v>
      </c>
      <c r="D720" s="177" t="s">
        <v>147</v>
      </c>
      <c r="E720" s="177" t="str">
        <f t="shared" si="25"/>
        <v/>
      </c>
    </row>
    <row r="721" spans="3:5">
      <c r="C721" s="177" t="s">
        <v>147</v>
      </c>
      <c r="D721" s="177" t="s">
        <v>147</v>
      </c>
      <c r="E721" s="177" t="str">
        <f t="shared" si="25"/>
        <v/>
      </c>
    </row>
    <row r="722" spans="3:5">
      <c r="C722" s="177" t="s">
        <v>147</v>
      </c>
      <c r="D722" s="177" t="s">
        <v>147</v>
      </c>
      <c r="E722" s="177" t="str">
        <f t="shared" si="25"/>
        <v/>
      </c>
    </row>
    <row r="723" spans="3:5">
      <c r="C723" s="177" t="s">
        <v>147</v>
      </c>
      <c r="D723" s="177" t="s">
        <v>147</v>
      </c>
      <c r="E723" s="177" t="str">
        <f t="shared" si="25"/>
        <v/>
      </c>
    </row>
    <row r="724" spans="3:5">
      <c r="C724" s="177" t="s">
        <v>147</v>
      </c>
      <c r="D724" s="177" t="s">
        <v>147</v>
      </c>
      <c r="E724" s="177" t="str">
        <f t="shared" si="25"/>
        <v/>
      </c>
    </row>
    <row r="725" spans="3:5">
      <c r="C725" s="177" t="s">
        <v>147</v>
      </c>
      <c r="D725" s="177" t="s">
        <v>147</v>
      </c>
      <c r="E725" s="177" t="str">
        <f t="shared" si="25"/>
        <v/>
      </c>
    </row>
    <row r="726" spans="3:5">
      <c r="C726" s="177" t="s">
        <v>147</v>
      </c>
      <c r="D726" s="177" t="s">
        <v>147</v>
      </c>
      <c r="E726" s="177" t="str">
        <f t="shared" si="25"/>
        <v/>
      </c>
    </row>
    <row r="727" spans="3:5">
      <c r="C727" s="177" t="s">
        <v>147</v>
      </c>
      <c r="D727" s="177" t="s">
        <v>147</v>
      </c>
      <c r="E727" s="177" t="str">
        <f t="shared" si="25"/>
        <v/>
      </c>
    </row>
    <row r="728" spans="3:5">
      <c r="C728" s="177" t="s">
        <v>147</v>
      </c>
      <c r="D728" s="177" t="s">
        <v>147</v>
      </c>
      <c r="E728" s="177" t="str">
        <f t="shared" si="25"/>
        <v/>
      </c>
    </row>
    <row r="729" spans="3:5">
      <c r="C729" s="177" t="s">
        <v>147</v>
      </c>
      <c r="D729" s="177" t="s">
        <v>147</v>
      </c>
      <c r="E729" s="177" t="str">
        <f t="shared" si="25"/>
        <v/>
      </c>
    </row>
    <row r="730" spans="3:5">
      <c r="C730" s="177" t="s">
        <v>147</v>
      </c>
      <c r="D730" s="177" t="s">
        <v>147</v>
      </c>
      <c r="E730" s="177" t="str">
        <f t="shared" si="25"/>
        <v/>
      </c>
    </row>
    <row r="731" spans="3:5">
      <c r="C731" s="177" t="s">
        <v>147</v>
      </c>
      <c r="D731" s="177" t="s">
        <v>147</v>
      </c>
      <c r="E731" s="177" t="str">
        <f t="shared" si="25"/>
        <v/>
      </c>
    </row>
    <row r="732" spans="3:5">
      <c r="C732" s="177" t="s">
        <v>147</v>
      </c>
      <c r="D732" s="177" t="s">
        <v>147</v>
      </c>
      <c r="E732" s="177" t="str">
        <f t="shared" si="25"/>
        <v/>
      </c>
    </row>
    <row r="733" spans="3:5">
      <c r="C733" s="177" t="s">
        <v>147</v>
      </c>
      <c r="D733" s="177" t="s">
        <v>147</v>
      </c>
      <c r="E733" s="177" t="str">
        <f t="shared" si="25"/>
        <v/>
      </c>
    </row>
    <row r="734" spans="3:5">
      <c r="C734" s="177" t="s">
        <v>147</v>
      </c>
      <c r="D734" s="177" t="s">
        <v>147</v>
      </c>
      <c r="E734" s="177" t="str">
        <f t="shared" si="25"/>
        <v/>
      </c>
    </row>
    <row r="735" spans="3:5">
      <c r="C735" s="177" t="s">
        <v>147</v>
      </c>
      <c r="D735" s="177" t="s">
        <v>147</v>
      </c>
      <c r="E735" s="177" t="str">
        <f t="shared" si="25"/>
        <v/>
      </c>
    </row>
    <row r="736" spans="3:5">
      <c r="C736" s="177" t="s">
        <v>147</v>
      </c>
      <c r="D736" s="177" t="s">
        <v>147</v>
      </c>
      <c r="E736" s="177" t="str">
        <f t="shared" si="25"/>
        <v/>
      </c>
    </row>
    <row r="737" spans="3:5">
      <c r="C737" s="177" t="s">
        <v>147</v>
      </c>
      <c r="D737" s="177" t="s">
        <v>147</v>
      </c>
      <c r="E737" s="177" t="str">
        <f t="shared" si="25"/>
        <v/>
      </c>
    </row>
    <row r="738" spans="3:5">
      <c r="C738" s="177" t="s">
        <v>147</v>
      </c>
      <c r="D738" s="177" t="s">
        <v>147</v>
      </c>
      <c r="E738" s="177" t="str">
        <f t="shared" si="25"/>
        <v/>
      </c>
    </row>
    <row r="739" spans="3:5">
      <c r="C739" s="177" t="s">
        <v>147</v>
      </c>
      <c r="D739" s="177" t="s">
        <v>147</v>
      </c>
      <c r="E739" s="177" t="str">
        <f t="shared" si="25"/>
        <v/>
      </c>
    </row>
    <row r="740" spans="3:5">
      <c r="C740" s="177" t="s">
        <v>147</v>
      </c>
      <c r="D740" s="177" t="s">
        <v>147</v>
      </c>
      <c r="E740" s="177" t="str">
        <f t="shared" si="25"/>
        <v/>
      </c>
    </row>
    <row r="741" spans="3:5">
      <c r="C741" s="177" t="s">
        <v>147</v>
      </c>
      <c r="D741" s="177" t="s">
        <v>147</v>
      </c>
      <c r="E741" s="177" t="str">
        <f t="shared" si="25"/>
        <v/>
      </c>
    </row>
    <row r="742" spans="3:5">
      <c r="C742" s="177" t="s">
        <v>147</v>
      </c>
      <c r="D742" s="177" t="s">
        <v>147</v>
      </c>
      <c r="E742" s="177" t="str">
        <f t="shared" si="25"/>
        <v/>
      </c>
    </row>
    <row r="743" spans="3:5">
      <c r="C743" s="177" t="s">
        <v>147</v>
      </c>
      <c r="D743" s="177" t="s">
        <v>147</v>
      </c>
      <c r="E743" s="177" t="str">
        <f t="shared" si="25"/>
        <v/>
      </c>
    </row>
    <row r="744" spans="3:5">
      <c r="C744" s="177" t="s">
        <v>147</v>
      </c>
      <c r="D744" s="177" t="s">
        <v>147</v>
      </c>
      <c r="E744" s="177" t="str">
        <f t="shared" si="25"/>
        <v/>
      </c>
    </row>
    <row r="745" spans="3:5">
      <c r="C745" s="177" t="s">
        <v>147</v>
      </c>
      <c r="D745" s="177" t="s">
        <v>147</v>
      </c>
      <c r="E745" s="177" t="str">
        <f t="shared" si="25"/>
        <v/>
      </c>
    </row>
    <row r="746" spans="3:5">
      <c r="C746" s="177" t="s">
        <v>147</v>
      </c>
      <c r="D746" s="177" t="s">
        <v>147</v>
      </c>
      <c r="E746" s="177" t="str">
        <f t="shared" si="25"/>
        <v/>
      </c>
    </row>
    <row r="747" spans="3:5">
      <c r="C747" s="177" t="s">
        <v>147</v>
      </c>
      <c r="D747" s="177" t="s">
        <v>147</v>
      </c>
      <c r="E747" s="177" t="str">
        <f t="shared" si="25"/>
        <v/>
      </c>
    </row>
    <row r="748" spans="3:5">
      <c r="C748" s="177" t="s">
        <v>147</v>
      </c>
      <c r="D748" s="177" t="s">
        <v>147</v>
      </c>
      <c r="E748" s="177" t="str">
        <f t="shared" si="25"/>
        <v/>
      </c>
    </row>
    <row r="749" spans="3:5">
      <c r="C749" s="177" t="s">
        <v>147</v>
      </c>
      <c r="D749" s="177" t="s">
        <v>147</v>
      </c>
      <c r="E749" s="177" t="str">
        <f t="shared" si="25"/>
        <v/>
      </c>
    </row>
    <row r="750" spans="3:5">
      <c r="C750" s="177" t="s">
        <v>147</v>
      </c>
      <c r="D750" s="177" t="s">
        <v>147</v>
      </c>
      <c r="E750" s="177" t="str">
        <f t="shared" si="25"/>
        <v/>
      </c>
    </row>
    <row r="751" spans="3:5">
      <c r="C751" s="177" t="s">
        <v>147</v>
      </c>
      <c r="D751" s="177" t="s">
        <v>147</v>
      </c>
      <c r="E751" s="177" t="str">
        <f t="shared" si="25"/>
        <v/>
      </c>
    </row>
    <row r="752" spans="3:5">
      <c r="C752" s="177" t="s">
        <v>147</v>
      </c>
      <c r="D752" s="177" t="s">
        <v>147</v>
      </c>
      <c r="E752" s="177" t="str">
        <f t="shared" si="25"/>
        <v/>
      </c>
    </row>
    <row r="753" spans="3:5">
      <c r="C753" s="177" t="s">
        <v>147</v>
      </c>
      <c r="D753" s="177" t="s">
        <v>147</v>
      </c>
      <c r="E753" s="177" t="str">
        <f t="shared" si="25"/>
        <v/>
      </c>
    </row>
    <row r="754" spans="3:5">
      <c r="C754" s="177" t="s">
        <v>147</v>
      </c>
      <c r="D754" s="177" t="s">
        <v>147</v>
      </c>
      <c r="E754" s="177" t="str">
        <f t="shared" si="25"/>
        <v/>
      </c>
    </row>
    <row r="755" spans="3:5">
      <c r="C755" s="177" t="s">
        <v>147</v>
      </c>
      <c r="D755" s="177" t="s">
        <v>147</v>
      </c>
      <c r="E755" s="177" t="str">
        <f t="shared" si="25"/>
        <v/>
      </c>
    </row>
    <row r="756" spans="3:5">
      <c r="C756" s="177" t="s">
        <v>147</v>
      </c>
      <c r="D756" s="177" t="s">
        <v>147</v>
      </c>
      <c r="E756" s="177" t="str">
        <f t="shared" si="25"/>
        <v/>
      </c>
    </row>
    <row r="757" spans="3:5">
      <c r="C757" s="177" t="s">
        <v>147</v>
      </c>
      <c r="D757" s="177" t="s">
        <v>147</v>
      </c>
      <c r="E757" s="177" t="str">
        <f t="shared" si="25"/>
        <v/>
      </c>
    </row>
    <row r="758" spans="3:5">
      <c r="C758" s="177" t="s">
        <v>147</v>
      </c>
      <c r="D758" s="177" t="s">
        <v>147</v>
      </c>
      <c r="E758" s="177" t="str">
        <f t="shared" si="25"/>
        <v/>
      </c>
    </row>
    <row r="759" spans="3:5">
      <c r="C759" s="177" t="s">
        <v>147</v>
      </c>
      <c r="D759" s="177" t="s">
        <v>147</v>
      </c>
      <c r="E759" s="177" t="str">
        <f t="shared" si="25"/>
        <v/>
      </c>
    </row>
    <row r="760" spans="3:5">
      <c r="C760" s="177" t="s">
        <v>147</v>
      </c>
      <c r="D760" s="177" t="s">
        <v>147</v>
      </c>
      <c r="E760" s="177" t="str">
        <f t="shared" si="25"/>
        <v/>
      </c>
    </row>
    <row r="761" spans="3:5">
      <c r="C761" s="177" t="s">
        <v>147</v>
      </c>
      <c r="D761" s="177" t="s">
        <v>147</v>
      </c>
      <c r="E761" s="177" t="str">
        <f t="shared" si="25"/>
        <v/>
      </c>
    </row>
    <row r="762" spans="3:5">
      <c r="C762" s="177" t="s">
        <v>147</v>
      </c>
      <c r="D762" s="177" t="s">
        <v>147</v>
      </c>
      <c r="E762" s="177" t="str">
        <f t="shared" si="25"/>
        <v/>
      </c>
    </row>
    <row r="763" spans="3:5">
      <c r="C763" s="177" t="s">
        <v>147</v>
      </c>
      <c r="D763" s="177" t="s">
        <v>147</v>
      </c>
      <c r="E763" s="177" t="str">
        <f t="shared" si="25"/>
        <v/>
      </c>
    </row>
    <row r="764" spans="3:5">
      <c r="C764" s="177" t="s">
        <v>147</v>
      </c>
      <c r="D764" s="177" t="s">
        <v>147</v>
      </c>
      <c r="E764" s="177" t="str">
        <f t="shared" si="25"/>
        <v/>
      </c>
    </row>
    <row r="765" spans="3:5">
      <c r="C765" s="177" t="s">
        <v>147</v>
      </c>
      <c r="D765" s="177" t="s">
        <v>147</v>
      </c>
      <c r="E765" s="177" t="str">
        <f t="shared" si="25"/>
        <v/>
      </c>
    </row>
    <row r="766" spans="3:5">
      <c r="C766" s="177" t="s">
        <v>147</v>
      </c>
      <c r="D766" s="177" t="s">
        <v>147</v>
      </c>
      <c r="E766" s="177" t="str">
        <f t="shared" si="25"/>
        <v/>
      </c>
    </row>
    <row r="767" spans="3:5">
      <c r="C767" s="177" t="s">
        <v>147</v>
      </c>
      <c r="D767" s="177" t="s">
        <v>147</v>
      </c>
      <c r="E767" s="177" t="str">
        <f t="shared" si="25"/>
        <v/>
      </c>
    </row>
    <row r="768" spans="3:5">
      <c r="C768" s="177" t="s">
        <v>147</v>
      </c>
      <c r="D768" s="177" t="s">
        <v>147</v>
      </c>
      <c r="E768" s="177" t="str">
        <f t="shared" si="25"/>
        <v/>
      </c>
    </row>
    <row r="769" spans="3:5">
      <c r="C769" s="177" t="s">
        <v>147</v>
      </c>
      <c r="D769" s="177" t="s">
        <v>147</v>
      </c>
      <c r="E769" s="177" t="str">
        <f t="shared" si="25"/>
        <v/>
      </c>
    </row>
    <row r="770" spans="3:5">
      <c r="C770" s="177" t="s">
        <v>147</v>
      </c>
      <c r="D770" s="177" t="s">
        <v>147</v>
      </c>
      <c r="E770" s="177" t="str">
        <f t="shared" si="25"/>
        <v/>
      </c>
    </row>
    <row r="771" spans="3:5">
      <c r="C771" s="177" t="s">
        <v>147</v>
      </c>
      <c r="D771" s="177" t="s">
        <v>147</v>
      </c>
      <c r="E771" s="177" t="str">
        <f t="shared" si="25"/>
        <v/>
      </c>
    </row>
    <row r="772" spans="3:5">
      <c r="C772" s="177" t="s">
        <v>147</v>
      </c>
      <c r="D772" s="177" t="s">
        <v>147</v>
      </c>
      <c r="E772" s="177" t="str">
        <f t="shared" ref="E772:E835" si="26">IF(C772&lt;D772,C772,D772)</f>
        <v/>
      </c>
    </row>
    <row r="773" spans="3:5">
      <c r="C773" s="177" t="s">
        <v>147</v>
      </c>
      <c r="D773" s="177" t="s">
        <v>147</v>
      </c>
      <c r="E773" s="177" t="str">
        <f t="shared" si="26"/>
        <v/>
      </c>
    </row>
    <row r="774" spans="3:5">
      <c r="C774" s="177" t="s">
        <v>147</v>
      </c>
      <c r="D774" s="177" t="s">
        <v>147</v>
      </c>
      <c r="E774" s="177" t="str">
        <f t="shared" si="26"/>
        <v/>
      </c>
    </row>
    <row r="775" spans="3:5">
      <c r="C775" s="177" t="s">
        <v>147</v>
      </c>
      <c r="D775" s="177" t="s">
        <v>147</v>
      </c>
      <c r="E775" s="177" t="str">
        <f t="shared" si="26"/>
        <v/>
      </c>
    </row>
    <row r="776" spans="3:5">
      <c r="C776" s="177" t="s">
        <v>147</v>
      </c>
      <c r="D776" s="177" t="s">
        <v>147</v>
      </c>
      <c r="E776" s="177" t="str">
        <f t="shared" si="26"/>
        <v/>
      </c>
    </row>
    <row r="777" spans="3:5">
      <c r="C777" s="177" t="s">
        <v>147</v>
      </c>
      <c r="D777" s="177" t="s">
        <v>147</v>
      </c>
      <c r="E777" s="177" t="str">
        <f t="shared" si="26"/>
        <v/>
      </c>
    </row>
    <row r="778" spans="3:5">
      <c r="C778" s="177" t="s">
        <v>147</v>
      </c>
      <c r="D778" s="177" t="s">
        <v>147</v>
      </c>
      <c r="E778" s="177" t="str">
        <f t="shared" si="26"/>
        <v/>
      </c>
    </row>
    <row r="779" spans="3:5">
      <c r="C779" s="177" t="s">
        <v>147</v>
      </c>
      <c r="D779" s="177" t="s">
        <v>147</v>
      </c>
      <c r="E779" s="177" t="str">
        <f t="shared" si="26"/>
        <v/>
      </c>
    </row>
    <row r="780" spans="3:5">
      <c r="C780" s="177" t="s">
        <v>147</v>
      </c>
      <c r="D780" s="177" t="s">
        <v>147</v>
      </c>
      <c r="E780" s="177" t="str">
        <f t="shared" si="26"/>
        <v/>
      </c>
    </row>
    <row r="781" spans="3:5">
      <c r="C781" s="177" t="s">
        <v>147</v>
      </c>
      <c r="D781" s="177" t="s">
        <v>147</v>
      </c>
      <c r="E781" s="177" t="str">
        <f t="shared" si="26"/>
        <v/>
      </c>
    </row>
    <row r="782" spans="3:5">
      <c r="C782" s="177" t="s">
        <v>147</v>
      </c>
      <c r="D782" s="177" t="s">
        <v>147</v>
      </c>
      <c r="E782" s="177" t="str">
        <f t="shared" si="26"/>
        <v/>
      </c>
    </row>
    <row r="783" spans="3:5">
      <c r="C783" s="177" t="s">
        <v>147</v>
      </c>
      <c r="D783" s="177" t="s">
        <v>147</v>
      </c>
      <c r="E783" s="177" t="str">
        <f t="shared" si="26"/>
        <v/>
      </c>
    </row>
    <row r="784" spans="3:5">
      <c r="C784" s="177" t="s">
        <v>147</v>
      </c>
      <c r="D784" s="177" t="s">
        <v>147</v>
      </c>
      <c r="E784" s="177" t="str">
        <f t="shared" si="26"/>
        <v/>
      </c>
    </row>
    <row r="785" spans="3:5">
      <c r="C785" s="177" t="s">
        <v>147</v>
      </c>
      <c r="D785" s="177" t="s">
        <v>147</v>
      </c>
      <c r="E785" s="177" t="str">
        <f t="shared" si="26"/>
        <v/>
      </c>
    </row>
    <row r="786" spans="3:5">
      <c r="C786" s="177" t="s">
        <v>147</v>
      </c>
      <c r="D786" s="177" t="s">
        <v>147</v>
      </c>
      <c r="E786" s="177" t="str">
        <f t="shared" si="26"/>
        <v/>
      </c>
    </row>
    <row r="787" spans="3:5">
      <c r="C787" s="177" t="s">
        <v>147</v>
      </c>
      <c r="D787" s="177" t="s">
        <v>147</v>
      </c>
      <c r="E787" s="177" t="str">
        <f t="shared" si="26"/>
        <v/>
      </c>
    </row>
    <row r="788" spans="3:5">
      <c r="C788" s="177" t="s">
        <v>147</v>
      </c>
      <c r="D788" s="177" t="s">
        <v>147</v>
      </c>
      <c r="E788" s="177" t="str">
        <f t="shared" si="26"/>
        <v/>
      </c>
    </row>
    <row r="789" spans="3:5">
      <c r="C789" s="177" t="s">
        <v>147</v>
      </c>
      <c r="D789" s="177" t="s">
        <v>147</v>
      </c>
      <c r="E789" s="177" t="str">
        <f t="shared" si="26"/>
        <v/>
      </c>
    </row>
    <row r="790" spans="3:5">
      <c r="C790" s="177" t="s">
        <v>147</v>
      </c>
      <c r="D790" s="177" t="s">
        <v>147</v>
      </c>
      <c r="E790" s="177" t="str">
        <f t="shared" si="26"/>
        <v/>
      </c>
    </row>
    <row r="791" spans="3:5">
      <c r="C791" s="177" t="s">
        <v>147</v>
      </c>
      <c r="D791" s="177" t="s">
        <v>147</v>
      </c>
      <c r="E791" s="177" t="str">
        <f t="shared" si="26"/>
        <v/>
      </c>
    </row>
    <row r="792" spans="3:5">
      <c r="C792" s="177" t="s">
        <v>147</v>
      </c>
      <c r="D792" s="177" t="s">
        <v>147</v>
      </c>
      <c r="E792" s="177" t="str">
        <f t="shared" si="26"/>
        <v/>
      </c>
    </row>
    <row r="793" spans="3:5">
      <c r="C793" s="177" t="s">
        <v>147</v>
      </c>
      <c r="D793" s="177" t="s">
        <v>147</v>
      </c>
      <c r="E793" s="177" t="str">
        <f t="shared" si="26"/>
        <v/>
      </c>
    </row>
    <row r="794" spans="3:5">
      <c r="C794" s="177" t="s">
        <v>147</v>
      </c>
      <c r="D794" s="177" t="s">
        <v>147</v>
      </c>
      <c r="E794" s="177" t="str">
        <f t="shared" si="26"/>
        <v/>
      </c>
    </row>
    <row r="795" spans="3:5">
      <c r="C795" s="177" t="s">
        <v>147</v>
      </c>
      <c r="D795" s="177" t="s">
        <v>147</v>
      </c>
      <c r="E795" s="177" t="str">
        <f t="shared" si="26"/>
        <v/>
      </c>
    </row>
    <row r="796" spans="3:5">
      <c r="C796" s="177" t="s">
        <v>147</v>
      </c>
      <c r="D796" s="177" t="s">
        <v>147</v>
      </c>
      <c r="E796" s="177" t="str">
        <f t="shared" si="26"/>
        <v/>
      </c>
    </row>
    <row r="797" spans="3:5">
      <c r="C797" s="177" t="s">
        <v>147</v>
      </c>
      <c r="D797" s="177" t="s">
        <v>147</v>
      </c>
      <c r="E797" s="177" t="str">
        <f t="shared" si="26"/>
        <v/>
      </c>
    </row>
    <row r="798" spans="3:5">
      <c r="C798" s="177" t="s">
        <v>147</v>
      </c>
      <c r="D798" s="177" t="s">
        <v>147</v>
      </c>
      <c r="E798" s="177" t="str">
        <f t="shared" si="26"/>
        <v/>
      </c>
    </row>
    <row r="799" spans="3:5">
      <c r="C799" s="177" t="s">
        <v>147</v>
      </c>
      <c r="D799" s="177" t="s">
        <v>147</v>
      </c>
      <c r="E799" s="177" t="str">
        <f t="shared" si="26"/>
        <v/>
      </c>
    </row>
    <row r="800" spans="3:5">
      <c r="C800" s="177" t="s">
        <v>147</v>
      </c>
      <c r="D800" s="177" t="s">
        <v>147</v>
      </c>
      <c r="E800" s="177" t="str">
        <f t="shared" si="26"/>
        <v/>
      </c>
    </row>
    <row r="801" spans="3:5">
      <c r="C801" s="177" t="s">
        <v>147</v>
      </c>
      <c r="D801" s="177" t="s">
        <v>147</v>
      </c>
      <c r="E801" s="177" t="str">
        <f t="shared" si="26"/>
        <v/>
      </c>
    </row>
    <row r="802" spans="3:5">
      <c r="C802" s="177" t="s">
        <v>147</v>
      </c>
      <c r="D802" s="177" t="s">
        <v>147</v>
      </c>
      <c r="E802" s="177" t="str">
        <f t="shared" si="26"/>
        <v/>
      </c>
    </row>
    <row r="803" spans="3:5">
      <c r="C803" s="177" t="s">
        <v>147</v>
      </c>
      <c r="D803" s="177" t="s">
        <v>147</v>
      </c>
      <c r="E803" s="177" t="str">
        <f t="shared" si="26"/>
        <v/>
      </c>
    </row>
    <row r="804" spans="3:5">
      <c r="C804" s="177" t="s">
        <v>147</v>
      </c>
      <c r="D804" s="177" t="s">
        <v>147</v>
      </c>
      <c r="E804" s="177" t="str">
        <f t="shared" si="26"/>
        <v/>
      </c>
    </row>
    <row r="805" spans="3:5">
      <c r="C805" s="177" t="s">
        <v>147</v>
      </c>
      <c r="D805" s="177" t="s">
        <v>147</v>
      </c>
      <c r="E805" s="177" t="str">
        <f t="shared" si="26"/>
        <v/>
      </c>
    </row>
    <row r="806" spans="3:5">
      <c r="C806" s="177" t="s">
        <v>147</v>
      </c>
      <c r="D806" s="177" t="s">
        <v>147</v>
      </c>
      <c r="E806" s="177" t="str">
        <f t="shared" si="26"/>
        <v/>
      </c>
    </row>
    <row r="807" spans="3:5">
      <c r="C807" s="177" t="s">
        <v>147</v>
      </c>
      <c r="D807" s="177" t="s">
        <v>147</v>
      </c>
      <c r="E807" s="177" t="str">
        <f t="shared" si="26"/>
        <v/>
      </c>
    </row>
    <row r="808" spans="3:5">
      <c r="C808" s="177" t="s">
        <v>147</v>
      </c>
      <c r="D808" s="177" t="s">
        <v>147</v>
      </c>
      <c r="E808" s="177" t="str">
        <f t="shared" si="26"/>
        <v/>
      </c>
    </row>
    <row r="809" spans="3:5">
      <c r="C809" s="177" t="s">
        <v>147</v>
      </c>
      <c r="D809" s="177" t="s">
        <v>147</v>
      </c>
      <c r="E809" s="177" t="str">
        <f t="shared" si="26"/>
        <v/>
      </c>
    </row>
    <row r="810" spans="3:5">
      <c r="C810" s="177" t="s">
        <v>147</v>
      </c>
      <c r="D810" s="177" t="s">
        <v>147</v>
      </c>
      <c r="E810" s="177" t="str">
        <f t="shared" si="26"/>
        <v/>
      </c>
    </row>
    <row r="811" spans="3:5">
      <c r="C811" s="177" t="s">
        <v>147</v>
      </c>
      <c r="D811" s="177" t="s">
        <v>147</v>
      </c>
      <c r="E811" s="177" t="str">
        <f t="shared" si="26"/>
        <v/>
      </c>
    </row>
    <row r="812" spans="3:5">
      <c r="C812" s="177" t="s">
        <v>147</v>
      </c>
      <c r="D812" s="177" t="s">
        <v>147</v>
      </c>
      <c r="E812" s="177" t="str">
        <f t="shared" si="26"/>
        <v/>
      </c>
    </row>
    <row r="813" spans="3:5">
      <c r="C813" s="177" t="s">
        <v>147</v>
      </c>
      <c r="D813" s="177" t="s">
        <v>147</v>
      </c>
      <c r="E813" s="177" t="str">
        <f t="shared" si="26"/>
        <v/>
      </c>
    </row>
    <row r="814" spans="3:5">
      <c r="C814" s="177" t="s">
        <v>147</v>
      </c>
      <c r="D814" s="177" t="s">
        <v>147</v>
      </c>
      <c r="E814" s="177" t="str">
        <f t="shared" si="26"/>
        <v/>
      </c>
    </row>
    <row r="815" spans="3:5">
      <c r="C815" s="177" t="s">
        <v>147</v>
      </c>
      <c r="D815" s="177" t="s">
        <v>147</v>
      </c>
      <c r="E815" s="177" t="str">
        <f t="shared" si="26"/>
        <v/>
      </c>
    </row>
    <row r="816" spans="3:5">
      <c r="C816" s="177" t="s">
        <v>147</v>
      </c>
      <c r="D816" s="177" t="s">
        <v>147</v>
      </c>
      <c r="E816" s="177" t="str">
        <f t="shared" si="26"/>
        <v/>
      </c>
    </row>
    <row r="817" spans="3:5">
      <c r="C817" s="177" t="s">
        <v>147</v>
      </c>
      <c r="D817" s="177" t="s">
        <v>147</v>
      </c>
      <c r="E817" s="177" t="str">
        <f t="shared" si="26"/>
        <v/>
      </c>
    </row>
    <row r="818" spans="3:5">
      <c r="C818" s="177" t="s">
        <v>147</v>
      </c>
      <c r="D818" s="177" t="s">
        <v>147</v>
      </c>
      <c r="E818" s="177" t="str">
        <f t="shared" si="26"/>
        <v/>
      </c>
    </row>
    <row r="819" spans="3:5">
      <c r="C819" s="177" t="s">
        <v>147</v>
      </c>
      <c r="D819" s="177" t="s">
        <v>147</v>
      </c>
      <c r="E819" s="177" t="str">
        <f t="shared" si="26"/>
        <v/>
      </c>
    </row>
    <row r="820" spans="3:5">
      <c r="C820" s="177" t="s">
        <v>147</v>
      </c>
      <c r="D820" s="177" t="s">
        <v>147</v>
      </c>
      <c r="E820" s="177" t="str">
        <f t="shared" si="26"/>
        <v/>
      </c>
    </row>
    <row r="821" spans="3:5">
      <c r="C821" s="177" t="s">
        <v>147</v>
      </c>
      <c r="D821" s="177" t="s">
        <v>147</v>
      </c>
      <c r="E821" s="177" t="str">
        <f t="shared" si="26"/>
        <v/>
      </c>
    </row>
    <row r="822" spans="3:5">
      <c r="C822" s="177" t="s">
        <v>147</v>
      </c>
      <c r="D822" s="177" t="s">
        <v>147</v>
      </c>
      <c r="E822" s="177" t="str">
        <f t="shared" si="26"/>
        <v/>
      </c>
    </row>
    <row r="823" spans="3:5">
      <c r="C823" s="177" t="s">
        <v>147</v>
      </c>
      <c r="D823" s="177" t="s">
        <v>147</v>
      </c>
      <c r="E823" s="177" t="str">
        <f t="shared" si="26"/>
        <v/>
      </c>
    </row>
    <row r="824" spans="3:5">
      <c r="C824" s="177" t="s">
        <v>147</v>
      </c>
      <c r="D824" s="177" t="s">
        <v>147</v>
      </c>
      <c r="E824" s="177" t="str">
        <f t="shared" si="26"/>
        <v/>
      </c>
    </row>
    <row r="825" spans="3:5">
      <c r="C825" s="177" t="s">
        <v>147</v>
      </c>
      <c r="D825" s="177" t="s">
        <v>147</v>
      </c>
      <c r="E825" s="177" t="str">
        <f t="shared" si="26"/>
        <v/>
      </c>
    </row>
    <row r="826" spans="3:5">
      <c r="C826" s="177" t="s">
        <v>147</v>
      </c>
      <c r="D826" s="177" t="s">
        <v>147</v>
      </c>
      <c r="E826" s="177" t="str">
        <f t="shared" si="26"/>
        <v/>
      </c>
    </row>
    <row r="827" spans="3:5">
      <c r="C827" s="177" t="s">
        <v>147</v>
      </c>
      <c r="D827" s="177" t="s">
        <v>147</v>
      </c>
      <c r="E827" s="177" t="str">
        <f t="shared" si="26"/>
        <v/>
      </c>
    </row>
    <row r="828" spans="3:5">
      <c r="C828" s="177" t="s">
        <v>147</v>
      </c>
      <c r="D828" s="177" t="s">
        <v>147</v>
      </c>
      <c r="E828" s="177" t="str">
        <f t="shared" si="26"/>
        <v/>
      </c>
    </row>
    <row r="829" spans="3:5">
      <c r="C829" s="177" t="s">
        <v>147</v>
      </c>
      <c r="D829" s="177" t="s">
        <v>147</v>
      </c>
      <c r="E829" s="177" t="str">
        <f t="shared" si="26"/>
        <v/>
      </c>
    </row>
    <row r="830" spans="3:5">
      <c r="C830" s="177" t="s">
        <v>147</v>
      </c>
      <c r="D830" s="177" t="s">
        <v>147</v>
      </c>
      <c r="E830" s="177" t="str">
        <f t="shared" si="26"/>
        <v/>
      </c>
    </row>
    <row r="831" spans="3:5">
      <c r="C831" s="177" t="s">
        <v>147</v>
      </c>
      <c r="D831" s="177" t="s">
        <v>147</v>
      </c>
      <c r="E831" s="177" t="str">
        <f t="shared" si="26"/>
        <v/>
      </c>
    </row>
    <row r="832" spans="3:5">
      <c r="C832" s="177" t="s">
        <v>147</v>
      </c>
      <c r="D832" s="177" t="s">
        <v>147</v>
      </c>
      <c r="E832" s="177" t="str">
        <f t="shared" si="26"/>
        <v/>
      </c>
    </row>
    <row r="833" spans="3:5">
      <c r="C833" s="177" t="s">
        <v>147</v>
      </c>
      <c r="D833" s="177" t="s">
        <v>147</v>
      </c>
      <c r="E833" s="177" t="str">
        <f t="shared" si="26"/>
        <v/>
      </c>
    </row>
    <row r="834" spans="3:5">
      <c r="C834" s="177" t="s">
        <v>147</v>
      </c>
      <c r="D834" s="177" t="s">
        <v>147</v>
      </c>
      <c r="E834" s="177" t="str">
        <f t="shared" si="26"/>
        <v/>
      </c>
    </row>
    <row r="835" spans="3:5">
      <c r="C835" s="177" t="s">
        <v>147</v>
      </c>
      <c r="D835" s="177" t="s">
        <v>147</v>
      </c>
      <c r="E835" s="177" t="str">
        <f t="shared" si="26"/>
        <v/>
      </c>
    </row>
    <row r="836" spans="3:5">
      <c r="C836" s="177" t="s">
        <v>147</v>
      </c>
      <c r="D836" s="177" t="s">
        <v>147</v>
      </c>
      <c r="E836" s="177" t="str">
        <f t="shared" ref="E836:E899" si="27">IF(C836&lt;D836,C836,D836)</f>
        <v/>
      </c>
    </row>
    <row r="837" spans="3:5">
      <c r="C837" s="177" t="s">
        <v>147</v>
      </c>
      <c r="D837" s="177" t="s">
        <v>147</v>
      </c>
      <c r="E837" s="177" t="str">
        <f t="shared" si="27"/>
        <v/>
      </c>
    </row>
    <row r="838" spans="3:5">
      <c r="C838" s="177" t="s">
        <v>147</v>
      </c>
      <c r="D838" s="177" t="s">
        <v>147</v>
      </c>
      <c r="E838" s="177" t="str">
        <f t="shared" si="27"/>
        <v/>
      </c>
    </row>
    <row r="839" spans="3:5">
      <c r="C839" s="177" t="s">
        <v>147</v>
      </c>
      <c r="D839" s="177" t="s">
        <v>147</v>
      </c>
      <c r="E839" s="177" t="str">
        <f t="shared" si="27"/>
        <v/>
      </c>
    </row>
    <row r="840" spans="3:5">
      <c r="C840" s="177" t="s">
        <v>147</v>
      </c>
      <c r="D840" s="177" t="s">
        <v>147</v>
      </c>
      <c r="E840" s="177" t="str">
        <f t="shared" si="27"/>
        <v/>
      </c>
    </row>
    <row r="841" spans="3:5">
      <c r="C841" s="177" t="s">
        <v>147</v>
      </c>
      <c r="D841" s="177" t="s">
        <v>147</v>
      </c>
      <c r="E841" s="177" t="str">
        <f t="shared" si="27"/>
        <v/>
      </c>
    </row>
    <row r="842" spans="3:5">
      <c r="C842" s="177" t="s">
        <v>147</v>
      </c>
      <c r="D842" s="177" t="s">
        <v>147</v>
      </c>
      <c r="E842" s="177" t="str">
        <f t="shared" si="27"/>
        <v/>
      </c>
    </row>
    <row r="843" spans="3:5">
      <c r="C843" s="177" t="s">
        <v>147</v>
      </c>
      <c r="D843" s="177" t="s">
        <v>147</v>
      </c>
      <c r="E843" s="177" t="str">
        <f t="shared" si="27"/>
        <v/>
      </c>
    </row>
    <row r="844" spans="3:5">
      <c r="C844" s="177" t="s">
        <v>147</v>
      </c>
      <c r="D844" s="177" t="s">
        <v>147</v>
      </c>
      <c r="E844" s="177" t="str">
        <f t="shared" si="27"/>
        <v/>
      </c>
    </row>
    <row r="845" spans="3:5">
      <c r="C845" s="177" t="s">
        <v>147</v>
      </c>
      <c r="D845" s="177" t="s">
        <v>147</v>
      </c>
      <c r="E845" s="177" t="str">
        <f t="shared" si="27"/>
        <v/>
      </c>
    </row>
    <row r="846" spans="3:5">
      <c r="C846" s="177" t="s">
        <v>147</v>
      </c>
      <c r="D846" s="177" t="s">
        <v>147</v>
      </c>
      <c r="E846" s="177" t="str">
        <f t="shared" si="27"/>
        <v/>
      </c>
    </row>
    <row r="847" spans="3:5">
      <c r="C847" s="177" t="s">
        <v>147</v>
      </c>
      <c r="D847" s="177" t="s">
        <v>147</v>
      </c>
      <c r="E847" s="177" t="str">
        <f t="shared" si="27"/>
        <v/>
      </c>
    </row>
    <row r="848" spans="3:5">
      <c r="C848" s="177" t="s">
        <v>147</v>
      </c>
      <c r="D848" s="177" t="s">
        <v>147</v>
      </c>
      <c r="E848" s="177" t="str">
        <f t="shared" si="27"/>
        <v/>
      </c>
    </row>
    <row r="849" spans="3:5">
      <c r="C849" s="177" t="s">
        <v>147</v>
      </c>
      <c r="D849" s="177" t="s">
        <v>147</v>
      </c>
      <c r="E849" s="177" t="str">
        <f t="shared" si="27"/>
        <v/>
      </c>
    </row>
    <row r="850" spans="3:5">
      <c r="C850" s="177" t="s">
        <v>147</v>
      </c>
      <c r="D850" s="177" t="s">
        <v>147</v>
      </c>
      <c r="E850" s="177" t="str">
        <f t="shared" si="27"/>
        <v/>
      </c>
    </row>
    <row r="851" spans="3:5">
      <c r="C851" s="177" t="s">
        <v>147</v>
      </c>
      <c r="D851" s="177" t="s">
        <v>147</v>
      </c>
      <c r="E851" s="177" t="str">
        <f t="shared" si="27"/>
        <v/>
      </c>
    </row>
    <row r="852" spans="3:5">
      <c r="C852" s="177" t="s">
        <v>147</v>
      </c>
      <c r="D852" s="177" t="s">
        <v>147</v>
      </c>
      <c r="E852" s="177" t="str">
        <f t="shared" si="27"/>
        <v/>
      </c>
    </row>
    <row r="853" spans="3:5">
      <c r="C853" s="177" t="s">
        <v>147</v>
      </c>
      <c r="D853" s="177" t="s">
        <v>147</v>
      </c>
      <c r="E853" s="177" t="str">
        <f t="shared" si="27"/>
        <v/>
      </c>
    </row>
    <row r="854" spans="3:5">
      <c r="C854" s="177" t="s">
        <v>147</v>
      </c>
      <c r="D854" s="177" t="s">
        <v>147</v>
      </c>
      <c r="E854" s="177" t="str">
        <f t="shared" si="27"/>
        <v/>
      </c>
    </row>
    <row r="855" spans="3:5">
      <c r="C855" s="177" t="s">
        <v>147</v>
      </c>
      <c r="D855" s="177" t="s">
        <v>147</v>
      </c>
      <c r="E855" s="177" t="str">
        <f t="shared" si="27"/>
        <v/>
      </c>
    </row>
    <row r="856" spans="3:5">
      <c r="C856" s="177" t="s">
        <v>147</v>
      </c>
      <c r="D856" s="177" t="s">
        <v>147</v>
      </c>
      <c r="E856" s="177" t="str">
        <f t="shared" si="27"/>
        <v/>
      </c>
    </row>
    <row r="857" spans="3:5">
      <c r="C857" s="177" t="s">
        <v>147</v>
      </c>
      <c r="D857" s="177" t="s">
        <v>147</v>
      </c>
      <c r="E857" s="177" t="str">
        <f t="shared" si="27"/>
        <v/>
      </c>
    </row>
    <row r="858" spans="3:5">
      <c r="C858" s="177" t="s">
        <v>147</v>
      </c>
      <c r="D858" s="177" t="s">
        <v>147</v>
      </c>
      <c r="E858" s="177" t="str">
        <f t="shared" si="27"/>
        <v/>
      </c>
    </row>
    <row r="859" spans="3:5">
      <c r="C859" s="177" t="s">
        <v>147</v>
      </c>
      <c r="D859" s="177" t="s">
        <v>147</v>
      </c>
      <c r="E859" s="177" t="str">
        <f t="shared" si="27"/>
        <v/>
      </c>
    </row>
    <row r="860" spans="3:5">
      <c r="C860" s="177" t="s">
        <v>147</v>
      </c>
      <c r="D860" s="177" t="s">
        <v>147</v>
      </c>
      <c r="E860" s="177" t="str">
        <f t="shared" si="27"/>
        <v/>
      </c>
    </row>
    <row r="861" spans="3:5">
      <c r="C861" s="177" t="s">
        <v>147</v>
      </c>
      <c r="D861" s="177" t="s">
        <v>147</v>
      </c>
      <c r="E861" s="177" t="str">
        <f t="shared" si="27"/>
        <v/>
      </c>
    </row>
    <row r="862" spans="3:5">
      <c r="C862" s="177" t="s">
        <v>147</v>
      </c>
      <c r="D862" s="177" t="s">
        <v>147</v>
      </c>
      <c r="E862" s="177" t="str">
        <f t="shared" si="27"/>
        <v/>
      </c>
    </row>
    <row r="863" spans="3:5">
      <c r="C863" s="177" t="s">
        <v>147</v>
      </c>
      <c r="D863" s="177" t="s">
        <v>147</v>
      </c>
      <c r="E863" s="177" t="str">
        <f t="shared" si="27"/>
        <v/>
      </c>
    </row>
    <row r="864" spans="3:5">
      <c r="C864" s="177" t="s">
        <v>147</v>
      </c>
      <c r="D864" s="177" t="s">
        <v>147</v>
      </c>
      <c r="E864" s="177" t="str">
        <f t="shared" si="27"/>
        <v/>
      </c>
    </row>
    <row r="865" spans="3:5">
      <c r="C865" s="177" t="s">
        <v>147</v>
      </c>
      <c r="D865" s="177" t="s">
        <v>147</v>
      </c>
      <c r="E865" s="177" t="str">
        <f t="shared" si="27"/>
        <v/>
      </c>
    </row>
    <row r="866" spans="3:5">
      <c r="C866" s="177" t="s">
        <v>147</v>
      </c>
      <c r="D866" s="177" t="s">
        <v>147</v>
      </c>
      <c r="E866" s="177" t="str">
        <f t="shared" si="27"/>
        <v/>
      </c>
    </row>
    <row r="867" spans="3:5">
      <c r="C867" s="177" t="s">
        <v>147</v>
      </c>
      <c r="D867" s="177" t="s">
        <v>147</v>
      </c>
      <c r="E867" s="177" t="str">
        <f t="shared" si="27"/>
        <v/>
      </c>
    </row>
    <row r="868" spans="3:5">
      <c r="C868" s="177" t="s">
        <v>147</v>
      </c>
      <c r="D868" s="177" t="s">
        <v>147</v>
      </c>
      <c r="E868" s="177" t="str">
        <f t="shared" si="27"/>
        <v/>
      </c>
    </row>
    <row r="869" spans="3:5">
      <c r="C869" s="177" t="s">
        <v>147</v>
      </c>
      <c r="D869" s="177" t="s">
        <v>147</v>
      </c>
      <c r="E869" s="177" t="str">
        <f t="shared" si="27"/>
        <v/>
      </c>
    </row>
    <row r="870" spans="3:5">
      <c r="C870" s="177" t="s">
        <v>147</v>
      </c>
      <c r="D870" s="177" t="s">
        <v>147</v>
      </c>
      <c r="E870" s="177" t="str">
        <f t="shared" si="27"/>
        <v/>
      </c>
    </row>
    <row r="871" spans="3:5">
      <c r="C871" s="177" t="s">
        <v>147</v>
      </c>
      <c r="D871" s="177" t="s">
        <v>147</v>
      </c>
      <c r="E871" s="177" t="str">
        <f t="shared" si="27"/>
        <v/>
      </c>
    </row>
    <row r="872" spans="3:5">
      <c r="C872" s="177" t="s">
        <v>147</v>
      </c>
      <c r="D872" s="177" t="s">
        <v>147</v>
      </c>
      <c r="E872" s="177" t="str">
        <f t="shared" si="27"/>
        <v/>
      </c>
    </row>
    <row r="873" spans="3:5">
      <c r="C873" s="177" t="s">
        <v>147</v>
      </c>
      <c r="D873" s="177" t="s">
        <v>147</v>
      </c>
      <c r="E873" s="177" t="str">
        <f t="shared" si="27"/>
        <v/>
      </c>
    </row>
    <row r="874" spans="3:5">
      <c r="C874" s="177" t="s">
        <v>147</v>
      </c>
      <c r="D874" s="177" t="s">
        <v>147</v>
      </c>
      <c r="E874" s="177" t="str">
        <f t="shared" si="27"/>
        <v/>
      </c>
    </row>
    <row r="875" spans="3:5">
      <c r="C875" s="177" t="s">
        <v>147</v>
      </c>
      <c r="D875" s="177" t="s">
        <v>147</v>
      </c>
      <c r="E875" s="177" t="str">
        <f t="shared" si="27"/>
        <v/>
      </c>
    </row>
    <row r="876" spans="3:5">
      <c r="C876" s="177" t="s">
        <v>147</v>
      </c>
      <c r="D876" s="177" t="s">
        <v>147</v>
      </c>
      <c r="E876" s="177" t="str">
        <f t="shared" si="27"/>
        <v/>
      </c>
    </row>
    <row r="877" spans="3:5">
      <c r="C877" s="177" t="s">
        <v>147</v>
      </c>
      <c r="D877" s="177" t="s">
        <v>147</v>
      </c>
      <c r="E877" s="177" t="str">
        <f t="shared" si="27"/>
        <v/>
      </c>
    </row>
    <row r="878" spans="3:5">
      <c r="C878" s="177" t="s">
        <v>147</v>
      </c>
      <c r="D878" s="177" t="s">
        <v>147</v>
      </c>
      <c r="E878" s="177" t="str">
        <f t="shared" si="27"/>
        <v/>
      </c>
    </row>
    <row r="879" spans="3:5">
      <c r="C879" s="177" t="s">
        <v>147</v>
      </c>
      <c r="D879" s="177" t="s">
        <v>147</v>
      </c>
      <c r="E879" s="177" t="str">
        <f t="shared" si="27"/>
        <v/>
      </c>
    </row>
    <row r="880" spans="3:5">
      <c r="C880" s="177" t="s">
        <v>147</v>
      </c>
      <c r="D880" s="177" t="s">
        <v>147</v>
      </c>
      <c r="E880" s="177" t="str">
        <f t="shared" si="27"/>
        <v/>
      </c>
    </row>
    <row r="881" spans="3:5">
      <c r="C881" s="177" t="s">
        <v>147</v>
      </c>
      <c r="D881" s="177" t="s">
        <v>147</v>
      </c>
      <c r="E881" s="177" t="str">
        <f t="shared" si="27"/>
        <v/>
      </c>
    </row>
    <row r="882" spans="3:5">
      <c r="C882" s="177" t="s">
        <v>147</v>
      </c>
      <c r="D882" s="177" t="s">
        <v>147</v>
      </c>
      <c r="E882" s="177" t="str">
        <f t="shared" si="27"/>
        <v/>
      </c>
    </row>
    <row r="883" spans="3:5">
      <c r="C883" s="177" t="s">
        <v>147</v>
      </c>
      <c r="D883" s="177" t="s">
        <v>147</v>
      </c>
      <c r="E883" s="177" t="str">
        <f t="shared" si="27"/>
        <v/>
      </c>
    </row>
    <row r="884" spans="3:5">
      <c r="C884" s="177" t="s">
        <v>147</v>
      </c>
      <c r="D884" s="177" t="s">
        <v>147</v>
      </c>
      <c r="E884" s="177" t="str">
        <f t="shared" si="27"/>
        <v/>
      </c>
    </row>
    <row r="885" spans="3:5">
      <c r="C885" s="177" t="s">
        <v>147</v>
      </c>
      <c r="D885" s="177" t="s">
        <v>147</v>
      </c>
      <c r="E885" s="177" t="str">
        <f t="shared" si="27"/>
        <v/>
      </c>
    </row>
    <row r="886" spans="3:5">
      <c r="C886" s="177" t="s">
        <v>147</v>
      </c>
      <c r="D886" s="177" t="s">
        <v>147</v>
      </c>
      <c r="E886" s="177" t="str">
        <f t="shared" si="27"/>
        <v/>
      </c>
    </row>
    <row r="887" spans="3:5">
      <c r="C887" s="177" t="s">
        <v>147</v>
      </c>
      <c r="D887" s="177" t="s">
        <v>147</v>
      </c>
      <c r="E887" s="177" t="str">
        <f t="shared" si="27"/>
        <v/>
      </c>
    </row>
    <row r="888" spans="3:5">
      <c r="C888" s="177" t="s">
        <v>147</v>
      </c>
      <c r="D888" s="177" t="s">
        <v>147</v>
      </c>
      <c r="E888" s="177" t="str">
        <f t="shared" si="27"/>
        <v/>
      </c>
    </row>
    <row r="889" spans="3:5">
      <c r="C889" s="177" t="s">
        <v>147</v>
      </c>
      <c r="D889" s="177" t="s">
        <v>147</v>
      </c>
      <c r="E889" s="177" t="str">
        <f t="shared" si="27"/>
        <v/>
      </c>
    </row>
    <row r="890" spans="3:5">
      <c r="C890" s="177" t="s">
        <v>147</v>
      </c>
      <c r="D890" s="177" t="s">
        <v>147</v>
      </c>
      <c r="E890" s="177" t="str">
        <f t="shared" si="27"/>
        <v/>
      </c>
    </row>
    <row r="891" spans="3:5">
      <c r="C891" s="177" t="s">
        <v>147</v>
      </c>
      <c r="D891" s="177" t="s">
        <v>147</v>
      </c>
      <c r="E891" s="177" t="str">
        <f t="shared" si="27"/>
        <v/>
      </c>
    </row>
    <row r="892" spans="3:5">
      <c r="C892" s="177" t="s">
        <v>147</v>
      </c>
      <c r="D892" s="177" t="s">
        <v>147</v>
      </c>
      <c r="E892" s="177" t="str">
        <f t="shared" si="27"/>
        <v/>
      </c>
    </row>
    <row r="893" spans="3:5">
      <c r="C893" s="177" t="s">
        <v>147</v>
      </c>
      <c r="D893" s="177" t="s">
        <v>147</v>
      </c>
      <c r="E893" s="177" t="str">
        <f t="shared" si="27"/>
        <v/>
      </c>
    </row>
    <row r="894" spans="3:5">
      <c r="C894" s="177" t="s">
        <v>147</v>
      </c>
      <c r="D894" s="177" t="s">
        <v>147</v>
      </c>
      <c r="E894" s="177" t="str">
        <f t="shared" si="27"/>
        <v/>
      </c>
    </row>
    <row r="895" spans="3:5">
      <c r="C895" s="177" t="s">
        <v>147</v>
      </c>
      <c r="D895" s="177" t="s">
        <v>147</v>
      </c>
      <c r="E895" s="177" t="str">
        <f t="shared" si="27"/>
        <v/>
      </c>
    </row>
    <row r="896" spans="3:5">
      <c r="C896" s="177" t="s">
        <v>147</v>
      </c>
      <c r="D896" s="177" t="s">
        <v>147</v>
      </c>
      <c r="E896" s="177" t="str">
        <f t="shared" si="27"/>
        <v/>
      </c>
    </row>
    <row r="897" spans="3:5">
      <c r="C897" s="177" t="s">
        <v>147</v>
      </c>
      <c r="D897" s="177" t="s">
        <v>147</v>
      </c>
      <c r="E897" s="177" t="str">
        <f t="shared" si="27"/>
        <v/>
      </c>
    </row>
    <row r="898" spans="3:5">
      <c r="C898" s="177" t="s">
        <v>147</v>
      </c>
      <c r="D898" s="177" t="s">
        <v>147</v>
      </c>
      <c r="E898" s="177" t="str">
        <f t="shared" si="27"/>
        <v/>
      </c>
    </row>
    <row r="899" spans="3:5">
      <c r="C899" s="177" t="s">
        <v>147</v>
      </c>
      <c r="D899" s="177" t="s">
        <v>147</v>
      </c>
      <c r="E899" s="177" t="str">
        <f t="shared" si="27"/>
        <v/>
      </c>
    </row>
    <row r="900" spans="3:5">
      <c r="C900" s="177" t="s">
        <v>147</v>
      </c>
      <c r="D900" s="177" t="s">
        <v>147</v>
      </c>
      <c r="E900" s="177" t="str">
        <f t="shared" ref="E900:E963" si="28">IF(C900&lt;D900,C900,D900)</f>
        <v/>
      </c>
    </row>
    <row r="901" spans="3:5">
      <c r="C901" s="177" t="s">
        <v>147</v>
      </c>
      <c r="D901" s="177" t="s">
        <v>147</v>
      </c>
      <c r="E901" s="177" t="str">
        <f t="shared" si="28"/>
        <v/>
      </c>
    </row>
    <row r="902" spans="3:5">
      <c r="C902" s="177" t="s">
        <v>147</v>
      </c>
      <c r="D902" s="177" t="s">
        <v>147</v>
      </c>
      <c r="E902" s="177" t="str">
        <f t="shared" si="28"/>
        <v/>
      </c>
    </row>
    <row r="903" spans="3:5">
      <c r="C903" s="177" t="s">
        <v>147</v>
      </c>
      <c r="D903" s="177" t="s">
        <v>147</v>
      </c>
      <c r="E903" s="177" t="str">
        <f t="shared" si="28"/>
        <v/>
      </c>
    </row>
    <row r="904" spans="3:5">
      <c r="C904" s="177" t="s">
        <v>147</v>
      </c>
      <c r="D904" s="177" t="s">
        <v>147</v>
      </c>
      <c r="E904" s="177" t="str">
        <f t="shared" si="28"/>
        <v/>
      </c>
    </row>
    <row r="905" spans="3:5">
      <c r="C905" s="177" t="s">
        <v>147</v>
      </c>
      <c r="D905" s="177" t="s">
        <v>147</v>
      </c>
      <c r="E905" s="177" t="str">
        <f t="shared" si="28"/>
        <v/>
      </c>
    </row>
    <row r="906" spans="3:5">
      <c r="C906" s="177" t="s">
        <v>147</v>
      </c>
      <c r="D906" s="177" t="s">
        <v>147</v>
      </c>
      <c r="E906" s="177" t="str">
        <f t="shared" si="28"/>
        <v/>
      </c>
    </row>
    <row r="907" spans="3:5">
      <c r="C907" s="177" t="s">
        <v>147</v>
      </c>
      <c r="D907" s="177" t="s">
        <v>147</v>
      </c>
      <c r="E907" s="177" t="str">
        <f t="shared" si="28"/>
        <v/>
      </c>
    </row>
    <row r="908" spans="3:5">
      <c r="C908" s="177" t="s">
        <v>147</v>
      </c>
      <c r="D908" s="177" t="s">
        <v>147</v>
      </c>
      <c r="E908" s="177" t="str">
        <f t="shared" si="28"/>
        <v/>
      </c>
    </row>
    <row r="909" spans="3:5">
      <c r="C909" s="177" t="s">
        <v>147</v>
      </c>
      <c r="D909" s="177" t="s">
        <v>147</v>
      </c>
      <c r="E909" s="177" t="str">
        <f t="shared" si="28"/>
        <v/>
      </c>
    </row>
    <row r="910" spans="3:5">
      <c r="C910" s="177" t="s">
        <v>147</v>
      </c>
      <c r="D910" s="177" t="s">
        <v>147</v>
      </c>
      <c r="E910" s="177" t="str">
        <f t="shared" si="28"/>
        <v/>
      </c>
    </row>
    <row r="911" spans="3:5">
      <c r="C911" s="177" t="s">
        <v>147</v>
      </c>
      <c r="D911" s="177" t="s">
        <v>147</v>
      </c>
      <c r="E911" s="177" t="str">
        <f t="shared" si="28"/>
        <v/>
      </c>
    </row>
    <row r="912" spans="3:5">
      <c r="C912" s="177" t="s">
        <v>147</v>
      </c>
      <c r="D912" s="177" t="s">
        <v>147</v>
      </c>
      <c r="E912" s="177" t="str">
        <f t="shared" si="28"/>
        <v/>
      </c>
    </row>
    <row r="913" spans="3:5">
      <c r="C913" s="177" t="s">
        <v>147</v>
      </c>
      <c r="D913" s="177" t="s">
        <v>147</v>
      </c>
      <c r="E913" s="177" t="str">
        <f t="shared" si="28"/>
        <v/>
      </c>
    </row>
    <row r="914" spans="3:5">
      <c r="C914" s="177" t="s">
        <v>147</v>
      </c>
      <c r="D914" s="177" t="s">
        <v>147</v>
      </c>
      <c r="E914" s="177" t="str">
        <f t="shared" si="28"/>
        <v/>
      </c>
    </row>
    <row r="915" spans="3:5">
      <c r="C915" s="177" t="s">
        <v>147</v>
      </c>
      <c r="D915" s="177" t="s">
        <v>147</v>
      </c>
      <c r="E915" s="177" t="str">
        <f t="shared" si="28"/>
        <v/>
      </c>
    </row>
    <row r="916" spans="3:5">
      <c r="C916" s="177" t="s">
        <v>147</v>
      </c>
      <c r="D916" s="177" t="s">
        <v>147</v>
      </c>
      <c r="E916" s="177" t="str">
        <f t="shared" si="28"/>
        <v/>
      </c>
    </row>
    <row r="917" spans="3:5">
      <c r="C917" s="177" t="s">
        <v>147</v>
      </c>
      <c r="D917" s="177" t="s">
        <v>147</v>
      </c>
      <c r="E917" s="177" t="str">
        <f t="shared" si="28"/>
        <v/>
      </c>
    </row>
    <row r="918" spans="3:5">
      <c r="C918" s="177" t="s">
        <v>147</v>
      </c>
      <c r="D918" s="177" t="s">
        <v>147</v>
      </c>
      <c r="E918" s="177" t="str">
        <f t="shared" si="28"/>
        <v/>
      </c>
    </row>
    <row r="919" spans="3:5">
      <c r="C919" s="177" t="s">
        <v>147</v>
      </c>
      <c r="D919" s="177" t="s">
        <v>147</v>
      </c>
      <c r="E919" s="177" t="str">
        <f t="shared" si="28"/>
        <v/>
      </c>
    </row>
    <row r="920" spans="3:5">
      <c r="C920" s="177" t="s">
        <v>147</v>
      </c>
      <c r="D920" s="177" t="s">
        <v>147</v>
      </c>
      <c r="E920" s="177" t="str">
        <f t="shared" si="28"/>
        <v/>
      </c>
    </row>
    <row r="921" spans="3:5">
      <c r="C921" s="177" t="s">
        <v>147</v>
      </c>
      <c r="D921" s="177" t="s">
        <v>147</v>
      </c>
      <c r="E921" s="177" t="str">
        <f t="shared" si="28"/>
        <v/>
      </c>
    </row>
    <row r="922" spans="3:5">
      <c r="C922" s="177" t="s">
        <v>147</v>
      </c>
      <c r="D922" s="177" t="s">
        <v>147</v>
      </c>
      <c r="E922" s="177" t="str">
        <f t="shared" si="28"/>
        <v/>
      </c>
    </row>
    <row r="923" spans="3:5">
      <c r="C923" s="177" t="s">
        <v>147</v>
      </c>
      <c r="D923" s="177" t="s">
        <v>147</v>
      </c>
      <c r="E923" s="177" t="str">
        <f t="shared" si="28"/>
        <v/>
      </c>
    </row>
    <row r="924" spans="3:5">
      <c r="C924" s="177" t="s">
        <v>147</v>
      </c>
      <c r="D924" s="177" t="s">
        <v>147</v>
      </c>
      <c r="E924" s="177" t="str">
        <f t="shared" si="28"/>
        <v/>
      </c>
    </row>
    <row r="925" spans="3:5">
      <c r="C925" s="177" t="s">
        <v>147</v>
      </c>
      <c r="D925" s="177" t="s">
        <v>147</v>
      </c>
      <c r="E925" s="177" t="str">
        <f t="shared" si="28"/>
        <v/>
      </c>
    </row>
    <row r="926" spans="3:5">
      <c r="C926" s="177" t="s">
        <v>147</v>
      </c>
      <c r="D926" s="177" t="s">
        <v>147</v>
      </c>
      <c r="E926" s="177" t="str">
        <f t="shared" si="28"/>
        <v/>
      </c>
    </row>
    <row r="927" spans="3:5">
      <c r="C927" s="177" t="s">
        <v>147</v>
      </c>
      <c r="D927" s="177" t="s">
        <v>147</v>
      </c>
      <c r="E927" s="177" t="str">
        <f t="shared" si="28"/>
        <v/>
      </c>
    </row>
    <row r="928" spans="3:5">
      <c r="C928" s="177" t="s">
        <v>147</v>
      </c>
      <c r="D928" s="177" t="s">
        <v>147</v>
      </c>
      <c r="E928" s="177" t="str">
        <f t="shared" si="28"/>
        <v/>
      </c>
    </row>
    <row r="929" spans="3:5">
      <c r="C929" s="177" t="s">
        <v>147</v>
      </c>
      <c r="D929" s="177" t="s">
        <v>147</v>
      </c>
      <c r="E929" s="177" t="str">
        <f t="shared" si="28"/>
        <v/>
      </c>
    </row>
    <row r="930" spans="3:5">
      <c r="C930" s="177" t="s">
        <v>147</v>
      </c>
      <c r="D930" s="177" t="s">
        <v>147</v>
      </c>
      <c r="E930" s="177" t="str">
        <f t="shared" si="28"/>
        <v/>
      </c>
    </row>
    <row r="931" spans="3:5">
      <c r="C931" s="177" t="s">
        <v>147</v>
      </c>
      <c r="D931" s="177" t="s">
        <v>147</v>
      </c>
      <c r="E931" s="177" t="str">
        <f t="shared" si="28"/>
        <v/>
      </c>
    </row>
    <row r="932" spans="3:5">
      <c r="C932" s="177" t="s">
        <v>147</v>
      </c>
      <c r="D932" s="177" t="s">
        <v>147</v>
      </c>
      <c r="E932" s="177" t="str">
        <f t="shared" si="28"/>
        <v/>
      </c>
    </row>
    <row r="933" spans="3:5">
      <c r="C933" s="177" t="s">
        <v>147</v>
      </c>
      <c r="D933" s="177" t="s">
        <v>147</v>
      </c>
      <c r="E933" s="177" t="str">
        <f t="shared" si="28"/>
        <v/>
      </c>
    </row>
    <row r="934" spans="3:5">
      <c r="C934" s="177" t="s">
        <v>147</v>
      </c>
      <c r="D934" s="177" t="s">
        <v>147</v>
      </c>
      <c r="E934" s="177" t="str">
        <f t="shared" si="28"/>
        <v/>
      </c>
    </row>
    <row r="935" spans="3:5">
      <c r="C935" s="177" t="s">
        <v>147</v>
      </c>
      <c r="D935" s="177" t="s">
        <v>147</v>
      </c>
      <c r="E935" s="177" t="str">
        <f t="shared" si="28"/>
        <v/>
      </c>
    </row>
    <row r="936" spans="3:5">
      <c r="C936" s="177" t="s">
        <v>147</v>
      </c>
      <c r="D936" s="177" t="s">
        <v>147</v>
      </c>
      <c r="E936" s="177" t="str">
        <f t="shared" si="28"/>
        <v/>
      </c>
    </row>
    <row r="937" spans="3:5">
      <c r="C937" s="177" t="s">
        <v>147</v>
      </c>
      <c r="D937" s="177" t="s">
        <v>147</v>
      </c>
      <c r="E937" s="177" t="str">
        <f t="shared" si="28"/>
        <v/>
      </c>
    </row>
    <row r="938" spans="3:5">
      <c r="C938" s="177" t="s">
        <v>147</v>
      </c>
      <c r="D938" s="177" t="s">
        <v>147</v>
      </c>
      <c r="E938" s="177" t="str">
        <f t="shared" si="28"/>
        <v/>
      </c>
    </row>
    <row r="939" spans="3:5">
      <c r="C939" s="177" t="s">
        <v>147</v>
      </c>
      <c r="D939" s="177" t="s">
        <v>147</v>
      </c>
      <c r="E939" s="177" t="str">
        <f t="shared" si="28"/>
        <v/>
      </c>
    </row>
    <row r="940" spans="3:5">
      <c r="C940" s="177" t="s">
        <v>147</v>
      </c>
      <c r="D940" s="177" t="s">
        <v>147</v>
      </c>
      <c r="E940" s="177" t="str">
        <f t="shared" si="28"/>
        <v/>
      </c>
    </row>
    <row r="941" spans="3:5">
      <c r="C941" s="177" t="s">
        <v>147</v>
      </c>
      <c r="D941" s="177" t="s">
        <v>147</v>
      </c>
      <c r="E941" s="177" t="str">
        <f t="shared" si="28"/>
        <v/>
      </c>
    </row>
    <row r="942" spans="3:5">
      <c r="C942" s="177" t="s">
        <v>147</v>
      </c>
      <c r="D942" s="177" t="s">
        <v>147</v>
      </c>
      <c r="E942" s="177" t="str">
        <f t="shared" si="28"/>
        <v/>
      </c>
    </row>
    <row r="943" spans="3:5">
      <c r="C943" s="177" t="s">
        <v>147</v>
      </c>
      <c r="D943" s="177" t="s">
        <v>147</v>
      </c>
      <c r="E943" s="177" t="str">
        <f t="shared" si="28"/>
        <v/>
      </c>
    </row>
    <row r="944" spans="3:5">
      <c r="C944" s="177" t="s">
        <v>147</v>
      </c>
      <c r="D944" s="177" t="s">
        <v>147</v>
      </c>
      <c r="E944" s="177" t="str">
        <f t="shared" si="28"/>
        <v/>
      </c>
    </row>
    <row r="945" spans="3:5">
      <c r="C945" s="177" t="s">
        <v>147</v>
      </c>
      <c r="D945" s="177" t="s">
        <v>147</v>
      </c>
      <c r="E945" s="177" t="str">
        <f t="shared" si="28"/>
        <v/>
      </c>
    </row>
    <row r="946" spans="3:5">
      <c r="C946" s="177" t="s">
        <v>147</v>
      </c>
      <c r="D946" s="177" t="s">
        <v>147</v>
      </c>
      <c r="E946" s="177" t="str">
        <f t="shared" si="28"/>
        <v/>
      </c>
    </row>
    <row r="947" spans="3:5">
      <c r="C947" s="177" t="s">
        <v>147</v>
      </c>
      <c r="D947" s="177" t="s">
        <v>147</v>
      </c>
      <c r="E947" s="177" t="str">
        <f t="shared" si="28"/>
        <v/>
      </c>
    </row>
    <row r="948" spans="3:5">
      <c r="C948" s="177" t="s">
        <v>147</v>
      </c>
      <c r="D948" s="177" t="s">
        <v>147</v>
      </c>
      <c r="E948" s="177" t="str">
        <f t="shared" si="28"/>
        <v/>
      </c>
    </row>
    <row r="949" spans="3:5">
      <c r="C949" s="177" t="s">
        <v>147</v>
      </c>
      <c r="D949" s="177" t="s">
        <v>147</v>
      </c>
      <c r="E949" s="177" t="str">
        <f t="shared" si="28"/>
        <v/>
      </c>
    </row>
    <row r="950" spans="3:5">
      <c r="C950" s="177" t="s">
        <v>147</v>
      </c>
      <c r="D950" s="177" t="s">
        <v>147</v>
      </c>
      <c r="E950" s="177" t="str">
        <f t="shared" si="28"/>
        <v/>
      </c>
    </row>
    <row r="951" spans="3:5">
      <c r="C951" s="177" t="s">
        <v>147</v>
      </c>
      <c r="D951" s="177" t="s">
        <v>147</v>
      </c>
      <c r="E951" s="177" t="str">
        <f t="shared" si="28"/>
        <v/>
      </c>
    </row>
    <row r="952" spans="3:5">
      <c r="C952" s="177" t="s">
        <v>147</v>
      </c>
      <c r="D952" s="177" t="s">
        <v>147</v>
      </c>
      <c r="E952" s="177" t="str">
        <f t="shared" si="28"/>
        <v/>
      </c>
    </row>
    <row r="953" spans="3:5">
      <c r="C953" s="177" t="s">
        <v>147</v>
      </c>
      <c r="D953" s="177" t="s">
        <v>147</v>
      </c>
      <c r="E953" s="177" t="str">
        <f t="shared" si="28"/>
        <v/>
      </c>
    </row>
    <row r="954" spans="3:5">
      <c r="C954" s="177" t="s">
        <v>147</v>
      </c>
      <c r="D954" s="177" t="s">
        <v>147</v>
      </c>
      <c r="E954" s="177" t="str">
        <f t="shared" si="28"/>
        <v/>
      </c>
    </row>
    <row r="955" spans="3:5">
      <c r="C955" s="177" t="s">
        <v>147</v>
      </c>
      <c r="D955" s="177" t="s">
        <v>147</v>
      </c>
      <c r="E955" s="177" t="str">
        <f t="shared" si="28"/>
        <v/>
      </c>
    </row>
    <row r="956" spans="3:5">
      <c r="C956" s="177" t="s">
        <v>147</v>
      </c>
      <c r="D956" s="177" t="s">
        <v>147</v>
      </c>
      <c r="E956" s="177" t="str">
        <f t="shared" si="28"/>
        <v/>
      </c>
    </row>
    <row r="957" spans="3:5">
      <c r="C957" s="177" t="s">
        <v>147</v>
      </c>
      <c r="D957" s="177" t="s">
        <v>147</v>
      </c>
      <c r="E957" s="177" t="str">
        <f t="shared" si="28"/>
        <v/>
      </c>
    </row>
    <row r="958" spans="3:5">
      <c r="C958" s="177" t="s">
        <v>147</v>
      </c>
      <c r="D958" s="177" t="s">
        <v>147</v>
      </c>
      <c r="E958" s="177" t="str">
        <f t="shared" si="28"/>
        <v/>
      </c>
    </row>
    <row r="959" spans="3:5">
      <c r="C959" s="177" t="s">
        <v>147</v>
      </c>
      <c r="D959" s="177" t="s">
        <v>147</v>
      </c>
      <c r="E959" s="177" t="str">
        <f t="shared" si="28"/>
        <v/>
      </c>
    </row>
    <row r="960" spans="3:5">
      <c r="C960" s="177" t="s">
        <v>147</v>
      </c>
      <c r="D960" s="177" t="s">
        <v>147</v>
      </c>
      <c r="E960" s="177" t="str">
        <f t="shared" si="28"/>
        <v/>
      </c>
    </row>
    <row r="961" spans="3:5">
      <c r="C961" s="177" t="s">
        <v>147</v>
      </c>
      <c r="D961" s="177" t="s">
        <v>147</v>
      </c>
      <c r="E961" s="177" t="str">
        <f t="shared" si="28"/>
        <v/>
      </c>
    </row>
    <row r="962" spans="3:5">
      <c r="C962" s="177" t="s">
        <v>147</v>
      </c>
      <c r="D962" s="177" t="s">
        <v>147</v>
      </c>
      <c r="E962" s="177" t="str">
        <f t="shared" si="28"/>
        <v/>
      </c>
    </row>
    <row r="963" spans="3:5">
      <c r="C963" s="177" t="s">
        <v>147</v>
      </c>
      <c r="D963" s="177" t="s">
        <v>147</v>
      </c>
      <c r="E963" s="177" t="str">
        <f t="shared" si="28"/>
        <v/>
      </c>
    </row>
    <row r="964" spans="3:5">
      <c r="C964" s="177" t="s">
        <v>147</v>
      </c>
      <c r="D964" s="177" t="s">
        <v>147</v>
      </c>
      <c r="E964" s="177" t="str">
        <f t="shared" ref="E964:E1027" si="29">IF(C964&lt;D964,C964,D964)</f>
        <v/>
      </c>
    </row>
    <row r="965" spans="3:5">
      <c r="C965" s="177" t="s">
        <v>147</v>
      </c>
      <c r="D965" s="177" t="s">
        <v>147</v>
      </c>
      <c r="E965" s="177" t="str">
        <f t="shared" si="29"/>
        <v/>
      </c>
    </row>
    <row r="966" spans="3:5">
      <c r="C966" s="177" t="s">
        <v>147</v>
      </c>
      <c r="D966" s="177" t="s">
        <v>147</v>
      </c>
      <c r="E966" s="177" t="str">
        <f t="shared" si="29"/>
        <v/>
      </c>
    </row>
    <row r="967" spans="3:5">
      <c r="C967" s="177" t="s">
        <v>147</v>
      </c>
      <c r="D967" s="177" t="s">
        <v>147</v>
      </c>
      <c r="E967" s="177" t="str">
        <f t="shared" si="29"/>
        <v/>
      </c>
    </row>
    <row r="968" spans="3:5">
      <c r="C968" s="177" t="s">
        <v>147</v>
      </c>
      <c r="D968" s="177" t="s">
        <v>147</v>
      </c>
      <c r="E968" s="177" t="str">
        <f t="shared" si="29"/>
        <v/>
      </c>
    </row>
    <row r="969" spans="3:5">
      <c r="C969" s="177" t="s">
        <v>147</v>
      </c>
      <c r="D969" s="177" t="s">
        <v>147</v>
      </c>
      <c r="E969" s="177" t="str">
        <f t="shared" si="29"/>
        <v/>
      </c>
    </row>
    <row r="970" spans="3:5">
      <c r="C970" s="177" t="s">
        <v>147</v>
      </c>
      <c r="D970" s="177" t="s">
        <v>147</v>
      </c>
      <c r="E970" s="177" t="str">
        <f t="shared" si="29"/>
        <v/>
      </c>
    </row>
    <row r="971" spans="3:5">
      <c r="C971" s="177" t="s">
        <v>147</v>
      </c>
      <c r="D971" s="177" t="s">
        <v>147</v>
      </c>
      <c r="E971" s="177" t="str">
        <f t="shared" si="29"/>
        <v/>
      </c>
    </row>
    <row r="972" spans="3:5">
      <c r="C972" s="177" t="s">
        <v>147</v>
      </c>
      <c r="D972" s="177" t="s">
        <v>147</v>
      </c>
      <c r="E972" s="177" t="str">
        <f t="shared" si="29"/>
        <v/>
      </c>
    </row>
    <row r="973" spans="3:5">
      <c r="C973" s="177" t="s">
        <v>147</v>
      </c>
      <c r="D973" s="177" t="s">
        <v>147</v>
      </c>
      <c r="E973" s="177" t="str">
        <f t="shared" si="29"/>
        <v/>
      </c>
    </row>
    <row r="974" spans="3:5">
      <c r="C974" s="177" t="s">
        <v>147</v>
      </c>
      <c r="D974" s="177" t="s">
        <v>147</v>
      </c>
      <c r="E974" s="177" t="str">
        <f t="shared" si="29"/>
        <v/>
      </c>
    </row>
    <row r="975" spans="3:5">
      <c r="C975" s="177" t="s">
        <v>147</v>
      </c>
      <c r="D975" s="177" t="s">
        <v>147</v>
      </c>
      <c r="E975" s="177" t="str">
        <f t="shared" si="29"/>
        <v/>
      </c>
    </row>
    <row r="976" spans="3:5">
      <c r="C976" s="177" t="s">
        <v>147</v>
      </c>
      <c r="D976" s="177" t="s">
        <v>147</v>
      </c>
      <c r="E976" s="177" t="str">
        <f t="shared" si="29"/>
        <v/>
      </c>
    </row>
    <row r="977" spans="3:5">
      <c r="C977" s="177" t="s">
        <v>147</v>
      </c>
      <c r="D977" s="177" t="s">
        <v>147</v>
      </c>
      <c r="E977" s="177" t="str">
        <f t="shared" si="29"/>
        <v/>
      </c>
    </row>
    <row r="978" spans="3:5">
      <c r="C978" s="177" t="s">
        <v>147</v>
      </c>
      <c r="D978" s="177" t="s">
        <v>147</v>
      </c>
      <c r="E978" s="177" t="str">
        <f t="shared" si="29"/>
        <v/>
      </c>
    </row>
    <row r="979" spans="3:5">
      <c r="C979" s="177" t="s">
        <v>147</v>
      </c>
      <c r="D979" s="177" t="s">
        <v>147</v>
      </c>
      <c r="E979" s="177" t="str">
        <f t="shared" si="29"/>
        <v/>
      </c>
    </row>
    <row r="980" spans="3:5">
      <c r="C980" s="177" t="s">
        <v>147</v>
      </c>
      <c r="D980" s="177" t="s">
        <v>147</v>
      </c>
      <c r="E980" s="177" t="str">
        <f t="shared" si="29"/>
        <v/>
      </c>
    </row>
    <row r="981" spans="3:5">
      <c r="C981" s="177" t="s">
        <v>147</v>
      </c>
      <c r="D981" s="177" t="s">
        <v>147</v>
      </c>
      <c r="E981" s="177" t="str">
        <f t="shared" si="29"/>
        <v/>
      </c>
    </row>
    <row r="982" spans="3:5">
      <c r="C982" s="177" t="s">
        <v>147</v>
      </c>
      <c r="D982" s="177" t="s">
        <v>147</v>
      </c>
      <c r="E982" s="177" t="str">
        <f t="shared" si="29"/>
        <v/>
      </c>
    </row>
    <row r="983" spans="3:5">
      <c r="C983" s="177" t="s">
        <v>147</v>
      </c>
      <c r="D983" s="177" t="s">
        <v>147</v>
      </c>
      <c r="E983" s="177" t="str">
        <f t="shared" si="29"/>
        <v/>
      </c>
    </row>
    <row r="984" spans="3:5">
      <c r="C984" s="177" t="s">
        <v>147</v>
      </c>
      <c r="D984" s="177" t="s">
        <v>147</v>
      </c>
      <c r="E984" s="177" t="str">
        <f t="shared" si="29"/>
        <v/>
      </c>
    </row>
    <row r="985" spans="3:5">
      <c r="C985" s="177" t="s">
        <v>147</v>
      </c>
      <c r="D985" s="177" t="s">
        <v>147</v>
      </c>
      <c r="E985" s="177" t="str">
        <f t="shared" si="29"/>
        <v/>
      </c>
    </row>
    <row r="986" spans="3:5">
      <c r="C986" s="177" t="s">
        <v>147</v>
      </c>
      <c r="D986" s="177" t="s">
        <v>147</v>
      </c>
      <c r="E986" s="177" t="str">
        <f t="shared" si="29"/>
        <v/>
      </c>
    </row>
    <row r="987" spans="3:5">
      <c r="C987" s="177" t="s">
        <v>147</v>
      </c>
      <c r="D987" s="177" t="s">
        <v>147</v>
      </c>
      <c r="E987" s="177" t="str">
        <f t="shared" si="29"/>
        <v/>
      </c>
    </row>
    <row r="988" spans="3:5">
      <c r="C988" s="177" t="s">
        <v>147</v>
      </c>
      <c r="D988" s="177" t="s">
        <v>147</v>
      </c>
      <c r="E988" s="177" t="str">
        <f t="shared" si="29"/>
        <v/>
      </c>
    </row>
    <row r="989" spans="3:5">
      <c r="C989" s="177" t="s">
        <v>147</v>
      </c>
      <c r="D989" s="177" t="s">
        <v>147</v>
      </c>
      <c r="E989" s="177" t="str">
        <f t="shared" si="29"/>
        <v/>
      </c>
    </row>
    <row r="990" spans="3:5">
      <c r="C990" s="177" t="s">
        <v>147</v>
      </c>
      <c r="D990" s="177" t="s">
        <v>147</v>
      </c>
      <c r="E990" s="177" t="str">
        <f t="shared" si="29"/>
        <v/>
      </c>
    </row>
    <row r="991" spans="3:5">
      <c r="C991" s="177" t="s">
        <v>147</v>
      </c>
      <c r="D991" s="177" t="s">
        <v>147</v>
      </c>
      <c r="E991" s="177" t="str">
        <f t="shared" si="29"/>
        <v/>
      </c>
    </row>
    <row r="992" spans="3:5">
      <c r="C992" s="177" t="s">
        <v>147</v>
      </c>
      <c r="D992" s="177" t="s">
        <v>147</v>
      </c>
      <c r="E992" s="177" t="str">
        <f t="shared" si="29"/>
        <v/>
      </c>
    </row>
    <row r="993" spans="3:5">
      <c r="C993" s="177" t="s">
        <v>147</v>
      </c>
      <c r="D993" s="177" t="s">
        <v>147</v>
      </c>
      <c r="E993" s="177" t="str">
        <f t="shared" si="29"/>
        <v/>
      </c>
    </row>
    <row r="994" spans="3:5">
      <c r="C994" s="177" t="s">
        <v>147</v>
      </c>
      <c r="D994" s="177" t="s">
        <v>147</v>
      </c>
      <c r="E994" s="177" t="str">
        <f t="shared" si="29"/>
        <v/>
      </c>
    </row>
    <row r="995" spans="3:5">
      <c r="C995" s="177" t="s">
        <v>147</v>
      </c>
      <c r="D995" s="177" t="s">
        <v>147</v>
      </c>
      <c r="E995" s="177" t="str">
        <f t="shared" si="29"/>
        <v/>
      </c>
    </row>
    <row r="996" spans="3:5">
      <c r="C996" s="177" t="s">
        <v>147</v>
      </c>
      <c r="D996" s="177" t="s">
        <v>147</v>
      </c>
      <c r="E996" s="177" t="str">
        <f t="shared" si="29"/>
        <v/>
      </c>
    </row>
    <row r="997" spans="3:5">
      <c r="C997" s="177" t="s">
        <v>147</v>
      </c>
      <c r="D997" s="177" t="s">
        <v>147</v>
      </c>
      <c r="E997" s="177" t="str">
        <f t="shared" si="29"/>
        <v/>
      </c>
    </row>
    <row r="998" spans="3:5">
      <c r="C998" s="177" t="s">
        <v>147</v>
      </c>
      <c r="D998" s="177" t="s">
        <v>147</v>
      </c>
      <c r="E998" s="177" t="str">
        <f t="shared" si="29"/>
        <v/>
      </c>
    </row>
    <row r="999" spans="3:5">
      <c r="C999" s="177" t="s">
        <v>147</v>
      </c>
      <c r="D999" s="177" t="s">
        <v>147</v>
      </c>
      <c r="E999" s="177" t="str">
        <f t="shared" si="29"/>
        <v/>
      </c>
    </row>
    <row r="1000" spans="3:5">
      <c r="C1000" s="177" t="s">
        <v>147</v>
      </c>
      <c r="D1000" s="177" t="s">
        <v>147</v>
      </c>
      <c r="E1000" s="177" t="str">
        <f t="shared" si="29"/>
        <v/>
      </c>
    </row>
    <row r="1001" spans="3:5">
      <c r="C1001" s="177" t="s">
        <v>147</v>
      </c>
      <c r="D1001" s="177" t="s">
        <v>147</v>
      </c>
      <c r="E1001" s="177" t="str">
        <f t="shared" si="29"/>
        <v/>
      </c>
    </row>
    <row r="1002" spans="3:5">
      <c r="C1002" s="177" t="s">
        <v>147</v>
      </c>
      <c r="D1002" s="177" t="s">
        <v>147</v>
      </c>
      <c r="E1002" s="177" t="str">
        <f t="shared" si="29"/>
        <v/>
      </c>
    </row>
    <row r="1003" spans="3:5">
      <c r="C1003" s="177" t="s">
        <v>147</v>
      </c>
      <c r="D1003" s="177" t="s">
        <v>147</v>
      </c>
      <c r="E1003" s="177" t="str">
        <f t="shared" si="29"/>
        <v/>
      </c>
    </row>
    <row r="1004" spans="3:5">
      <c r="C1004" s="177" t="s">
        <v>147</v>
      </c>
      <c r="D1004" s="177" t="s">
        <v>147</v>
      </c>
      <c r="E1004" s="177" t="str">
        <f t="shared" si="29"/>
        <v/>
      </c>
    </row>
    <row r="1005" spans="3:5">
      <c r="C1005" s="177" t="s">
        <v>147</v>
      </c>
      <c r="D1005" s="177" t="s">
        <v>147</v>
      </c>
      <c r="E1005" s="177" t="str">
        <f t="shared" si="29"/>
        <v/>
      </c>
    </row>
    <row r="1006" spans="3:5">
      <c r="C1006" s="177" t="s">
        <v>147</v>
      </c>
      <c r="D1006" s="177" t="s">
        <v>147</v>
      </c>
      <c r="E1006" s="177" t="str">
        <f t="shared" si="29"/>
        <v/>
      </c>
    </row>
    <row r="1007" spans="3:5">
      <c r="C1007" s="177" t="s">
        <v>147</v>
      </c>
      <c r="D1007" s="177" t="s">
        <v>147</v>
      </c>
      <c r="E1007" s="177" t="str">
        <f t="shared" si="29"/>
        <v/>
      </c>
    </row>
    <row r="1008" spans="3:5">
      <c r="C1008" s="177" t="s">
        <v>147</v>
      </c>
      <c r="D1008" s="177" t="s">
        <v>147</v>
      </c>
      <c r="E1008" s="177" t="str">
        <f t="shared" si="29"/>
        <v/>
      </c>
    </row>
    <row r="1009" spans="3:5">
      <c r="C1009" s="177" t="s">
        <v>147</v>
      </c>
      <c r="D1009" s="177" t="s">
        <v>147</v>
      </c>
      <c r="E1009" s="177" t="str">
        <f t="shared" si="29"/>
        <v/>
      </c>
    </row>
    <row r="1010" spans="3:5">
      <c r="C1010" s="177" t="s">
        <v>147</v>
      </c>
      <c r="D1010" s="177" t="s">
        <v>147</v>
      </c>
      <c r="E1010" s="177" t="str">
        <f t="shared" si="29"/>
        <v/>
      </c>
    </row>
    <row r="1011" spans="3:5">
      <c r="C1011" s="177" t="s">
        <v>147</v>
      </c>
      <c r="D1011" s="177" t="s">
        <v>147</v>
      </c>
      <c r="E1011" s="177" t="str">
        <f t="shared" si="29"/>
        <v/>
      </c>
    </row>
    <row r="1012" spans="3:5">
      <c r="C1012" s="177" t="s">
        <v>147</v>
      </c>
      <c r="D1012" s="177" t="s">
        <v>147</v>
      </c>
      <c r="E1012" s="177" t="str">
        <f t="shared" si="29"/>
        <v/>
      </c>
    </row>
    <row r="1013" spans="3:5">
      <c r="C1013" s="177" t="s">
        <v>147</v>
      </c>
      <c r="D1013" s="177" t="s">
        <v>147</v>
      </c>
      <c r="E1013" s="177" t="str">
        <f t="shared" si="29"/>
        <v/>
      </c>
    </row>
    <row r="1014" spans="3:5">
      <c r="C1014" s="177" t="s">
        <v>147</v>
      </c>
      <c r="D1014" s="177" t="s">
        <v>147</v>
      </c>
      <c r="E1014" s="177" t="str">
        <f t="shared" si="29"/>
        <v/>
      </c>
    </row>
    <row r="1015" spans="3:5">
      <c r="C1015" s="177" t="s">
        <v>147</v>
      </c>
      <c r="D1015" s="177" t="s">
        <v>147</v>
      </c>
      <c r="E1015" s="177" t="str">
        <f t="shared" si="29"/>
        <v/>
      </c>
    </row>
    <row r="1016" spans="3:5">
      <c r="C1016" s="177" t="s">
        <v>147</v>
      </c>
      <c r="D1016" s="177" t="s">
        <v>147</v>
      </c>
      <c r="E1016" s="177" t="str">
        <f t="shared" si="29"/>
        <v/>
      </c>
    </row>
    <row r="1017" spans="3:5">
      <c r="C1017" s="177" t="s">
        <v>147</v>
      </c>
      <c r="D1017" s="177" t="s">
        <v>147</v>
      </c>
      <c r="E1017" s="177" t="str">
        <f t="shared" si="29"/>
        <v/>
      </c>
    </row>
    <row r="1018" spans="3:5">
      <c r="C1018" s="177" t="s">
        <v>147</v>
      </c>
      <c r="D1018" s="177" t="s">
        <v>147</v>
      </c>
      <c r="E1018" s="177" t="str">
        <f t="shared" si="29"/>
        <v/>
      </c>
    </row>
    <row r="1019" spans="3:5">
      <c r="C1019" s="177" t="s">
        <v>147</v>
      </c>
      <c r="D1019" s="177" t="s">
        <v>147</v>
      </c>
      <c r="E1019" s="177" t="str">
        <f t="shared" si="29"/>
        <v/>
      </c>
    </row>
    <row r="1020" spans="3:5">
      <c r="C1020" s="177" t="s">
        <v>147</v>
      </c>
      <c r="D1020" s="177" t="s">
        <v>147</v>
      </c>
      <c r="E1020" s="177" t="str">
        <f t="shared" si="29"/>
        <v/>
      </c>
    </row>
    <row r="1021" spans="3:5">
      <c r="C1021" s="177" t="s">
        <v>147</v>
      </c>
      <c r="D1021" s="177" t="s">
        <v>147</v>
      </c>
      <c r="E1021" s="177" t="str">
        <f t="shared" si="29"/>
        <v/>
      </c>
    </row>
    <row r="1022" spans="3:5">
      <c r="C1022" s="177" t="s">
        <v>147</v>
      </c>
      <c r="D1022" s="177" t="s">
        <v>147</v>
      </c>
      <c r="E1022" s="177" t="str">
        <f t="shared" si="29"/>
        <v/>
      </c>
    </row>
    <row r="1023" spans="3:5">
      <c r="C1023" s="177" t="s">
        <v>147</v>
      </c>
      <c r="D1023" s="177" t="s">
        <v>147</v>
      </c>
      <c r="E1023" s="177" t="str">
        <f t="shared" si="29"/>
        <v/>
      </c>
    </row>
    <row r="1024" spans="3:5">
      <c r="C1024" s="177" t="s">
        <v>147</v>
      </c>
      <c r="D1024" s="177" t="s">
        <v>147</v>
      </c>
      <c r="E1024" s="177" t="str">
        <f t="shared" si="29"/>
        <v/>
      </c>
    </row>
    <row r="1025" spans="3:5">
      <c r="C1025" s="177" t="s">
        <v>147</v>
      </c>
      <c r="D1025" s="177" t="s">
        <v>147</v>
      </c>
      <c r="E1025" s="177" t="str">
        <f t="shared" si="29"/>
        <v/>
      </c>
    </row>
    <row r="1026" spans="3:5">
      <c r="C1026" s="177" t="s">
        <v>147</v>
      </c>
      <c r="D1026" s="177" t="s">
        <v>147</v>
      </c>
      <c r="E1026" s="177" t="str">
        <f t="shared" si="29"/>
        <v/>
      </c>
    </row>
    <row r="1027" spans="3:5">
      <c r="C1027" s="177" t="s">
        <v>147</v>
      </c>
      <c r="D1027" s="177" t="s">
        <v>147</v>
      </c>
      <c r="E1027" s="177" t="str">
        <f t="shared" si="29"/>
        <v/>
      </c>
    </row>
    <row r="1028" spans="3:5">
      <c r="C1028" s="177" t="s">
        <v>147</v>
      </c>
      <c r="D1028" s="177" t="s">
        <v>147</v>
      </c>
      <c r="E1028" s="177" t="str">
        <f t="shared" ref="E1028:E1091" si="30">IF(C1028&lt;D1028,C1028,D1028)</f>
        <v/>
      </c>
    </row>
    <row r="1029" spans="3:5">
      <c r="C1029" s="177" t="s">
        <v>147</v>
      </c>
      <c r="D1029" s="177" t="s">
        <v>147</v>
      </c>
      <c r="E1029" s="177" t="str">
        <f t="shared" si="30"/>
        <v/>
      </c>
    </row>
    <row r="1030" spans="3:5">
      <c r="C1030" s="177" t="s">
        <v>147</v>
      </c>
      <c r="D1030" s="177" t="s">
        <v>147</v>
      </c>
      <c r="E1030" s="177" t="str">
        <f t="shared" si="30"/>
        <v/>
      </c>
    </row>
    <row r="1031" spans="3:5">
      <c r="C1031" s="177" t="s">
        <v>147</v>
      </c>
      <c r="D1031" s="177" t="s">
        <v>147</v>
      </c>
      <c r="E1031" s="177" t="str">
        <f t="shared" si="30"/>
        <v/>
      </c>
    </row>
    <row r="1032" spans="3:5">
      <c r="C1032" s="177" t="s">
        <v>147</v>
      </c>
      <c r="D1032" s="177" t="s">
        <v>147</v>
      </c>
      <c r="E1032" s="177" t="str">
        <f t="shared" si="30"/>
        <v/>
      </c>
    </row>
    <row r="1033" spans="3:5">
      <c r="C1033" s="177" t="s">
        <v>147</v>
      </c>
      <c r="D1033" s="177" t="s">
        <v>147</v>
      </c>
      <c r="E1033" s="177" t="str">
        <f t="shared" si="30"/>
        <v/>
      </c>
    </row>
    <row r="1034" spans="3:5">
      <c r="C1034" s="177" t="s">
        <v>147</v>
      </c>
      <c r="D1034" s="177" t="s">
        <v>147</v>
      </c>
      <c r="E1034" s="177" t="str">
        <f t="shared" si="30"/>
        <v/>
      </c>
    </row>
    <row r="1035" spans="3:5">
      <c r="C1035" s="177" t="s">
        <v>147</v>
      </c>
      <c r="D1035" s="177" t="s">
        <v>147</v>
      </c>
      <c r="E1035" s="177" t="str">
        <f t="shared" si="30"/>
        <v/>
      </c>
    </row>
    <row r="1036" spans="3:5">
      <c r="C1036" s="177" t="s">
        <v>147</v>
      </c>
      <c r="D1036" s="177" t="s">
        <v>147</v>
      </c>
      <c r="E1036" s="177" t="str">
        <f t="shared" si="30"/>
        <v/>
      </c>
    </row>
    <row r="1037" spans="3:5">
      <c r="C1037" s="177" t="s">
        <v>147</v>
      </c>
      <c r="D1037" s="177" t="s">
        <v>147</v>
      </c>
      <c r="E1037" s="177" t="str">
        <f t="shared" si="30"/>
        <v/>
      </c>
    </row>
    <row r="1038" spans="3:5">
      <c r="C1038" s="177" t="s">
        <v>147</v>
      </c>
      <c r="D1038" s="177" t="s">
        <v>147</v>
      </c>
      <c r="E1038" s="177" t="str">
        <f t="shared" si="30"/>
        <v/>
      </c>
    </row>
    <row r="1039" spans="3:5">
      <c r="C1039" s="177" t="s">
        <v>147</v>
      </c>
      <c r="D1039" s="177" t="s">
        <v>147</v>
      </c>
      <c r="E1039" s="177" t="str">
        <f t="shared" si="30"/>
        <v/>
      </c>
    </row>
    <row r="1040" spans="3:5">
      <c r="C1040" s="177" t="s">
        <v>147</v>
      </c>
      <c r="D1040" s="177" t="s">
        <v>147</v>
      </c>
      <c r="E1040" s="177" t="str">
        <f t="shared" si="30"/>
        <v/>
      </c>
    </row>
    <row r="1041" spans="3:5">
      <c r="C1041" s="177" t="s">
        <v>147</v>
      </c>
      <c r="D1041" s="177" t="s">
        <v>147</v>
      </c>
      <c r="E1041" s="177" t="str">
        <f t="shared" si="30"/>
        <v/>
      </c>
    </row>
    <row r="1042" spans="3:5">
      <c r="C1042" s="177" t="s">
        <v>147</v>
      </c>
      <c r="D1042" s="177" t="s">
        <v>147</v>
      </c>
      <c r="E1042" s="177" t="str">
        <f t="shared" si="30"/>
        <v/>
      </c>
    </row>
    <row r="1043" spans="3:5">
      <c r="C1043" s="177" t="s">
        <v>147</v>
      </c>
      <c r="D1043" s="177" t="s">
        <v>147</v>
      </c>
      <c r="E1043" s="177" t="str">
        <f t="shared" si="30"/>
        <v/>
      </c>
    </row>
    <row r="1044" spans="3:5">
      <c r="C1044" s="177" t="s">
        <v>147</v>
      </c>
      <c r="D1044" s="177" t="s">
        <v>147</v>
      </c>
      <c r="E1044" s="177" t="str">
        <f t="shared" si="30"/>
        <v/>
      </c>
    </row>
    <row r="1045" spans="3:5">
      <c r="C1045" s="177" t="s">
        <v>147</v>
      </c>
      <c r="D1045" s="177" t="s">
        <v>147</v>
      </c>
      <c r="E1045" s="177" t="str">
        <f t="shared" si="30"/>
        <v/>
      </c>
    </row>
    <row r="1046" spans="3:5">
      <c r="C1046" s="177" t="s">
        <v>147</v>
      </c>
      <c r="D1046" s="177" t="s">
        <v>147</v>
      </c>
      <c r="E1046" s="177" t="str">
        <f t="shared" si="30"/>
        <v/>
      </c>
    </row>
    <row r="1047" spans="3:5">
      <c r="C1047" s="177" t="s">
        <v>147</v>
      </c>
      <c r="D1047" s="177" t="s">
        <v>147</v>
      </c>
      <c r="E1047" s="177" t="str">
        <f t="shared" si="30"/>
        <v/>
      </c>
    </row>
    <row r="1048" spans="3:5">
      <c r="C1048" s="177" t="s">
        <v>147</v>
      </c>
      <c r="D1048" s="177" t="s">
        <v>147</v>
      </c>
      <c r="E1048" s="177" t="str">
        <f t="shared" si="30"/>
        <v/>
      </c>
    </row>
    <row r="1049" spans="3:5">
      <c r="C1049" s="177" t="s">
        <v>147</v>
      </c>
      <c r="D1049" s="177" t="s">
        <v>147</v>
      </c>
      <c r="E1049" s="177" t="str">
        <f t="shared" si="30"/>
        <v/>
      </c>
    </row>
    <row r="1050" spans="3:5">
      <c r="C1050" s="177" t="s">
        <v>147</v>
      </c>
      <c r="D1050" s="177" t="s">
        <v>147</v>
      </c>
      <c r="E1050" s="177" t="str">
        <f t="shared" si="30"/>
        <v/>
      </c>
    </row>
    <row r="1051" spans="3:5">
      <c r="C1051" s="177" t="s">
        <v>147</v>
      </c>
      <c r="D1051" s="177" t="s">
        <v>147</v>
      </c>
      <c r="E1051" s="177" t="str">
        <f t="shared" si="30"/>
        <v/>
      </c>
    </row>
    <row r="1052" spans="3:5">
      <c r="C1052" s="177" t="s">
        <v>147</v>
      </c>
      <c r="D1052" s="177" t="s">
        <v>147</v>
      </c>
      <c r="E1052" s="177" t="str">
        <f t="shared" si="30"/>
        <v/>
      </c>
    </row>
    <row r="1053" spans="3:5">
      <c r="C1053" s="177" t="s">
        <v>147</v>
      </c>
      <c r="D1053" s="177" t="s">
        <v>147</v>
      </c>
      <c r="E1053" s="177" t="str">
        <f t="shared" si="30"/>
        <v/>
      </c>
    </row>
    <row r="1054" spans="3:5">
      <c r="C1054" s="177" t="s">
        <v>147</v>
      </c>
      <c r="D1054" s="177" t="s">
        <v>147</v>
      </c>
      <c r="E1054" s="177" t="str">
        <f t="shared" si="30"/>
        <v/>
      </c>
    </row>
    <row r="1055" spans="3:5">
      <c r="C1055" s="177" t="s">
        <v>147</v>
      </c>
      <c r="D1055" s="177" t="s">
        <v>147</v>
      </c>
      <c r="E1055" s="177" t="str">
        <f t="shared" si="30"/>
        <v/>
      </c>
    </row>
    <row r="1056" spans="3:5">
      <c r="C1056" s="177" t="s">
        <v>147</v>
      </c>
      <c r="D1056" s="177" t="s">
        <v>147</v>
      </c>
      <c r="E1056" s="177" t="str">
        <f t="shared" si="30"/>
        <v/>
      </c>
    </row>
    <row r="1057" spans="3:5">
      <c r="C1057" s="177" t="s">
        <v>147</v>
      </c>
      <c r="D1057" s="177" t="s">
        <v>147</v>
      </c>
      <c r="E1057" s="177" t="str">
        <f t="shared" si="30"/>
        <v/>
      </c>
    </row>
    <row r="1058" spans="3:5">
      <c r="C1058" s="177" t="s">
        <v>147</v>
      </c>
      <c r="D1058" s="177" t="s">
        <v>147</v>
      </c>
      <c r="E1058" s="177" t="str">
        <f t="shared" si="30"/>
        <v/>
      </c>
    </row>
    <row r="1059" spans="3:5">
      <c r="C1059" s="177" t="s">
        <v>147</v>
      </c>
      <c r="D1059" s="177" t="s">
        <v>147</v>
      </c>
      <c r="E1059" s="177" t="str">
        <f t="shared" si="30"/>
        <v/>
      </c>
    </row>
    <row r="1060" spans="3:5">
      <c r="C1060" s="177" t="s">
        <v>147</v>
      </c>
      <c r="D1060" s="177" t="s">
        <v>147</v>
      </c>
      <c r="E1060" s="177" t="str">
        <f t="shared" si="30"/>
        <v/>
      </c>
    </row>
    <row r="1061" spans="3:5">
      <c r="C1061" s="177" t="s">
        <v>147</v>
      </c>
      <c r="D1061" s="177" t="s">
        <v>147</v>
      </c>
      <c r="E1061" s="177" t="str">
        <f t="shared" si="30"/>
        <v/>
      </c>
    </row>
    <row r="1062" spans="3:5">
      <c r="C1062" s="177" t="s">
        <v>147</v>
      </c>
      <c r="D1062" s="177" t="s">
        <v>147</v>
      </c>
      <c r="E1062" s="177" t="str">
        <f t="shared" si="30"/>
        <v/>
      </c>
    </row>
    <row r="1063" spans="3:5">
      <c r="C1063" s="177" t="s">
        <v>147</v>
      </c>
      <c r="D1063" s="177" t="s">
        <v>147</v>
      </c>
      <c r="E1063" s="177" t="str">
        <f t="shared" si="30"/>
        <v/>
      </c>
    </row>
    <row r="1064" spans="3:5">
      <c r="C1064" s="177" t="s">
        <v>147</v>
      </c>
      <c r="D1064" s="177" t="s">
        <v>147</v>
      </c>
      <c r="E1064" s="177" t="str">
        <f t="shared" si="30"/>
        <v/>
      </c>
    </row>
    <row r="1065" spans="3:5">
      <c r="C1065" s="177" t="s">
        <v>147</v>
      </c>
      <c r="D1065" s="177" t="s">
        <v>147</v>
      </c>
      <c r="E1065" s="177" t="str">
        <f t="shared" si="30"/>
        <v/>
      </c>
    </row>
    <row r="1066" spans="3:5">
      <c r="C1066" s="177" t="s">
        <v>147</v>
      </c>
      <c r="D1066" s="177" t="s">
        <v>147</v>
      </c>
      <c r="E1066" s="177" t="str">
        <f t="shared" si="30"/>
        <v/>
      </c>
    </row>
    <row r="1067" spans="3:5">
      <c r="C1067" s="177" t="s">
        <v>147</v>
      </c>
      <c r="D1067" s="177" t="s">
        <v>147</v>
      </c>
      <c r="E1067" s="177" t="str">
        <f t="shared" si="30"/>
        <v/>
      </c>
    </row>
    <row r="1068" spans="3:5">
      <c r="C1068" s="177" t="s">
        <v>147</v>
      </c>
      <c r="D1068" s="177" t="s">
        <v>147</v>
      </c>
      <c r="E1068" s="177" t="str">
        <f t="shared" si="30"/>
        <v/>
      </c>
    </row>
    <row r="1069" spans="3:5">
      <c r="C1069" s="177" t="s">
        <v>147</v>
      </c>
      <c r="D1069" s="177" t="s">
        <v>147</v>
      </c>
      <c r="E1069" s="177" t="str">
        <f t="shared" si="30"/>
        <v/>
      </c>
    </row>
    <row r="1070" spans="3:5">
      <c r="C1070" s="177" t="s">
        <v>147</v>
      </c>
      <c r="D1070" s="177" t="s">
        <v>147</v>
      </c>
      <c r="E1070" s="177" t="str">
        <f t="shared" si="30"/>
        <v/>
      </c>
    </row>
    <row r="1071" spans="3:5">
      <c r="C1071" s="177" t="s">
        <v>147</v>
      </c>
      <c r="D1071" s="177" t="s">
        <v>147</v>
      </c>
      <c r="E1071" s="177" t="str">
        <f t="shared" si="30"/>
        <v/>
      </c>
    </row>
    <row r="1072" spans="3:5">
      <c r="C1072" s="177" t="s">
        <v>147</v>
      </c>
      <c r="D1072" s="177" t="s">
        <v>147</v>
      </c>
      <c r="E1072" s="177" t="str">
        <f t="shared" si="30"/>
        <v/>
      </c>
    </row>
    <row r="1073" spans="3:5">
      <c r="C1073" s="177" t="s">
        <v>147</v>
      </c>
      <c r="D1073" s="177" t="s">
        <v>147</v>
      </c>
      <c r="E1073" s="177" t="str">
        <f t="shared" si="30"/>
        <v/>
      </c>
    </row>
    <row r="1074" spans="3:5">
      <c r="C1074" s="177" t="s">
        <v>147</v>
      </c>
      <c r="D1074" s="177" t="s">
        <v>147</v>
      </c>
      <c r="E1074" s="177" t="str">
        <f t="shared" si="30"/>
        <v/>
      </c>
    </row>
    <row r="1075" spans="3:5">
      <c r="C1075" s="177" t="s">
        <v>147</v>
      </c>
      <c r="D1075" s="177" t="s">
        <v>147</v>
      </c>
      <c r="E1075" s="177" t="str">
        <f t="shared" si="30"/>
        <v/>
      </c>
    </row>
    <row r="1076" spans="3:5">
      <c r="C1076" s="177" t="s">
        <v>147</v>
      </c>
      <c r="D1076" s="177" t="s">
        <v>147</v>
      </c>
      <c r="E1076" s="177" t="str">
        <f t="shared" si="30"/>
        <v/>
      </c>
    </row>
    <row r="1077" spans="3:5">
      <c r="C1077" s="177" t="s">
        <v>147</v>
      </c>
      <c r="D1077" s="177" t="s">
        <v>147</v>
      </c>
      <c r="E1077" s="177" t="str">
        <f t="shared" si="30"/>
        <v/>
      </c>
    </row>
    <row r="1078" spans="3:5">
      <c r="C1078" s="177" t="s">
        <v>147</v>
      </c>
      <c r="D1078" s="177" t="s">
        <v>147</v>
      </c>
      <c r="E1078" s="177" t="str">
        <f t="shared" si="30"/>
        <v/>
      </c>
    </row>
    <row r="1079" spans="3:5">
      <c r="C1079" s="177" t="s">
        <v>147</v>
      </c>
      <c r="D1079" s="177" t="s">
        <v>147</v>
      </c>
      <c r="E1079" s="177" t="str">
        <f t="shared" si="30"/>
        <v/>
      </c>
    </row>
    <row r="1080" spans="3:5">
      <c r="C1080" s="177" t="s">
        <v>147</v>
      </c>
      <c r="D1080" s="177" t="s">
        <v>147</v>
      </c>
      <c r="E1080" s="177" t="str">
        <f t="shared" si="30"/>
        <v/>
      </c>
    </row>
    <row r="1081" spans="3:5">
      <c r="C1081" s="177" t="s">
        <v>147</v>
      </c>
      <c r="D1081" s="177" t="s">
        <v>147</v>
      </c>
      <c r="E1081" s="177" t="str">
        <f t="shared" si="30"/>
        <v/>
      </c>
    </row>
    <row r="1082" spans="3:5">
      <c r="C1082" s="177" t="s">
        <v>147</v>
      </c>
      <c r="D1082" s="177" t="s">
        <v>147</v>
      </c>
      <c r="E1082" s="177" t="str">
        <f t="shared" si="30"/>
        <v/>
      </c>
    </row>
    <row r="1083" spans="3:5">
      <c r="C1083" s="177" t="s">
        <v>147</v>
      </c>
      <c r="D1083" s="177" t="s">
        <v>147</v>
      </c>
      <c r="E1083" s="177" t="str">
        <f t="shared" si="30"/>
        <v/>
      </c>
    </row>
    <row r="1084" spans="3:5">
      <c r="C1084" s="177" t="s">
        <v>147</v>
      </c>
      <c r="D1084" s="177" t="s">
        <v>147</v>
      </c>
      <c r="E1084" s="177" t="str">
        <f t="shared" si="30"/>
        <v/>
      </c>
    </row>
    <row r="1085" spans="3:5">
      <c r="C1085" s="177" t="s">
        <v>147</v>
      </c>
      <c r="D1085" s="177" t="s">
        <v>147</v>
      </c>
      <c r="E1085" s="177" t="str">
        <f t="shared" si="30"/>
        <v/>
      </c>
    </row>
    <row r="1086" spans="3:5">
      <c r="C1086" s="177" t="s">
        <v>147</v>
      </c>
      <c r="D1086" s="177" t="s">
        <v>147</v>
      </c>
      <c r="E1086" s="177" t="str">
        <f t="shared" si="30"/>
        <v/>
      </c>
    </row>
    <row r="1087" spans="3:5">
      <c r="C1087" s="177" t="s">
        <v>147</v>
      </c>
      <c r="D1087" s="177" t="s">
        <v>147</v>
      </c>
      <c r="E1087" s="177" t="str">
        <f t="shared" si="30"/>
        <v/>
      </c>
    </row>
    <row r="1088" spans="3:5">
      <c r="C1088" s="177" t="s">
        <v>147</v>
      </c>
      <c r="D1088" s="177" t="s">
        <v>147</v>
      </c>
      <c r="E1088" s="177" t="str">
        <f t="shared" si="30"/>
        <v/>
      </c>
    </row>
    <row r="1089" spans="3:5">
      <c r="C1089" s="177" t="s">
        <v>147</v>
      </c>
      <c r="D1089" s="177" t="s">
        <v>147</v>
      </c>
      <c r="E1089" s="177" t="str">
        <f t="shared" si="30"/>
        <v/>
      </c>
    </row>
    <row r="1090" spans="3:5">
      <c r="C1090" s="177" t="s">
        <v>147</v>
      </c>
      <c r="D1090" s="177" t="s">
        <v>147</v>
      </c>
      <c r="E1090" s="177" t="str">
        <f t="shared" si="30"/>
        <v/>
      </c>
    </row>
    <row r="1091" spans="3:5">
      <c r="C1091" s="177" t="s">
        <v>147</v>
      </c>
      <c r="D1091" s="177" t="s">
        <v>147</v>
      </c>
      <c r="E1091" s="177" t="str">
        <f t="shared" si="30"/>
        <v/>
      </c>
    </row>
    <row r="1092" spans="3:5">
      <c r="C1092" s="177" t="s">
        <v>147</v>
      </c>
      <c r="D1092" s="177" t="s">
        <v>147</v>
      </c>
      <c r="E1092" s="177" t="str">
        <f t="shared" ref="E1092:E1155" si="31">IF(C1092&lt;D1092,C1092,D1092)</f>
        <v/>
      </c>
    </row>
    <row r="1093" spans="3:5">
      <c r="C1093" s="177" t="s">
        <v>147</v>
      </c>
      <c r="D1093" s="177" t="s">
        <v>147</v>
      </c>
      <c r="E1093" s="177" t="str">
        <f t="shared" si="31"/>
        <v/>
      </c>
    </row>
    <row r="1094" spans="3:5">
      <c r="C1094" s="177" t="s">
        <v>147</v>
      </c>
      <c r="D1094" s="177" t="s">
        <v>147</v>
      </c>
      <c r="E1094" s="177" t="str">
        <f t="shared" si="31"/>
        <v/>
      </c>
    </row>
    <row r="1095" spans="3:5">
      <c r="C1095" s="177" t="s">
        <v>147</v>
      </c>
      <c r="D1095" s="177" t="s">
        <v>147</v>
      </c>
      <c r="E1095" s="177" t="str">
        <f t="shared" si="31"/>
        <v/>
      </c>
    </row>
    <row r="1096" spans="3:5">
      <c r="C1096" s="177" t="s">
        <v>147</v>
      </c>
      <c r="D1096" s="177" t="s">
        <v>147</v>
      </c>
      <c r="E1096" s="177" t="str">
        <f t="shared" si="31"/>
        <v/>
      </c>
    </row>
    <row r="1097" spans="3:5">
      <c r="C1097" s="177" t="s">
        <v>147</v>
      </c>
      <c r="D1097" s="177" t="s">
        <v>147</v>
      </c>
      <c r="E1097" s="177" t="str">
        <f t="shared" si="31"/>
        <v/>
      </c>
    </row>
    <row r="1098" spans="3:5">
      <c r="C1098" s="177" t="s">
        <v>147</v>
      </c>
      <c r="D1098" s="177" t="s">
        <v>147</v>
      </c>
      <c r="E1098" s="177" t="str">
        <f t="shared" si="31"/>
        <v/>
      </c>
    </row>
    <row r="1099" spans="3:5">
      <c r="C1099" s="177" t="s">
        <v>147</v>
      </c>
      <c r="D1099" s="177" t="s">
        <v>147</v>
      </c>
      <c r="E1099" s="177" t="str">
        <f t="shared" si="31"/>
        <v/>
      </c>
    </row>
    <row r="1100" spans="3:5">
      <c r="C1100" s="177" t="s">
        <v>147</v>
      </c>
      <c r="D1100" s="177" t="s">
        <v>147</v>
      </c>
      <c r="E1100" s="177" t="str">
        <f t="shared" si="31"/>
        <v/>
      </c>
    </row>
    <row r="1101" spans="3:5">
      <c r="C1101" s="177" t="s">
        <v>147</v>
      </c>
      <c r="D1101" s="177" t="s">
        <v>147</v>
      </c>
      <c r="E1101" s="177" t="str">
        <f t="shared" si="31"/>
        <v/>
      </c>
    </row>
    <row r="1102" spans="3:5">
      <c r="C1102" s="177" t="s">
        <v>147</v>
      </c>
      <c r="D1102" s="177" t="s">
        <v>147</v>
      </c>
      <c r="E1102" s="177" t="str">
        <f t="shared" si="31"/>
        <v/>
      </c>
    </row>
    <row r="1103" spans="3:5">
      <c r="C1103" s="177" t="s">
        <v>147</v>
      </c>
      <c r="D1103" s="177" t="s">
        <v>147</v>
      </c>
      <c r="E1103" s="177" t="str">
        <f t="shared" si="31"/>
        <v/>
      </c>
    </row>
    <row r="1104" spans="3:5">
      <c r="C1104" s="177" t="s">
        <v>147</v>
      </c>
      <c r="D1104" s="177" t="s">
        <v>147</v>
      </c>
      <c r="E1104" s="177" t="str">
        <f t="shared" si="31"/>
        <v/>
      </c>
    </row>
    <row r="1105" spans="3:5">
      <c r="C1105" s="177" t="s">
        <v>147</v>
      </c>
      <c r="D1105" s="177" t="s">
        <v>147</v>
      </c>
      <c r="E1105" s="177" t="str">
        <f t="shared" si="31"/>
        <v/>
      </c>
    </row>
    <row r="1106" spans="3:5">
      <c r="C1106" s="177" t="s">
        <v>147</v>
      </c>
      <c r="D1106" s="177" t="s">
        <v>147</v>
      </c>
      <c r="E1106" s="177" t="str">
        <f t="shared" si="31"/>
        <v/>
      </c>
    </row>
    <row r="1107" spans="3:5">
      <c r="C1107" s="177" t="s">
        <v>147</v>
      </c>
      <c r="D1107" s="177" t="s">
        <v>147</v>
      </c>
      <c r="E1107" s="177" t="str">
        <f t="shared" si="31"/>
        <v/>
      </c>
    </row>
    <row r="1108" spans="3:5">
      <c r="C1108" s="177" t="s">
        <v>147</v>
      </c>
      <c r="D1108" s="177" t="s">
        <v>147</v>
      </c>
      <c r="E1108" s="177" t="str">
        <f t="shared" si="31"/>
        <v/>
      </c>
    </row>
    <row r="1109" spans="3:5">
      <c r="C1109" s="177" t="s">
        <v>147</v>
      </c>
      <c r="D1109" s="177" t="s">
        <v>147</v>
      </c>
      <c r="E1109" s="177" t="str">
        <f t="shared" si="31"/>
        <v/>
      </c>
    </row>
    <row r="1110" spans="3:5">
      <c r="C1110" s="177" t="s">
        <v>147</v>
      </c>
      <c r="D1110" s="177" t="s">
        <v>147</v>
      </c>
      <c r="E1110" s="177" t="str">
        <f t="shared" si="31"/>
        <v/>
      </c>
    </row>
    <row r="1111" spans="3:5">
      <c r="C1111" s="177" t="s">
        <v>147</v>
      </c>
      <c r="D1111" s="177" t="s">
        <v>147</v>
      </c>
      <c r="E1111" s="177" t="str">
        <f t="shared" si="31"/>
        <v/>
      </c>
    </row>
    <row r="1112" spans="3:5">
      <c r="C1112" s="177" t="s">
        <v>147</v>
      </c>
      <c r="D1112" s="177" t="s">
        <v>147</v>
      </c>
      <c r="E1112" s="177" t="str">
        <f t="shared" si="31"/>
        <v/>
      </c>
    </row>
    <row r="1113" spans="3:5">
      <c r="C1113" s="177" t="s">
        <v>147</v>
      </c>
      <c r="D1113" s="177" t="s">
        <v>147</v>
      </c>
      <c r="E1113" s="177" t="str">
        <f t="shared" si="31"/>
        <v/>
      </c>
    </row>
    <row r="1114" spans="3:5">
      <c r="C1114" s="177" t="s">
        <v>147</v>
      </c>
      <c r="D1114" s="177" t="s">
        <v>147</v>
      </c>
      <c r="E1114" s="177" t="str">
        <f t="shared" si="31"/>
        <v/>
      </c>
    </row>
    <row r="1115" spans="3:5">
      <c r="C1115" s="177" t="s">
        <v>147</v>
      </c>
      <c r="D1115" s="177" t="s">
        <v>147</v>
      </c>
      <c r="E1115" s="177" t="str">
        <f t="shared" si="31"/>
        <v/>
      </c>
    </row>
    <row r="1116" spans="3:5">
      <c r="C1116" s="177" t="s">
        <v>147</v>
      </c>
      <c r="D1116" s="177" t="s">
        <v>147</v>
      </c>
      <c r="E1116" s="177" t="str">
        <f t="shared" si="31"/>
        <v/>
      </c>
    </row>
    <row r="1117" spans="3:5">
      <c r="C1117" s="177" t="s">
        <v>147</v>
      </c>
      <c r="D1117" s="177" t="s">
        <v>147</v>
      </c>
      <c r="E1117" s="177" t="str">
        <f t="shared" si="31"/>
        <v/>
      </c>
    </row>
    <row r="1118" spans="3:5">
      <c r="C1118" s="177" t="s">
        <v>147</v>
      </c>
      <c r="D1118" s="177" t="s">
        <v>147</v>
      </c>
      <c r="E1118" s="177" t="str">
        <f t="shared" si="31"/>
        <v/>
      </c>
    </row>
    <row r="1119" spans="3:5">
      <c r="C1119" s="177" t="s">
        <v>147</v>
      </c>
      <c r="D1119" s="177" t="s">
        <v>147</v>
      </c>
      <c r="E1119" s="177" t="str">
        <f t="shared" si="31"/>
        <v/>
      </c>
    </row>
    <row r="1120" spans="3:5">
      <c r="C1120" s="177" t="s">
        <v>147</v>
      </c>
      <c r="D1120" s="177" t="s">
        <v>147</v>
      </c>
      <c r="E1120" s="177" t="str">
        <f t="shared" si="31"/>
        <v/>
      </c>
    </row>
    <row r="1121" spans="3:5">
      <c r="C1121" s="177" t="s">
        <v>147</v>
      </c>
      <c r="D1121" s="177" t="s">
        <v>147</v>
      </c>
      <c r="E1121" s="177" t="str">
        <f t="shared" si="31"/>
        <v/>
      </c>
    </row>
    <row r="1122" spans="3:5">
      <c r="C1122" s="177" t="s">
        <v>147</v>
      </c>
      <c r="D1122" s="177" t="s">
        <v>147</v>
      </c>
      <c r="E1122" s="177" t="str">
        <f t="shared" si="31"/>
        <v/>
      </c>
    </row>
    <row r="1123" spans="3:5">
      <c r="C1123" s="177" t="s">
        <v>147</v>
      </c>
      <c r="D1123" s="177" t="s">
        <v>147</v>
      </c>
      <c r="E1123" s="177" t="str">
        <f t="shared" si="31"/>
        <v/>
      </c>
    </row>
    <row r="1124" spans="3:5">
      <c r="C1124" s="177" t="s">
        <v>147</v>
      </c>
      <c r="D1124" s="177" t="s">
        <v>147</v>
      </c>
      <c r="E1124" s="177" t="str">
        <f t="shared" si="31"/>
        <v/>
      </c>
    </row>
    <row r="1125" spans="3:5">
      <c r="C1125" s="177" t="s">
        <v>147</v>
      </c>
      <c r="D1125" s="177" t="s">
        <v>147</v>
      </c>
      <c r="E1125" s="177" t="str">
        <f t="shared" si="31"/>
        <v/>
      </c>
    </row>
    <row r="1126" spans="3:5">
      <c r="C1126" s="177" t="s">
        <v>147</v>
      </c>
      <c r="D1126" s="177" t="s">
        <v>147</v>
      </c>
      <c r="E1126" s="177" t="str">
        <f t="shared" si="31"/>
        <v/>
      </c>
    </row>
    <row r="1127" spans="3:5">
      <c r="C1127" s="177" t="s">
        <v>147</v>
      </c>
      <c r="D1127" s="177" t="s">
        <v>147</v>
      </c>
      <c r="E1127" s="177" t="str">
        <f t="shared" si="31"/>
        <v/>
      </c>
    </row>
    <row r="1128" spans="3:5">
      <c r="C1128" s="177" t="s">
        <v>147</v>
      </c>
      <c r="D1128" s="177" t="s">
        <v>147</v>
      </c>
      <c r="E1128" s="177" t="str">
        <f t="shared" si="31"/>
        <v/>
      </c>
    </row>
    <row r="1129" spans="3:5">
      <c r="C1129" s="177" t="s">
        <v>147</v>
      </c>
      <c r="D1129" s="177" t="s">
        <v>147</v>
      </c>
      <c r="E1129" s="177" t="str">
        <f t="shared" si="31"/>
        <v/>
      </c>
    </row>
    <row r="1130" spans="3:5">
      <c r="C1130" s="177" t="s">
        <v>147</v>
      </c>
      <c r="D1130" s="177" t="s">
        <v>147</v>
      </c>
      <c r="E1130" s="177" t="str">
        <f t="shared" si="31"/>
        <v/>
      </c>
    </row>
    <row r="1131" spans="3:5">
      <c r="C1131" s="177" t="s">
        <v>147</v>
      </c>
      <c r="D1131" s="177" t="s">
        <v>147</v>
      </c>
      <c r="E1131" s="177" t="str">
        <f t="shared" si="31"/>
        <v/>
      </c>
    </row>
    <row r="1132" spans="3:5">
      <c r="C1132" s="177" t="s">
        <v>147</v>
      </c>
      <c r="D1132" s="177" t="s">
        <v>147</v>
      </c>
      <c r="E1132" s="177" t="str">
        <f t="shared" si="31"/>
        <v/>
      </c>
    </row>
    <row r="1133" spans="3:5">
      <c r="C1133" s="177" t="s">
        <v>147</v>
      </c>
      <c r="D1133" s="177" t="s">
        <v>147</v>
      </c>
      <c r="E1133" s="177" t="str">
        <f t="shared" si="31"/>
        <v/>
      </c>
    </row>
    <row r="1134" spans="3:5">
      <c r="C1134" s="177" t="s">
        <v>147</v>
      </c>
      <c r="D1134" s="177" t="s">
        <v>147</v>
      </c>
      <c r="E1134" s="177" t="str">
        <f t="shared" si="31"/>
        <v/>
      </c>
    </row>
    <row r="1135" spans="3:5">
      <c r="C1135" s="177" t="s">
        <v>147</v>
      </c>
      <c r="D1135" s="177" t="s">
        <v>147</v>
      </c>
      <c r="E1135" s="177" t="str">
        <f t="shared" si="31"/>
        <v/>
      </c>
    </row>
    <row r="1136" spans="3:5">
      <c r="C1136" s="177" t="s">
        <v>147</v>
      </c>
      <c r="D1136" s="177" t="s">
        <v>147</v>
      </c>
      <c r="E1136" s="177" t="str">
        <f t="shared" si="31"/>
        <v/>
      </c>
    </row>
    <row r="1137" spans="3:5">
      <c r="C1137" s="177" t="s">
        <v>147</v>
      </c>
      <c r="D1137" s="177" t="s">
        <v>147</v>
      </c>
      <c r="E1137" s="177" t="str">
        <f t="shared" si="31"/>
        <v/>
      </c>
    </row>
    <row r="1138" spans="3:5">
      <c r="C1138" s="177" t="s">
        <v>147</v>
      </c>
      <c r="D1138" s="177" t="s">
        <v>147</v>
      </c>
      <c r="E1138" s="177" t="str">
        <f t="shared" si="31"/>
        <v/>
      </c>
    </row>
    <row r="1139" spans="3:5">
      <c r="C1139" s="177" t="s">
        <v>147</v>
      </c>
      <c r="D1139" s="177" t="s">
        <v>147</v>
      </c>
      <c r="E1139" s="177" t="str">
        <f t="shared" si="31"/>
        <v/>
      </c>
    </row>
    <row r="1140" spans="3:5">
      <c r="C1140" s="177" t="s">
        <v>147</v>
      </c>
      <c r="D1140" s="177" t="s">
        <v>147</v>
      </c>
      <c r="E1140" s="177" t="str">
        <f t="shared" si="31"/>
        <v/>
      </c>
    </row>
    <row r="1141" spans="3:5">
      <c r="C1141" s="177" t="s">
        <v>147</v>
      </c>
      <c r="D1141" s="177" t="s">
        <v>147</v>
      </c>
      <c r="E1141" s="177" t="str">
        <f t="shared" si="31"/>
        <v/>
      </c>
    </row>
    <row r="1142" spans="3:5">
      <c r="C1142" s="177" t="s">
        <v>147</v>
      </c>
      <c r="D1142" s="177" t="s">
        <v>147</v>
      </c>
      <c r="E1142" s="177" t="str">
        <f t="shared" si="31"/>
        <v/>
      </c>
    </row>
    <row r="1143" spans="3:5">
      <c r="C1143" s="177" t="s">
        <v>147</v>
      </c>
      <c r="D1143" s="177" t="s">
        <v>147</v>
      </c>
      <c r="E1143" s="177" t="str">
        <f t="shared" si="31"/>
        <v/>
      </c>
    </row>
    <row r="1144" spans="3:5">
      <c r="C1144" s="177" t="s">
        <v>147</v>
      </c>
      <c r="D1144" s="177" t="s">
        <v>147</v>
      </c>
      <c r="E1144" s="177" t="str">
        <f t="shared" si="31"/>
        <v/>
      </c>
    </row>
    <row r="1145" spans="3:5">
      <c r="C1145" s="177" t="s">
        <v>147</v>
      </c>
      <c r="D1145" s="177" t="s">
        <v>147</v>
      </c>
      <c r="E1145" s="177" t="str">
        <f t="shared" si="31"/>
        <v/>
      </c>
    </row>
    <row r="1146" spans="3:5">
      <c r="C1146" s="177" t="s">
        <v>147</v>
      </c>
      <c r="D1146" s="177" t="s">
        <v>147</v>
      </c>
      <c r="E1146" s="177" t="str">
        <f t="shared" si="31"/>
        <v/>
      </c>
    </row>
    <row r="1147" spans="3:5">
      <c r="C1147" s="177" t="s">
        <v>147</v>
      </c>
      <c r="D1147" s="177" t="s">
        <v>147</v>
      </c>
      <c r="E1147" s="177" t="str">
        <f t="shared" si="31"/>
        <v/>
      </c>
    </row>
    <row r="1148" spans="3:5">
      <c r="C1148" s="177" t="s">
        <v>147</v>
      </c>
      <c r="D1148" s="177" t="s">
        <v>147</v>
      </c>
      <c r="E1148" s="177" t="str">
        <f t="shared" si="31"/>
        <v/>
      </c>
    </row>
    <row r="1149" spans="3:5">
      <c r="C1149" s="177" t="s">
        <v>147</v>
      </c>
      <c r="D1149" s="177" t="s">
        <v>147</v>
      </c>
      <c r="E1149" s="177" t="str">
        <f t="shared" si="31"/>
        <v/>
      </c>
    </row>
    <row r="1150" spans="3:5">
      <c r="C1150" s="177" t="s">
        <v>147</v>
      </c>
      <c r="D1150" s="177" t="s">
        <v>147</v>
      </c>
      <c r="E1150" s="177" t="str">
        <f t="shared" si="31"/>
        <v/>
      </c>
    </row>
    <row r="1151" spans="3:5">
      <c r="C1151" s="177" t="s">
        <v>147</v>
      </c>
      <c r="D1151" s="177" t="s">
        <v>147</v>
      </c>
      <c r="E1151" s="177" t="str">
        <f t="shared" si="31"/>
        <v/>
      </c>
    </row>
    <row r="1152" spans="3:5">
      <c r="C1152" s="177" t="s">
        <v>147</v>
      </c>
      <c r="D1152" s="177" t="s">
        <v>147</v>
      </c>
      <c r="E1152" s="177" t="str">
        <f t="shared" si="31"/>
        <v/>
      </c>
    </row>
    <row r="1153" spans="3:5">
      <c r="C1153" s="177" t="s">
        <v>147</v>
      </c>
      <c r="D1153" s="177" t="s">
        <v>147</v>
      </c>
      <c r="E1153" s="177" t="str">
        <f t="shared" si="31"/>
        <v/>
      </c>
    </row>
    <row r="1154" spans="3:5">
      <c r="C1154" s="177" t="s">
        <v>147</v>
      </c>
      <c r="D1154" s="177" t="s">
        <v>147</v>
      </c>
      <c r="E1154" s="177" t="str">
        <f t="shared" si="31"/>
        <v/>
      </c>
    </row>
    <row r="1155" spans="3:5">
      <c r="C1155" s="177" t="s">
        <v>147</v>
      </c>
      <c r="D1155" s="177" t="s">
        <v>147</v>
      </c>
      <c r="E1155" s="177" t="str">
        <f t="shared" si="31"/>
        <v/>
      </c>
    </row>
    <row r="1156" spans="3:5">
      <c r="C1156" s="177" t="s">
        <v>147</v>
      </c>
      <c r="D1156" s="177" t="s">
        <v>147</v>
      </c>
      <c r="E1156" s="177" t="str">
        <f t="shared" ref="E1156:E1209" si="32">IF(C1156&lt;D1156,C1156,D1156)</f>
        <v/>
      </c>
    </row>
    <row r="1157" spans="3:5">
      <c r="C1157" s="177" t="s">
        <v>147</v>
      </c>
      <c r="D1157" s="177" t="s">
        <v>147</v>
      </c>
      <c r="E1157" s="177" t="str">
        <f t="shared" si="32"/>
        <v/>
      </c>
    </row>
    <row r="1158" spans="3:5">
      <c r="C1158" s="177" t="s">
        <v>147</v>
      </c>
      <c r="D1158" s="177" t="s">
        <v>147</v>
      </c>
      <c r="E1158" s="177" t="str">
        <f t="shared" si="32"/>
        <v/>
      </c>
    </row>
    <row r="1159" spans="3:5">
      <c r="C1159" s="177" t="s">
        <v>147</v>
      </c>
      <c r="D1159" s="177" t="s">
        <v>147</v>
      </c>
      <c r="E1159" s="177" t="str">
        <f t="shared" si="32"/>
        <v/>
      </c>
    </row>
    <row r="1160" spans="3:5">
      <c r="C1160" s="177" t="s">
        <v>147</v>
      </c>
      <c r="D1160" s="177" t="s">
        <v>147</v>
      </c>
      <c r="E1160" s="177" t="str">
        <f t="shared" si="32"/>
        <v/>
      </c>
    </row>
    <row r="1161" spans="3:5">
      <c r="C1161" s="177" t="s">
        <v>147</v>
      </c>
      <c r="D1161" s="177" t="s">
        <v>147</v>
      </c>
      <c r="E1161" s="177" t="str">
        <f t="shared" si="32"/>
        <v/>
      </c>
    </row>
    <row r="1162" spans="3:5">
      <c r="C1162" s="177" t="s">
        <v>147</v>
      </c>
      <c r="D1162" s="177" t="s">
        <v>147</v>
      </c>
      <c r="E1162" s="177" t="str">
        <f t="shared" si="32"/>
        <v/>
      </c>
    </row>
    <row r="1163" spans="3:5">
      <c r="C1163" s="177" t="s">
        <v>147</v>
      </c>
      <c r="D1163" s="177" t="s">
        <v>147</v>
      </c>
      <c r="E1163" s="177" t="str">
        <f t="shared" si="32"/>
        <v/>
      </c>
    </row>
    <row r="1164" spans="3:5">
      <c r="C1164" s="177" t="s">
        <v>147</v>
      </c>
      <c r="D1164" s="177" t="s">
        <v>147</v>
      </c>
      <c r="E1164" s="177" t="str">
        <f t="shared" si="32"/>
        <v/>
      </c>
    </row>
    <row r="1165" spans="3:5">
      <c r="C1165" s="177" t="s">
        <v>147</v>
      </c>
      <c r="D1165" s="177" t="s">
        <v>147</v>
      </c>
      <c r="E1165" s="177" t="str">
        <f t="shared" si="32"/>
        <v/>
      </c>
    </row>
    <row r="1166" spans="3:5">
      <c r="C1166" s="177" t="s">
        <v>147</v>
      </c>
      <c r="D1166" s="177" t="s">
        <v>147</v>
      </c>
      <c r="E1166" s="177" t="str">
        <f t="shared" si="32"/>
        <v/>
      </c>
    </row>
    <row r="1167" spans="3:5">
      <c r="C1167" s="177" t="s">
        <v>147</v>
      </c>
      <c r="D1167" s="177" t="s">
        <v>147</v>
      </c>
      <c r="E1167" s="177" t="str">
        <f t="shared" si="32"/>
        <v/>
      </c>
    </row>
    <row r="1168" spans="3:5">
      <c r="C1168" s="177" t="s">
        <v>147</v>
      </c>
      <c r="D1168" s="177" t="s">
        <v>147</v>
      </c>
      <c r="E1168" s="177" t="str">
        <f t="shared" si="32"/>
        <v/>
      </c>
    </row>
    <row r="1169" spans="3:5">
      <c r="C1169" s="177" t="s">
        <v>147</v>
      </c>
      <c r="D1169" s="177" t="s">
        <v>147</v>
      </c>
      <c r="E1169" s="177" t="str">
        <f t="shared" si="32"/>
        <v/>
      </c>
    </row>
    <row r="1170" spans="3:5">
      <c r="C1170" s="177" t="s">
        <v>147</v>
      </c>
      <c r="D1170" s="177" t="s">
        <v>147</v>
      </c>
      <c r="E1170" s="177" t="str">
        <f t="shared" si="32"/>
        <v/>
      </c>
    </row>
    <row r="1171" spans="3:5">
      <c r="C1171" s="177" t="s">
        <v>147</v>
      </c>
      <c r="D1171" s="177" t="s">
        <v>147</v>
      </c>
      <c r="E1171" s="177" t="str">
        <f t="shared" si="32"/>
        <v/>
      </c>
    </row>
    <row r="1172" spans="3:5">
      <c r="C1172" s="177" t="s">
        <v>147</v>
      </c>
      <c r="D1172" s="177" t="s">
        <v>147</v>
      </c>
      <c r="E1172" s="177" t="str">
        <f t="shared" si="32"/>
        <v/>
      </c>
    </row>
    <row r="1173" spans="3:5">
      <c r="C1173" s="177" t="s">
        <v>147</v>
      </c>
      <c r="D1173" s="177" t="s">
        <v>147</v>
      </c>
      <c r="E1173" s="177" t="str">
        <f t="shared" si="32"/>
        <v/>
      </c>
    </row>
    <row r="1174" spans="3:5">
      <c r="C1174" s="177" t="s">
        <v>147</v>
      </c>
      <c r="D1174" s="177" t="s">
        <v>147</v>
      </c>
      <c r="E1174" s="177" t="str">
        <f t="shared" si="32"/>
        <v/>
      </c>
    </row>
    <row r="1175" spans="3:5">
      <c r="C1175" s="177" t="s">
        <v>147</v>
      </c>
      <c r="D1175" s="177" t="s">
        <v>147</v>
      </c>
      <c r="E1175" s="177" t="str">
        <f t="shared" si="32"/>
        <v/>
      </c>
    </row>
    <row r="1176" spans="3:5">
      <c r="C1176" s="177" t="s">
        <v>147</v>
      </c>
      <c r="D1176" s="177" t="s">
        <v>147</v>
      </c>
      <c r="E1176" s="177" t="str">
        <f t="shared" si="32"/>
        <v/>
      </c>
    </row>
    <row r="1177" spans="3:5">
      <c r="C1177" s="177" t="s">
        <v>147</v>
      </c>
      <c r="D1177" s="177" t="s">
        <v>147</v>
      </c>
      <c r="E1177" s="177" t="str">
        <f t="shared" si="32"/>
        <v/>
      </c>
    </row>
    <row r="1178" spans="3:5">
      <c r="C1178" s="177" t="s">
        <v>147</v>
      </c>
      <c r="D1178" s="177" t="s">
        <v>147</v>
      </c>
      <c r="E1178" s="177" t="str">
        <f t="shared" si="32"/>
        <v/>
      </c>
    </row>
    <row r="1179" spans="3:5">
      <c r="C1179" s="177" t="s">
        <v>147</v>
      </c>
      <c r="D1179" s="177" t="s">
        <v>147</v>
      </c>
      <c r="E1179" s="177" t="str">
        <f t="shared" si="32"/>
        <v/>
      </c>
    </row>
    <row r="1180" spans="3:5">
      <c r="C1180" s="177" t="s">
        <v>147</v>
      </c>
      <c r="D1180" s="177" t="s">
        <v>147</v>
      </c>
      <c r="E1180" s="177" t="str">
        <f t="shared" si="32"/>
        <v/>
      </c>
    </row>
    <row r="1181" spans="3:5">
      <c r="C1181" s="177" t="s">
        <v>147</v>
      </c>
      <c r="D1181" s="177" t="s">
        <v>147</v>
      </c>
      <c r="E1181" s="177" t="str">
        <f t="shared" si="32"/>
        <v/>
      </c>
    </row>
    <row r="1182" spans="3:5">
      <c r="C1182" s="177" t="s">
        <v>147</v>
      </c>
      <c r="D1182" s="177" t="s">
        <v>147</v>
      </c>
      <c r="E1182" s="177" t="str">
        <f t="shared" si="32"/>
        <v/>
      </c>
    </row>
    <row r="1183" spans="3:5">
      <c r="C1183" s="177" t="s">
        <v>147</v>
      </c>
      <c r="D1183" s="177" t="s">
        <v>147</v>
      </c>
      <c r="E1183" s="177" t="str">
        <f t="shared" si="32"/>
        <v/>
      </c>
    </row>
    <row r="1184" spans="3:5">
      <c r="C1184" s="177" t="s">
        <v>147</v>
      </c>
      <c r="D1184" s="177" t="s">
        <v>147</v>
      </c>
      <c r="E1184" s="177" t="str">
        <f t="shared" si="32"/>
        <v/>
      </c>
    </row>
    <row r="1185" spans="3:5">
      <c r="C1185" s="177" t="s">
        <v>147</v>
      </c>
      <c r="D1185" s="177" t="s">
        <v>147</v>
      </c>
      <c r="E1185" s="177" t="str">
        <f t="shared" si="32"/>
        <v/>
      </c>
    </row>
    <row r="1186" spans="3:5">
      <c r="C1186" s="177" t="s">
        <v>147</v>
      </c>
      <c r="D1186" s="177" t="s">
        <v>147</v>
      </c>
      <c r="E1186" s="177" t="str">
        <f t="shared" si="32"/>
        <v/>
      </c>
    </row>
    <row r="1187" spans="3:5">
      <c r="C1187" s="177" t="s">
        <v>147</v>
      </c>
      <c r="D1187" s="177" t="s">
        <v>147</v>
      </c>
      <c r="E1187" s="177" t="str">
        <f t="shared" si="32"/>
        <v/>
      </c>
    </row>
    <row r="1188" spans="3:5">
      <c r="C1188" s="177" t="s">
        <v>147</v>
      </c>
      <c r="D1188" s="177" t="s">
        <v>147</v>
      </c>
      <c r="E1188" s="177" t="str">
        <f t="shared" si="32"/>
        <v/>
      </c>
    </row>
    <row r="1189" spans="3:5">
      <c r="C1189" s="177" t="s">
        <v>147</v>
      </c>
      <c r="D1189" s="177" t="s">
        <v>147</v>
      </c>
      <c r="E1189" s="177" t="str">
        <f t="shared" si="32"/>
        <v/>
      </c>
    </row>
    <row r="1190" spans="3:5">
      <c r="C1190" s="177" t="s">
        <v>147</v>
      </c>
      <c r="D1190" s="177" t="s">
        <v>147</v>
      </c>
      <c r="E1190" s="177" t="str">
        <f t="shared" si="32"/>
        <v/>
      </c>
    </row>
    <row r="1191" spans="3:5">
      <c r="C1191" s="177" t="s">
        <v>147</v>
      </c>
      <c r="D1191" s="177" t="s">
        <v>147</v>
      </c>
      <c r="E1191" s="177" t="str">
        <f t="shared" si="32"/>
        <v/>
      </c>
    </row>
    <row r="1192" spans="3:5">
      <c r="C1192" s="177" t="s">
        <v>147</v>
      </c>
      <c r="D1192" s="177" t="s">
        <v>147</v>
      </c>
      <c r="E1192" s="177" t="str">
        <f t="shared" si="32"/>
        <v/>
      </c>
    </row>
    <row r="1193" spans="3:5">
      <c r="C1193" s="177" t="s">
        <v>147</v>
      </c>
      <c r="D1193" s="177" t="s">
        <v>147</v>
      </c>
      <c r="E1193" s="177" t="str">
        <f t="shared" si="32"/>
        <v/>
      </c>
    </row>
    <row r="1194" spans="3:5">
      <c r="C1194" s="177" t="s">
        <v>147</v>
      </c>
      <c r="D1194" s="177" t="s">
        <v>147</v>
      </c>
      <c r="E1194" s="177" t="str">
        <f t="shared" si="32"/>
        <v/>
      </c>
    </row>
    <row r="1195" spans="3:5">
      <c r="C1195" s="177" t="s">
        <v>147</v>
      </c>
      <c r="D1195" s="177" t="s">
        <v>147</v>
      </c>
      <c r="E1195" s="177" t="str">
        <f t="shared" si="32"/>
        <v/>
      </c>
    </row>
    <row r="1196" spans="3:5">
      <c r="C1196" s="177" t="s">
        <v>147</v>
      </c>
      <c r="D1196" s="177" t="s">
        <v>147</v>
      </c>
      <c r="E1196" s="177" t="str">
        <f t="shared" si="32"/>
        <v/>
      </c>
    </row>
    <row r="1197" spans="3:5">
      <c r="C1197" s="177" t="s">
        <v>147</v>
      </c>
      <c r="D1197" s="177" t="s">
        <v>147</v>
      </c>
      <c r="E1197" s="177" t="str">
        <f t="shared" si="32"/>
        <v/>
      </c>
    </row>
    <row r="1198" spans="3:5">
      <c r="C1198" s="177" t="s">
        <v>147</v>
      </c>
      <c r="D1198" s="177" t="s">
        <v>147</v>
      </c>
      <c r="E1198" s="177" t="str">
        <f t="shared" si="32"/>
        <v/>
      </c>
    </row>
    <row r="1199" spans="3:5">
      <c r="C1199" s="177" t="s">
        <v>147</v>
      </c>
      <c r="D1199" s="177" t="s">
        <v>147</v>
      </c>
      <c r="E1199" s="177" t="str">
        <f t="shared" si="32"/>
        <v/>
      </c>
    </row>
    <row r="1200" spans="3:5">
      <c r="C1200" s="177" t="s">
        <v>147</v>
      </c>
      <c r="D1200" s="177" t="s">
        <v>147</v>
      </c>
      <c r="E1200" s="177" t="str">
        <f t="shared" si="32"/>
        <v/>
      </c>
    </row>
    <row r="1201" spans="3:5">
      <c r="C1201" s="177" t="s">
        <v>147</v>
      </c>
      <c r="D1201" s="177" t="s">
        <v>147</v>
      </c>
      <c r="E1201" s="177" t="str">
        <f t="shared" si="32"/>
        <v/>
      </c>
    </row>
    <row r="1202" spans="3:5">
      <c r="C1202" s="177" t="s">
        <v>147</v>
      </c>
      <c r="D1202" s="177" t="s">
        <v>147</v>
      </c>
      <c r="E1202" s="177" t="str">
        <f t="shared" si="32"/>
        <v/>
      </c>
    </row>
    <row r="1203" spans="3:5">
      <c r="C1203" s="177" t="s">
        <v>147</v>
      </c>
      <c r="D1203" s="177" t="s">
        <v>147</v>
      </c>
      <c r="E1203" s="177" t="str">
        <f t="shared" si="32"/>
        <v/>
      </c>
    </row>
    <row r="1204" spans="3:5">
      <c r="C1204" s="177" t="s">
        <v>147</v>
      </c>
      <c r="D1204" s="177" t="s">
        <v>147</v>
      </c>
      <c r="E1204" s="177" t="str">
        <f t="shared" si="32"/>
        <v/>
      </c>
    </row>
    <row r="1205" spans="3:5">
      <c r="C1205" s="177" t="s">
        <v>147</v>
      </c>
      <c r="D1205" s="177" t="s">
        <v>147</v>
      </c>
      <c r="E1205" s="177" t="str">
        <f t="shared" si="32"/>
        <v/>
      </c>
    </row>
    <row r="1206" spans="3:5">
      <c r="C1206" s="177" t="s">
        <v>147</v>
      </c>
      <c r="D1206" s="177" t="s">
        <v>147</v>
      </c>
      <c r="E1206" s="177" t="str">
        <f t="shared" si="32"/>
        <v/>
      </c>
    </row>
    <row r="1207" spans="3:5">
      <c r="C1207" s="177" t="s">
        <v>147</v>
      </c>
      <c r="D1207" s="177" t="s">
        <v>147</v>
      </c>
      <c r="E1207" s="177" t="str">
        <f t="shared" si="32"/>
        <v/>
      </c>
    </row>
    <row r="1208" spans="3:5">
      <c r="C1208" s="177" t="s">
        <v>147</v>
      </c>
      <c r="D1208" s="177" t="s">
        <v>147</v>
      </c>
      <c r="E1208" s="177" t="str">
        <f t="shared" si="32"/>
        <v/>
      </c>
    </row>
    <row r="1209" spans="3:5">
      <c r="C1209" s="177" t="s">
        <v>147</v>
      </c>
      <c r="D1209" s="177" t="s">
        <v>147</v>
      </c>
      <c r="E1209" s="177" t="str">
        <f t="shared" si="32"/>
        <v/>
      </c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449"/>
  <sheetViews>
    <sheetView showGridLines="0" showRowColHeaders="0" workbookViewId="0">
      <selection activeCell="C399" sqref="C399:G399"/>
    </sheetView>
  </sheetViews>
  <sheetFormatPr baseColWidth="10" defaultColWidth="11.42578125" defaultRowHeight="11.25"/>
  <cols>
    <col min="1" max="2" width="11.42578125" style="165"/>
    <col min="3" max="3" width="13.42578125" style="165" bestFit="1" customWidth="1"/>
    <col min="4" max="9" width="11.42578125" style="165"/>
    <col min="10" max="10" width="11.42578125" style="230"/>
    <col min="11" max="16384" width="11.42578125" style="165"/>
  </cols>
  <sheetData>
    <row r="2" spans="2:11">
      <c r="B2" s="149" t="s">
        <v>26</v>
      </c>
    </row>
    <row r="3" spans="2:11" ht="22.5">
      <c r="B3" s="231" t="s">
        <v>30</v>
      </c>
      <c r="C3" s="232" t="s">
        <v>31</v>
      </c>
      <c r="D3" s="252"/>
      <c r="E3" s="233" t="s">
        <v>32</v>
      </c>
      <c r="F3" s="233" t="s">
        <v>33</v>
      </c>
      <c r="G3" s="232" t="s">
        <v>34</v>
      </c>
      <c r="H3" s="234"/>
      <c r="I3" s="235"/>
      <c r="J3" s="236"/>
    </row>
    <row r="4" spans="2:11">
      <c r="B4" s="237" t="s">
        <v>192</v>
      </c>
      <c r="C4" s="238">
        <f>Dat_02!B3</f>
        <v>44378</v>
      </c>
      <c r="D4" s="239"/>
      <c r="E4" s="240">
        <f>Dat_02!C3</f>
        <v>44.62471131430425</v>
      </c>
      <c r="F4" s="240">
        <f>Dat_02!D3</f>
        <v>28.26541708637771</v>
      </c>
      <c r="G4" s="240">
        <f>Dat_02!E3</f>
        <v>28.26541708637771</v>
      </c>
      <c r="I4" s="241">
        <f>Dat_02!G3</f>
        <v>0</v>
      </c>
      <c r="J4" s="251" t="str">
        <f>IF(Dat_02!H3=0,"",Dat_02!H3)</f>
        <v/>
      </c>
      <c r="K4" s="165" t="str">
        <f>IF(J4=0,"",J4)</f>
        <v/>
      </c>
    </row>
    <row r="5" spans="2:11">
      <c r="B5" s="239"/>
      <c r="C5" s="238">
        <f>Dat_02!B4</f>
        <v>44379</v>
      </c>
      <c r="D5" s="239"/>
      <c r="E5" s="240">
        <f>Dat_02!C4</f>
        <v>42.429424178304252</v>
      </c>
      <c r="F5" s="240">
        <f>Dat_02!D4</f>
        <v>28.26541708637771</v>
      </c>
      <c r="G5" s="240">
        <f>Dat_02!E4</f>
        <v>28.26541708637771</v>
      </c>
      <c r="I5" s="241">
        <f>Dat_02!G4</f>
        <v>0</v>
      </c>
      <c r="J5" s="251" t="str">
        <f>IF(Dat_02!H4=0,"",Dat_02!H4)</f>
        <v/>
      </c>
    </row>
    <row r="6" spans="2:11">
      <c r="B6" s="237"/>
      <c r="C6" s="238">
        <f>Dat_02!B5</f>
        <v>44380</v>
      </c>
      <c r="D6" s="237"/>
      <c r="E6" s="240">
        <f>Dat_02!C5</f>
        <v>38.563100278302386</v>
      </c>
      <c r="F6" s="240">
        <f>Dat_02!D5</f>
        <v>28.26541708637771</v>
      </c>
      <c r="G6" s="240">
        <f>Dat_02!E5</f>
        <v>28.26541708637771</v>
      </c>
      <c r="I6" s="241">
        <f>Dat_02!G5</f>
        <v>0</v>
      </c>
      <c r="J6" s="251" t="str">
        <f>IF(Dat_02!H5=0,"",Dat_02!H5)</f>
        <v/>
      </c>
    </row>
    <row r="7" spans="2:11">
      <c r="B7" s="237"/>
      <c r="C7" s="238">
        <f>Dat_02!B6</f>
        <v>44381</v>
      </c>
      <c r="D7" s="237"/>
      <c r="E7" s="240">
        <f>Dat_02!C6</f>
        <v>4.5934732943023917</v>
      </c>
      <c r="F7" s="240">
        <f>Dat_02!D6</f>
        <v>28.26541708637771</v>
      </c>
      <c r="G7" s="240">
        <f>Dat_02!E6</f>
        <v>4.5934732943023917</v>
      </c>
      <c r="I7" s="241">
        <f>Dat_02!G6</f>
        <v>0</v>
      </c>
      <c r="J7" s="251" t="str">
        <f>IF(Dat_02!H6=0,"",Dat_02!H6)</f>
        <v/>
      </c>
    </row>
    <row r="8" spans="2:11">
      <c r="B8" s="237"/>
      <c r="C8" s="238">
        <f>Dat_02!B7</f>
        <v>44382</v>
      </c>
      <c r="D8" s="237"/>
      <c r="E8" s="240">
        <f>Dat_02!C7</f>
        <v>37.484665742304266</v>
      </c>
      <c r="F8" s="240">
        <f>Dat_02!D7</f>
        <v>28.26541708637771</v>
      </c>
      <c r="G8" s="240">
        <f>Dat_02!E7</f>
        <v>28.26541708637771</v>
      </c>
      <c r="I8" s="241">
        <f>Dat_02!G7</f>
        <v>0</v>
      </c>
      <c r="J8" s="251" t="str">
        <f>IF(Dat_02!H7=0,"",Dat_02!H7)</f>
        <v/>
      </c>
    </row>
    <row r="9" spans="2:11">
      <c r="B9" s="237"/>
      <c r="C9" s="238">
        <f>Dat_02!B8</f>
        <v>44383</v>
      </c>
      <c r="D9" s="237"/>
      <c r="E9" s="240">
        <f>Dat_02!C8</f>
        <v>40.497175394304257</v>
      </c>
      <c r="F9" s="240">
        <f>Dat_02!D8</f>
        <v>28.26541708637771</v>
      </c>
      <c r="G9" s="240">
        <f>Dat_02!E8</f>
        <v>28.26541708637771</v>
      </c>
      <c r="I9" s="241">
        <f>Dat_02!G8</f>
        <v>0</v>
      </c>
      <c r="J9" s="251" t="str">
        <f>IF(Dat_02!H8=0,"",Dat_02!H8)</f>
        <v/>
      </c>
    </row>
    <row r="10" spans="2:11">
      <c r="B10" s="237"/>
      <c r="C10" s="238">
        <f>Dat_02!B9</f>
        <v>44384</v>
      </c>
      <c r="D10" s="237"/>
      <c r="E10" s="240">
        <f>Dat_02!C9</f>
        <v>37.492404876303219</v>
      </c>
      <c r="F10" s="240">
        <f>Dat_02!D9</f>
        <v>28.26541708637771</v>
      </c>
      <c r="G10" s="240">
        <f>Dat_02!E9</f>
        <v>28.26541708637771</v>
      </c>
      <c r="I10" s="241">
        <f>Dat_02!G9</f>
        <v>0</v>
      </c>
      <c r="J10" s="251" t="str">
        <f>IF(Dat_02!H9=0,"",Dat_02!H9)</f>
        <v/>
      </c>
    </row>
    <row r="11" spans="2:11">
      <c r="B11" s="237"/>
      <c r="C11" s="238">
        <f>Dat_02!B10</f>
        <v>44385</v>
      </c>
      <c r="D11" s="237"/>
      <c r="E11" s="240">
        <f>Dat_02!C10</f>
        <v>25.250259888306942</v>
      </c>
      <c r="F11" s="240">
        <f>Dat_02!D10</f>
        <v>28.26541708637771</v>
      </c>
      <c r="G11" s="240">
        <f>Dat_02!E10</f>
        <v>25.250259888306942</v>
      </c>
      <c r="I11" s="241">
        <f>Dat_02!G10</f>
        <v>0</v>
      </c>
      <c r="J11" s="251" t="str">
        <f>IF(Dat_02!H10=0,"",Dat_02!H10)</f>
        <v/>
      </c>
    </row>
    <row r="12" spans="2:11">
      <c r="B12" s="237"/>
      <c r="C12" s="238">
        <f>Dat_02!B11</f>
        <v>44386</v>
      </c>
      <c r="D12" s="237"/>
      <c r="E12" s="240">
        <f>Dat_02!C11</f>
        <v>24.846315244305078</v>
      </c>
      <c r="F12" s="240">
        <f>Dat_02!D11</f>
        <v>28.26541708637771</v>
      </c>
      <c r="G12" s="240">
        <f>Dat_02!E11</f>
        <v>24.846315244305078</v>
      </c>
      <c r="I12" s="241">
        <f>Dat_02!G11</f>
        <v>0</v>
      </c>
      <c r="J12" s="251" t="str">
        <f>IF(Dat_02!H11=0,"",Dat_02!H11)</f>
        <v/>
      </c>
    </row>
    <row r="13" spans="2:11">
      <c r="B13" s="237"/>
      <c r="C13" s="238">
        <f>Dat_02!B12</f>
        <v>44387</v>
      </c>
      <c r="D13" s="237"/>
      <c r="E13" s="240">
        <f>Dat_02!C12</f>
        <v>24.875425528305072</v>
      </c>
      <c r="F13" s="240">
        <f>Dat_02!D12</f>
        <v>28.26541708637771</v>
      </c>
      <c r="G13" s="240">
        <f>Dat_02!E12</f>
        <v>24.875425528305072</v>
      </c>
      <c r="I13" s="241">
        <f>Dat_02!G12</f>
        <v>0</v>
      </c>
      <c r="J13" s="251" t="str">
        <f>IF(Dat_02!H12=0,"",Dat_02!H12)</f>
        <v/>
      </c>
    </row>
    <row r="14" spans="2:11">
      <c r="B14" s="237"/>
      <c r="C14" s="238">
        <f>Dat_02!B13</f>
        <v>44388</v>
      </c>
      <c r="D14" s="237"/>
      <c r="E14" s="240">
        <f>Dat_02!C13</f>
        <v>24.555974760305077</v>
      </c>
      <c r="F14" s="240">
        <f>Dat_02!D13</f>
        <v>28.26541708637771</v>
      </c>
      <c r="G14" s="240">
        <f>Dat_02!E13</f>
        <v>24.555974760305077</v>
      </c>
      <c r="I14" s="241">
        <f>Dat_02!G13</f>
        <v>0</v>
      </c>
      <c r="J14" s="251" t="str">
        <f>IF(Dat_02!H13=0,"",Dat_02!H13)</f>
        <v/>
      </c>
    </row>
    <row r="15" spans="2:11">
      <c r="B15" s="237"/>
      <c r="C15" s="238">
        <f>Dat_02!B14</f>
        <v>44389</v>
      </c>
      <c r="D15" s="237"/>
      <c r="E15" s="240">
        <f>Dat_02!C14</f>
        <v>14.567424316305084</v>
      </c>
      <c r="F15" s="240">
        <f>Dat_02!D14</f>
        <v>28.26541708637771</v>
      </c>
      <c r="G15" s="240">
        <f>Dat_02!E14</f>
        <v>14.567424316305084</v>
      </c>
      <c r="I15" s="241">
        <f>Dat_02!G14</f>
        <v>0</v>
      </c>
      <c r="J15" s="251" t="str">
        <f>IF(Dat_02!H14=0,"",Dat_02!H14)</f>
        <v/>
      </c>
    </row>
    <row r="16" spans="2:11">
      <c r="B16" s="237"/>
      <c r="C16" s="238">
        <f>Dat_02!B15</f>
        <v>44390</v>
      </c>
      <c r="D16" s="237"/>
      <c r="E16" s="240">
        <f>Dat_02!C15</f>
        <v>17.458720352305086</v>
      </c>
      <c r="F16" s="240">
        <f>Dat_02!D15</f>
        <v>28.26541708637771</v>
      </c>
      <c r="G16" s="240">
        <f>Dat_02!E15</f>
        <v>17.458720352305086</v>
      </c>
      <c r="I16" s="241">
        <f>Dat_02!G15</f>
        <v>0</v>
      </c>
      <c r="J16" s="251" t="str">
        <f>IF(Dat_02!H15=0,"",Dat_02!H15)</f>
        <v/>
      </c>
    </row>
    <row r="17" spans="2:10">
      <c r="B17" s="237"/>
      <c r="C17" s="238">
        <f>Dat_02!B16</f>
        <v>44391</v>
      </c>
      <c r="D17" s="237"/>
      <c r="E17" s="240">
        <f>Dat_02!C16</f>
        <v>3.2801613586414167</v>
      </c>
      <c r="F17" s="240">
        <f>Dat_02!D16</f>
        <v>28.26541708637771</v>
      </c>
      <c r="G17" s="240">
        <f>Dat_02!E16</f>
        <v>3.2801613586414167</v>
      </c>
      <c r="I17" s="241">
        <f>Dat_02!G16</f>
        <v>0</v>
      </c>
      <c r="J17" s="251" t="str">
        <f>IF(Dat_02!H16=0,"",Dat_02!H16)</f>
        <v/>
      </c>
    </row>
    <row r="18" spans="2:10">
      <c r="B18" s="237"/>
      <c r="C18" s="238">
        <f>Dat_02!B17</f>
        <v>44392</v>
      </c>
      <c r="D18" s="237"/>
      <c r="E18" s="240">
        <f>Dat_02!C17</f>
        <v>3.7021285986414152</v>
      </c>
      <c r="F18" s="240">
        <f>Dat_02!D17</f>
        <v>28.26541708637771</v>
      </c>
      <c r="G18" s="240">
        <f>Dat_02!E17</f>
        <v>3.7021285986414152</v>
      </c>
      <c r="I18" s="301">
        <f>Dat_02!G17</f>
        <v>28.26541708637771</v>
      </c>
      <c r="J18" s="251" t="str">
        <f>IF(Dat_02!H17=0,"",Dat_02!H17)</f>
        <v/>
      </c>
    </row>
    <row r="19" spans="2:10">
      <c r="B19" s="237"/>
      <c r="C19" s="238">
        <f>Dat_02!B18</f>
        <v>44393</v>
      </c>
      <c r="D19" s="237"/>
      <c r="E19" s="240">
        <f>Dat_02!C18</f>
        <v>3.4328874426414258</v>
      </c>
      <c r="F19" s="240">
        <f>Dat_02!D18</f>
        <v>28.26541708637771</v>
      </c>
      <c r="G19" s="240">
        <f>Dat_02!E18</f>
        <v>3.4328874426414258</v>
      </c>
      <c r="I19" s="241">
        <f>Dat_02!G18</f>
        <v>0</v>
      </c>
      <c r="J19" s="251" t="str">
        <f>IF(Dat_02!H18=0,"",Dat_02!H18)</f>
        <v/>
      </c>
    </row>
    <row r="20" spans="2:10">
      <c r="B20" s="237"/>
      <c r="C20" s="238">
        <f>Dat_02!B19</f>
        <v>44394</v>
      </c>
      <c r="D20" s="237"/>
      <c r="E20" s="240">
        <f>Dat_02!C19</f>
        <v>6.1905694026414126</v>
      </c>
      <c r="F20" s="240">
        <f>Dat_02!D19</f>
        <v>28.26541708637771</v>
      </c>
      <c r="G20" s="240">
        <f>Dat_02!E19</f>
        <v>6.1905694026414126</v>
      </c>
      <c r="I20" s="241">
        <f>Dat_02!G19</f>
        <v>0</v>
      </c>
      <c r="J20" s="251" t="str">
        <f>IF(Dat_02!H19=0,"",Dat_02!H19)</f>
        <v/>
      </c>
    </row>
    <row r="21" spans="2:10">
      <c r="B21" s="237"/>
      <c r="C21" s="238">
        <f>Dat_02!B20</f>
        <v>44395</v>
      </c>
      <c r="D21" s="237"/>
      <c r="E21" s="240">
        <f>Dat_02!C20</f>
        <v>2.9161338986432819</v>
      </c>
      <c r="F21" s="240">
        <f>Dat_02!D20</f>
        <v>28.26541708637771</v>
      </c>
      <c r="G21" s="240">
        <f>Dat_02!E20</f>
        <v>2.9161338986432819</v>
      </c>
      <c r="I21" s="241">
        <f>Dat_02!G20</f>
        <v>0</v>
      </c>
      <c r="J21" s="251" t="str">
        <f>IF(Dat_02!H20=0,"",Dat_02!H20)</f>
        <v/>
      </c>
    </row>
    <row r="22" spans="2:10">
      <c r="B22" s="237"/>
      <c r="C22" s="238">
        <f>Dat_02!B21</f>
        <v>44396</v>
      </c>
      <c r="D22" s="237"/>
      <c r="E22" s="240">
        <f>Dat_02!C21</f>
        <v>3.8112047226414143</v>
      </c>
      <c r="F22" s="240">
        <f>Dat_02!D21</f>
        <v>28.26541708637771</v>
      </c>
      <c r="G22" s="240">
        <f>Dat_02!E21</f>
        <v>3.8112047226414143</v>
      </c>
      <c r="I22" s="241">
        <f>Dat_02!G21</f>
        <v>0</v>
      </c>
      <c r="J22" s="251" t="str">
        <f>IF(Dat_02!H21=0,"",Dat_02!H21)</f>
        <v/>
      </c>
    </row>
    <row r="23" spans="2:10">
      <c r="B23" s="237"/>
      <c r="C23" s="238">
        <f>Dat_02!B22</f>
        <v>44397</v>
      </c>
      <c r="D23" s="237"/>
      <c r="E23" s="240">
        <f>Dat_02!C22</f>
        <v>0.74533419064328332</v>
      </c>
      <c r="F23" s="240">
        <f>Dat_02!D22</f>
        <v>28.26541708637771</v>
      </c>
      <c r="G23" s="240">
        <f>Dat_02!E22</f>
        <v>0.74533419064328332</v>
      </c>
      <c r="I23" s="241">
        <f>Dat_02!G22</f>
        <v>0</v>
      </c>
      <c r="J23" s="251" t="str">
        <f>IF(Dat_02!H22=0,"",Dat_02!H22)</f>
        <v/>
      </c>
    </row>
    <row r="24" spans="2:10">
      <c r="B24" s="237"/>
      <c r="C24" s="238">
        <f>Dat_02!B23</f>
        <v>44398</v>
      </c>
      <c r="D24" s="237"/>
      <c r="E24" s="240">
        <f>Dat_02!C23</f>
        <v>19.407550297499554</v>
      </c>
      <c r="F24" s="240">
        <f>Dat_02!D23</f>
        <v>28.26541708637771</v>
      </c>
      <c r="G24" s="240">
        <f>Dat_02!E23</f>
        <v>19.407550297499554</v>
      </c>
      <c r="I24" s="241">
        <f>Dat_02!G23</f>
        <v>0</v>
      </c>
      <c r="J24" s="251" t="str">
        <f>IF(Dat_02!H23=0,"",Dat_02!H23)</f>
        <v/>
      </c>
    </row>
    <row r="25" spans="2:10">
      <c r="B25" s="237"/>
      <c r="C25" s="238">
        <f>Dat_02!B24</f>
        <v>44399</v>
      </c>
      <c r="D25" s="237"/>
      <c r="E25" s="240">
        <f>Dat_02!C24</f>
        <v>16.555754301501416</v>
      </c>
      <c r="F25" s="240">
        <f>Dat_02!D24</f>
        <v>28.26541708637771</v>
      </c>
      <c r="G25" s="240">
        <f>Dat_02!E24</f>
        <v>16.555754301501416</v>
      </c>
      <c r="I25" s="241">
        <f>Dat_02!G24</f>
        <v>0</v>
      </c>
      <c r="J25" s="251" t="str">
        <f>IF(Dat_02!H24=0,"",Dat_02!H24)</f>
        <v/>
      </c>
    </row>
    <row r="26" spans="2:10">
      <c r="B26" s="237"/>
      <c r="C26" s="238">
        <f>Dat_02!B25</f>
        <v>44400</v>
      </c>
      <c r="D26" s="237"/>
      <c r="E26" s="240">
        <f>Dat_02!C25</f>
        <v>13.259645153499557</v>
      </c>
      <c r="F26" s="240">
        <f>Dat_02!D25</f>
        <v>28.26541708637771</v>
      </c>
      <c r="G26" s="240">
        <f>Dat_02!E25</f>
        <v>13.259645153499557</v>
      </c>
      <c r="I26" s="241">
        <f>Dat_02!G25</f>
        <v>0</v>
      </c>
      <c r="J26" s="251" t="str">
        <f>IF(Dat_02!H25=0,"",Dat_02!H25)</f>
        <v/>
      </c>
    </row>
    <row r="27" spans="2:10">
      <c r="B27" s="237"/>
      <c r="C27" s="238">
        <f>Dat_02!B26</f>
        <v>44401</v>
      </c>
      <c r="D27" s="237"/>
      <c r="E27" s="240">
        <f>Dat_02!C26</f>
        <v>11.605605877501418</v>
      </c>
      <c r="F27" s="240">
        <f>Dat_02!D26</f>
        <v>28.26541708637771</v>
      </c>
      <c r="G27" s="240">
        <f>Dat_02!E26</f>
        <v>11.605605877501418</v>
      </c>
      <c r="I27" s="241">
        <f>Dat_02!G26</f>
        <v>0</v>
      </c>
      <c r="J27" s="251" t="str">
        <f>IF(Dat_02!H26=0,"",Dat_02!H26)</f>
        <v/>
      </c>
    </row>
    <row r="28" spans="2:10">
      <c r="B28" s="237"/>
      <c r="C28" s="238">
        <f>Dat_02!B27</f>
        <v>44402</v>
      </c>
      <c r="D28" s="237"/>
      <c r="E28" s="240">
        <f>Dat_02!C27</f>
        <v>7.0987854214995529</v>
      </c>
      <c r="F28" s="240">
        <f>Dat_02!D27</f>
        <v>28.26541708637771</v>
      </c>
      <c r="G28" s="240">
        <f>Dat_02!E27</f>
        <v>7.0987854214995529</v>
      </c>
      <c r="I28" s="241">
        <f>Dat_02!G27</f>
        <v>0</v>
      </c>
      <c r="J28" s="251" t="str">
        <f>IF(Dat_02!H27=0,"",Dat_02!H27)</f>
        <v/>
      </c>
    </row>
    <row r="29" spans="2:10">
      <c r="B29" s="237"/>
      <c r="C29" s="238">
        <f>Dat_02!B28</f>
        <v>44403</v>
      </c>
      <c r="D29" s="237"/>
      <c r="E29" s="240">
        <f>Dat_02!C28</f>
        <v>10.141006933501419</v>
      </c>
      <c r="F29" s="240">
        <f>Dat_02!D28</f>
        <v>28.26541708637771</v>
      </c>
      <c r="G29" s="240">
        <f>Dat_02!E28</f>
        <v>10.141006933501419</v>
      </c>
      <c r="I29" s="241">
        <f>Dat_02!G28</f>
        <v>0</v>
      </c>
      <c r="J29" s="251" t="str">
        <f>IF(Dat_02!H28=0,"",Dat_02!H28)</f>
        <v/>
      </c>
    </row>
    <row r="30" spans="2:10">
      <c r="B30" s="237"/>
      <c r="C30" s="238">
        <f>Dat_02!B29</f>
        <v>44404</v>
      </c>
      <c r="D30" s="237"/>
      <c r="E30" s="240">
        <f>Dat_02!C29</f>
        <v>9.3542710974995575</v>
      </c>
      <c r="F30" s="240">
        <f>Dat_02!D29</f>
        <v>28.26541708637771</v>
      </c>
      <c r="G30" s="240">
        <f>Dat_02!E29</f>
        <v>9.3542710974995575</v>
      </c>
      <c r="I30" s="241">
        <f>Dat_02!G29</f>
        <v>0</v>
      </c>
      <c r="J30" s="251" t="str">
        <f>IF(Dat_02!H29=0,"",Dat_02!H29)</f>
        <v/>
      </c>
    </row>
    <row r="31" spans="2:10">
      <c r="B31" s="237"/>
      <c r="C31" s="238">
        <f>Dat_02!B30</f>
        <v>44405</v>
      </c>
      <c r="D31" s="237"/>
      <c r="E31" s="240">
        <f>Dat_02!C30</f>
        <v>6.3809409010995806</v>
      </c>
      <c r="F31" s="240">
        <f>Dat_02!D30</f>
        <v>28.26541708637771</v>
      </c>
      <c r="G31" s="240">
        <f>Dat_02!E30</f>
        <v>6.3809409010995806</v>
      </c>
      <c r="I31" s="241">
        <f>Dat_02!G30</f>
        <v>0</v>
      </c>
      <c r="J31" s="251" t="str">
        <f>IF(Dat_02!H30=0,"",Dat_02!H30)</f>
        <v/>
      </c>
    </row>
    <row r="32" spans="2:10">
      <c r="B32" s="237"/>
      <c r="C32" s="238">
        <f>Dat_02!B31</f>
        <v>44406</v>
      </c>
      <c r="D32" s="237"/>
      <c r="E32" s="240">
        <f>Dat_02!C31</f>
        <v>18.61382452909772</v>
      </c>
      <c r="F32" s="240">
        <f>Dat_02!D31</f>
        <v>28.26541708637771</v>
      </c>
      <c r="G32" s="240">
        <f>Dat_02!E31</f>
        <v>18.61382452909772</v>
      </c>
      <c r="I32" s="241">
        <f>Dat_02!G31</f>
        <v>0</v>
      </c>
      <c r="J32" s="251" t="str">
        <f>IF(Dat_02!H31=0,"",Dat_02!H31)</f>
        <v/>
      </c>
    </row>
    <row r="33" spans="2:10">
      <c r="B33" s="237"/>
      <c r="C33" s="238">
        <f>Dat_02!B32</f>
        <v>44407</v>
      </c>
      <c r="D33" s="237"/>
      <c r="E33" s="240">
        <f>Dat_02!C32</f>
        <v>20.12006257709772</v>
      </c>
      <c r="F33" s="240">
        <f>Dat_02!D32</f>
        <v>28.26541708637771</v>
      </c>
      <c r="G33" s="240">
        <f>Dat_02!E32</f>
        <v>20.12006257709772</v>
      </c>
      <c r="I33" s="241">
        <f>Dat_02!G32</f>
        <v>0</v>
      </c>
      <c r="J33" s="251" t="str">
        <f>IF(Dat_02!H32=0,"",Dat_02!H32)</f>
        <v/>
      </c>
    </row>
    <row r="34" spans="2:10">
      <c r="B34" s="239"/>
      <c r="C34" s="238">
        <f>Dat_02!B33</f>
        <v>44408</v>
      </c>
      <c r="D34" s="239"/>
      <c r="E34" s="240">
        <f>Dat_02!C33</f>
        <v>1.8893583750977123</v>
      </c>
      <c r="F34" s="240">
        <f>Dat_02!D33</f>
        <v>28.26541708637771</v>
      </c>
      <c r="G34" s="240">
        <f>Dat_02!E33</f>
        <v>1.8893583750977123</v>
      </c>
      <c r="I34" s="241">
        <f>Dat_02!G33</f>
        <v>0</v>
      </c>
      <c r="J34" s="251" t="str">
        <f>IF(Dat_02!H33=0,"",Dat_02!H33)</f>
        <v/>
      </c>
    </row>
    <row r="35" spans="2:10">
      <c r="B35" s="237" t="s">
        <v>209</v>
      </c>
      <c r="C35" s="238">
        <f>Dat_02!B34</f>
        <v>44409</v>
      </c>
      <c r="D35" s="239"/>
      <c r="E35" s="240">
        <f>Dat_02!C34</f>
        <v>4.5655955870995752</v>
      </c>
      <c r="F35" s="240">
        <f>Dat_02!D34</f>
        <v>17.065966880459293</v>
      </c>
      <c r="G35" s="240">
        <f>Dat_02!E34</f>
        <v>4.5655955870995752</v>
      </c>
      <c r="I35" s="241">
        <f>Dat_02!G34</f>
        <v>0</v>
      </c>
      <c r="J35" s="251" t="str">
        <f>IF(Dat_02!H34=0,"",Dat_02!H34)</f>
        <v/>
      </c>
    </row>
    <row r="36" spans="2:10">
      <c r="B36" s="237"/>
      <c r="C36" s="238">
        <f>Dat_02!B35</f>
        <v>44410</v>
      </c>
      <c r="D36" s="239"/>
      <c r="E36" s="240">
        <f>Dat_02!C35</f>
        <v>24.369447137101439</v>
      </c>
      <c r="F36" s="240">
        <f>Dat_02!D35</f>
        <v>17.065966880459293</v>
      </c>
      <c r="G36" s="240">
        <f>Dat_02!E35</f>
        <v>17.065966880459293</v>
      </c>
      <c r="I36" s="241">
        <f>Dat_02!G35</f>
        <v>0</v>
      </c>
      <c r="J36" s="251" t="str">
        <f>IF(Dat_02!H35=0,"",Dat_02!H35)</f>
        <v/>
      </c>
    </row>
    <row r="37" spans="2:10">
      <c r="B37" s="237"/>
      <c r="C37" s="238">
        <f>Dat_02!B36</f>
        <v>44411</v>
      </c>
      <c r="D37" s="237"/>
      <c r="E37" s="240">
        <f>Dat_02!C36</f>
        <v>22.849233373095849</v>
      </c>
      <c r="F37" s="240">
        <f>Dat_02!D36</f>
        <v>17.065966880459293</v>
      </c>
      <c r="G37" s="240">
        <f>Dat_02!E36</f>
        <v>17.065966880459293</v>
      </c>
      <c r="I37" s="241">
        <f>Dat_02!G36</f>
        <v>0</v>
      </c>
      <c r="J37" s="251" t="str">
        <f>IF(Dat_02!H36=0,"",Dat_02!H36)</f>
        <v/>
      </c>
    </row>
    <row r="38" spans="2:10">
      <c r="B38" s="237"/>
      <c r="C38" s="238">
        <f>Dat_02!B37</f>
        <v>44412</v>
      </c>
      <c r="D38" s="237"/>
      <c r="E38" s="240">
        <f>Dat_02!C37</f>
        <v>20.851566048340771</v>
      </c>
      <c r="F38" s="240">
        <f>Dat_02!D37</f>
        <v>17.065966880459293</v>
      </c>
      <c r="G38" s="240">
        <f>Dat_02!E37</f>
        <v>17.065966880459293</v>
      </c>
      <c r="I38" s="241">
        <f>Dat_02!G37</f>
        <v>0</v>
      </c>
      <c r="J38" s="251" t="str">
        <f>IF(Dat_02!H37=0,"",Dat_02!H37)</f>
        <v/>
      </c>
    </row>
    <row r="39" spans="2:10">
      <c r="B39" s="237"/>
      <c r="C39" s="238">
        <f>Dat_02!B38</f>
        <v>44413</v>
      </c>
      <c r="D39" s="237"/>
      <c r="E39" s="240">
        <f>Dat_02!C38</f>
        <v>20.527216116342636</v>
      </c>
      <c r="F39" s="240">
        <f>Dat_02!D38</f>
        <v>17.065966880459293</v>
      </c>
      <c r="G39" s="240">
        <f>Dat_02!E38</f>
        <v>17.065966880459293</v>
      </c>
      <c r="I39" s="241">
        <f>Dat_02!G38</f>
        <v>0</v>
      </c>
      <c r="J39" s="251" t="str">
        <f>IF(Dat_02!H38=0,"",Dat_02!H38)</f>
        <v/>
      </c>
    </row>
    <row r="40" spans="2:10">
      <c r="B40" s="237"/>
      <c r="C40" s="238">
        <f>Dat_02!B39</f>
        <v>44414</v>
      </c>
      <c r="D40" s="237"/>
      <c r="E40" s="240">
        <f>Dat_02!C39</f>
        <v>8.4270759103407684</v>
      </c>
      <c r="F40" s="240">
        <f>Dat_02!D39</f>
        <v>17.065966880459293</v>
      </c>
      <c r="G40" s="240">
        <f>Dat_02!E39</f>
        <v>8.4270759103407684</v>
      </c>
      <c r="I40" s="241">
        <f>Dat_02!G39</f>
        <v>0</v>
      </c>
      <c r="J40" s="251" t="str">
        <f>IF(Dat_02!H39=0,"",Dat_02!H39)</f>
        <v/>
      </c>
    </row>
    <row r="41" spans="2:10">
      <c r="B41" s="237"/>
      <c r="C41" s="238">
        <f>Dat_02!B40</f>
        <v>44415</v>
      </c>
      <c r="D41" s="237"/>
      <c r="E41" s="240">
        <f>Dat_02!C40</f>
        <v>3.1181593463426327</v>
      </c>
      <c r="F41" s="240">
        <f>Dat_02!D40</f>
        <v>17.065966880459293</v>
      </c>
      <c r="G41" s="240">
        <f>Dat_02!E40</f>
        <v>3.1181593463426327</v>
      </c>
      <c r="I41" s="241">
        <f>Dat_02!G40</f>
        <v>0</v>
      </c>
      <c r="J41" s="251" t="str">
        <f>IF(Dat_02!H40=0,"",Dat_02!H40)</f>
        <v/>
      </c>
    </row>
    <row r="42" spans="2:10">
      <c r="B42" s="237"/>
      <c r="C42" s="238">
        <f>Dat_02!B41</f>
        <v>44416</v>
      </c>
      <c r="D42" s="237"/>
      <c r="E42" s="240">
        <f>Dat_02!C41</f>
        <v>0.97960024234076992</v>
      </c>
      <c r="F42" s="240">
        <f>Dat_02!D41</f>
        <v>17.065966880459293</v>
      </c>
      <c r="G42" s="240">
        <f>Dat_02!E41</f>
        <v>0.97960024234076992</v>
      </c>
      <c r="I42" s="241">
        <f>Dat_02!G41</f>
        <v>0</v>
      </c>
      <c r="J42" s="251" t="str">
        <f>IF(Dat_02!H41=0,"",Dat_02!H41)</f>
        <v/>
      </c>
    </row>
    <row r="43" spans="2:10">
      <c r="B43" s="237"/>
      <c r="C43" s="238">
        <f>Dat_02!B42</f>
        <v>44417</v>
      </c>
      <c r="D43" s="237"/>
      <c r="E43" s="240">
        <f>Dat_02!C42</f>
        <v>14.443968728340769</v>
      </c>
      <c r="F43" s="240">
        <f>Dat_02!D42</f>
        <v>17.065966880459293</v>
      </c>
      <c r="G43" s="240">
        <f>Dat_02!E42</f>
        <v>14.443968728340769</v>
      </c>
      <c r="I43" s="241">
        <f>Dat_02!G42</f>
        <v>0</v>
      </c>
      <c r="J43" s="251" t="str">
        <f>IF(Dat_02!H42=0,"",Dat_02!H42)</f>
        <v/>
      </c>
    </row>
    <row r="44" spans="2:10">
      <c r="B44" s="237"/>
      <c r="C44" s="238">
        <f>Dat_02!B43</f>
        <v>44418</v>
      </c>
      <c r="D44" s="237"/>
      <c r="E44" s="240">
        <f>Dat_02!C43</f>
        <v>12.368461616340777</v>
      </c>
      <c r="F44" s="240">
        <f>Dat_02!D43</f>
        <v>17.065966880459293</v>
      </c>
      <c r="G44" s="240">
        <f>Dat_02!E43</f>
        <v>12.368461616340777</v>
      </c>
      <c r="I44" s="241">
        <f>Dat_02!G43</f>
        <v>0</v>
      </c>
      <c r="J44" s="251" t="str">
        <f>IF(Dat_02!H43=0,"",Dat_02!H43)</f>
        <v/>
      </c>
    </row>
    <row r="45" spans="2:10">
      <c r="B45" s="237"/>
      <c r="C45" s="238">
        <f>Dat_02!B44</f>
        <v>44419</v>
      </c>
      <c r="D45" s="237"/>
      <c r="E45" s="240">
        <f>Dat_02!C44</f>
        <v>12.890011353729017</v>
      </c>
      <c r="F45" s="240">
        <f>Dat_02!D44</f>
        <v>17.065966880459293</v>
      </c>
      <c r="G45" s="240">
        <f>Dat_02!E44</f>
        <v>12.890011353729017</v>
      </c>
      <c r="I45" s="241">
        <f>Dat_02!G44</f>
        <v>0</v>
      </c>
      <c r="J45" s="251" t="str">
        <f>IF(Dat_02!H44=0,"",Dat_02!H44)</f>
        <v/>
      </c>
    </row>
    <row r="46" spans="2:10">
      <c r="B46" s="237"/>
      <c r="C46" s="238">
        <f>Dat_02!B45</f>
        <v>44420</v>
      </c>
      <c r="D46" s="237"/>
      <c r="E46" s="240">
        <f>Dat_02!C45</f>
        <v>11.795801197727153</v>
      </c>
      <c r="F46" s="240">
        <f>Dat_02!D45</f>
        <v>17.065966880459293</v>
      </c>
      <c r="G46" s="240">
        <f>Dat_02!E45</f>
        <v>11.795801197727153</v>
      </c>
      <c r="I46" s="241">
        <f>Dat_02!G45</f>
        <v>0</v>
      </c>
      <c r="J46" s="251" t="str">
        <f>IF(Dat_02!H45=0,"",Dat_02!H45)</f>
        <v/>
      </c>
    </row>
    <row r="47" spans="2:10">
      <c r="B47" s="237"/>
      <c r="C47" s="238">
        <f>Dat_02!B46</f>
        <v>44421</v>
      </c>
      <c r="D47" s="237"/>
      <c r="E47" s="240">
        <f>Dat_02!C46</f>
        <v>10.709613341727149</v>
      </c>
      <c r="F47" s="240">
        <f>Dat_02!D46</f>
        <v>17.065966880459293</v>
      </c>
      <c r="G47" s="240">
        <f>Dat_02!E46</f>
        <v>10.709613341727149</v>
      </c>
      <c r="I47" s="241">
        <f>Dat_02!G46</f>
        <v>0</v>
      </c>
      <c r="J47" s="251" t="str">
        <f>IF(Dat_02!H46=0,"",Dat_02!H46)</f>
        <v/>
      </c>
    </row>
    <row r="48" spans="2:10">
      <c r="B48" s="237"/>
      <c r="C48" s="238">
        <f>Dat_02!B47</f>
        <v>44422</v>
      </c>
      <c r="D48" s="237"/>
      <c r="E48" s="240">
        <f>Dat_02!C47</f>
        <v>8.390193413727145</v>
      </c>
      <c r="F48" s="240">
        <f>Dat_02!D47</f>
        <v>17.065966880459293</v>
      </c>
      <c r="G48" s="240">
        <f>Dat_02!E47</f>
        <v>8.390193413727145</v>
      </c>
      <c r="I48" s="301">
        <f>Dat_02!G47</f>
        <v>0</v>
      </c>
      <c r="J48" s="251" t="str">
        <f>IF(Dat_02!H47=0,"",Dat_02!H47)</f>
        <v/>
      </c>
    </row>
    <row r="49" spans="2:10">
      <c r="B49" s="237"/>
      <c r="C49" s="238">
        <f>Dat_02!B48</f>
        <v>44423</v>
      </c>
      <c r="D49" s="237"/>
      <c r="E49" s="240">
        <f>Dat_02!C48</f>
        <v>3.8323451297280844</v>
      </c>
      <c r="F49" s="240">
        <f>Dat_02!D48</f>
        <v>17.065966880459293</v>
      </c>
      <c r="G49" s="240">
        <f>Dat_02!E48</f>
        <v>3.8323451297280844</v>
      </c>
      <c r="I49" s="301">
        <f>Dat_02!G48</f>
        <v>17.065966880459293</v>
      </c>
      <c r="J49" s="251" t="str">
        <f>IF(Dat_02!H48=0,"",Dat_02!H48)</f>
        <v/>
      </c>
    </row>
    <row r="50" spans="2:10">
      <c r="B50" s="237"/>
      <c r="C50" s="238">
        <f>Dat_02!B49</f>
        <v>44424</v>
      </c>
      <c r="D50" s="237"/>
      <c r="E50" s="240">
        <f>Dat_02!C49</f>
        <v>1.5208754617262239</v>
      </c>
      <c r="F50" s="240">
        <f>Dat_02!D49</f>
        <v>17.065966880459293</v>
      </c>
      <c r="G50" s="240">
        <f>Dat_02!E49</f>
        <v>1.5208754617262239</v>
      </c>
      <c r="I50" s="241">
        <f>Dat_02!G49</f>
        <v>0</v>
      </c>
      <c r="J50" s="251" t="str">
        <f>IF(Dat_02!H49=0,"",Dat_02!H49)</f>
        <v/>
      </c>
    </row>
    <row r="51" spans="2:10">
      <c r="B51" s="237"/>
      <c r="C51" s="238">
        <f>Dat_02!B50</f>
        <v>44425</v>
      </c>
      <c r="D51" s="237"/>
      <c r="E51" s="240">
        <f>Dat_02!C50</f>
        <v>1.6454641217280805</v>
      </c>
      <c r="F51" s="240">
        <f>Dat_02!D50</f>
        <v>17.065966880459293</v>
      </c>
      <c r="G51" s="240">
        <f>Dat_02!E50</f>
        <v>1.6454641217280805</v>
      </c>
      <c r="I51" s="241">
        <f>Dat_02!G50</f>
        <v>0</v>
      </c>
      <c r="J51" s="251" t="str">
        <f>IF(Dat_02!H50=0,"",Dat_02!H50)</f>
        <v/>
      </c>
    </row>
    <row r="52" spans="2:10">
      <c r="B52" s="237"/>
      <c r="C52" s="238">
        <f>Dat_02!B51</f>
        <v>44426</v>
      </c>
      <c r="D52" s="237"/>
      <c r="E52" s="240">
        <f>Dat_02!C51</f>
        <v>1.1239345109318819</v>
      </c>
      <c r="F52" s="240">
        <f>Dat_02!D51</f>
        <v>17.065966880459293</v>
      </c>
      <c r="G52" s="240">
        <f>Dat_02!E51</f>
        <v>1.1239345109318819</v>
      </c>
      <c r="I52" s="241">
        <f>Dat_02!G51</f>
        <v>0</v>
      </c>
      <c r="J52" s="251" t="str">
        <f>IF(Dat_02!H51=0,"",Dat_02!H51)</f>
        <v/>
      </c>
    </row>
    <row r="53" spans="2:10">
      <c r="B53" s="237"/>
      <c r="C53" s="238">
        <f>Dat_02!B52</f>
        <v>44427</v>
      </c>
      <c r="D53" s="237"/>
      <c r="E53" s="240">
        <f>Dat_02!C52</f>
        <v>12.31830282093188</v>
      </c>
      <c r="F53" s="240">
        <f>Dat_02!D52</f>
        <v>17.065966880459293</v>
      </c>
      <c r="G53" s="240">
        <f>Dat_02!E52</f>
        <v>12.31830282093188</v>
      </c>
      <c r="I53" s="241">
        <f>Dat_02!G52</f>
        <v>0</v>
      </c>
      <c r="J53" s="251" t="str">
        <f>IF(Dat_02!H52=0,"",Dat_02!H52)</f>
        <v/>
      </c>
    </row>
    <row r="54" spans="2:10">
      <c r="B54" s="237"/>
      <c r="C54" s="238">
        <f>Dat_02!B53</f>
        <v>44428</v>
      </c>
      <c r="D54" s="237"/>
      <c r="E54" s="240">
        <f>Dat_02!C53</f>
        <v>10.13184883293188</v>
      </c>
      <c r="F54" s="240">
        <f>Dat_02!D53</f>
        <v>17.065966880459293</v>
      </c>
      <c r="G54" s="240">
        <f>Dat_02!E53</f>
        <v>10.13184883293188</v>
      </c>
      <c r="I54" s="241">
        <f>Dat_02!G53</f>
        <v>0</v>
      </c>
      <c r="J54" s="251" t="str">
        <f>IF(Dat_02!H53=0,"",Dat_02!H53)</f>
        <v/>
      </c>
    </row>
    <row r="55" spans="2:10">
      <c r="B55" s="237"/>
      <c r="C55" s="238">
        <f>Dat_02!B54</f>
        <v>44429</v>
      </c>
      <c r="D55" s="237"/>
      <c r="E55" s="240">
        <f>Dat_02!C54</f>
        <v>3.855074796932815</v>
      </c>
      <c r="F55" s="240">
        <f>Dat_02!D54</f>
        <v>17.065966880459293</v>
      </c>
      <c r="G55" s="240">
        <f>Dat_02!E54</f>
        <v>3.855074796932815</v>
      </c>
      <c r="I55" s="241">
        <f>Dat_02!G54</f>
        <v>0</v>
      </c>
      <c r="J55" s="251" t="str">
        <f>IF(Dat_02!H54=0,"",Dat_02!H54)</f>
        <v/>
      </c>
    </row>
    <row r="56" spans="2:10">
      <c r="B56" s="237"/>
      <c r="C56" s="238">
        <f>Dat_02!B55</f>
        <v>44430</v>
      </c>
      <c r="D56" s="237"/>
      <c r="E56" s="240">
        <f>Dat_02!C55</f>
        <v>0.51473324493095429</v>
      </c>
      <c r="F56" s="240">
        <f>Dat_02!D55</f>
        <v>17.065966880459293</v>
      </c>
      <c r="G56" s="240">
        <f>Dat_02!E55</f>
        <v>0.51473324493095429</v>
      </c>
      <c r="I56" s="241">
        <f>Dat_02!G55</f>
        <v>0</v>
      </c>
      <c r="J56" s="251" t="str">
        <f>IF(Dat_02!H55=0,"",Dat_02!H55)</f>
        <v/>
      </c>
    </row>
    <row r="57" spans="2:10">
      <c r="B57" s="237"/>
      <c r="C57" s="238">
        <f>Dat_02!B56</f>
        <v>44431</v>
      </c>
      <c r="D57" s="237"/>
      <c r="E57" s="240">
        <f>Dat_02!C56</f>
        <v>1.0608810569318812</v>
      </c>
      <c r="F57" s="240">
        <f>Dat_02!D56</f>
        <v>17.065966880459293</v>
      </c>
      <c r="G57" s="240">
        <f>Dat_02!E56</f>
        <v>1.0608810569318812</v>
      </c>
      <c r="I57" s="241">
        <f>Dat_02!G56</f>
        <v>0</v>
      </c>
      <c r="J57" s="251" t="str">
        <f>IF(Dat_02!H56=0,"",Dat_02!H56)</f>
        <v/>
      </c>
    </row>
    <row r="58" spans="2:10">
      <c r="B58" s="237"/>
      <c r="C58" s="238">
        <f>Dat_02!B57</f>
        <v>44432</v>
      </c>
      <c r="D58" s="237"/>
      <c r="E58" s="240">
        <f>Dat_02!C57</f>
        <v>0.95651898293281556</v>
      </c>
      <c r="F58" s="240">
        <f>Dat_02!D57</f>
        <v>17.065966880459293</v>
      </c>
      <c r="G58" s="240">
        <f>Dat_02!E57</f>
        <v>0.95651898293281556</v>
      </c>
      <c r="I58" s="241">
        <f>Dat_02!G57</f>
        <v>0</v>
      </c>
      <c r="J58" s="251" t="str">
        <f>IF(Dat_02!H57=0,"",Dat_02!H57)</f>
        <v/>
      </c>
    </row>
    <row r="59" spans="2:10">
      <c r="B59" s="237"/>
      <c r="C59" s="238">
        <f>Dat_02!B58</f>
        <v>44433</v>
      </c>
      <c r="D59" s="237"/>
      <c r="E59" s="240">
        <f>Dat_02!C58</f>
        <v>7.1533921176681394</v>
      </c>
      <c r="F59" s="240">
        <f>Dat_02!D58</f>
        <v>17.065966880459293</v>
      </c>
      <c r="G59" s="240">
        <f>Dat_02!E58</f>
        <v>7.1533921176681394</v>
      </c>
      <c r="I59" s="241">
        <f>Dat_02!G58</f>
        <v>0</v>
      </c>
      <c r="J59" s="251" t="str">
        <f>IF(Dat_02!H58=0,"",Dat_02!H58)</f>
        <v/>
      </c>
    </row>
    <row r="60" spans="2:10">
      <c r="B60" s="237"/>
      <c r="C60" s="238">
        <f>Dat_02!B59</f>
        <v>44434</v>
      </c>
      <c r="D60" s="237"/>
      <c r="E60" s="240">
        <f>Dat_02!C59</f>
        <v>9.1958073616690665</v>
      </c>
      <c r="F60" s="240">
        <f>Dat_02!D59</f>
        <v>17.065966880459293</v>
      </c>
      <c r="G60" s="240">
        <f>Dat_02!E59</f>
        <v>9.1958073616690665</v>
      </c>
      <c r="I60" s="241">
        <f>Dat_02!G59</f>
        <v>0</v>
      </c>
      <c r="J60" s="251" t="str">
        <f>IF(Dat_02!H59=0,"",Dat_02!H59)</f>
        <v/>
      </c>
    </row>
    <row r="61" spans="2:10">
      <c r="B61" s="237"/>
      <c r="C61" s="238">
        <f>Dat_02!B60</f>
        <v>44435</v>
      </c>
      <c r="D61" s="237"/>
      <c r="E61" s="240">
        <f>Dat_02!C60</f>
        <v>4.1350082336709315</v>
      </c>
      <c r="F61" s="240">
        <f>Dat_02!D60</f>
        <v>17.065966880459293</v>
      </c>
      <c r="G61" s="240">
        <f>Dat_02!E60</f>
        <v>4.1350082336709315</v>
      </c>
      <c r="I61" s="241">
        <f>Dat_02!G60</f>
        <v>0</v>
      </c>
      <c r="J61" s="251" t="str">
        <f>IF(Dat_02!H60=0,"",Dat_02!H60)</f>
        <v/>
      </c>
    </row>
    <row r="62" spans="2:10">
      <c r="B62" s="237"/>
      <c r="C62" s="238">
        <f>Dat_02!B61</f>
        <v>44436</v>
      </c>
      <c r="D62" s="237"/>
      <c r="E62" s="240">
        <f>Dat_02!C61</f>
        <v>0.77185449366814285</v>
      </c>
      <c r="F62" s="240">
        <f>Dat_02!D61</f>
        <v>17.065966880459293</v>
      </c>
      <c r="G62" s="240">
        <f>Dat_02!E61</f>
        <v>0.77185449366814285</v>
      </c>
      <c r="I62" s="241">
        <f>Dat_02!G61</f>
        <v>0</v>
      </c>
      <c r="J62" s="251" t="str">
        <f>IF(Dat_02!H61=0,"",Dat_02!H61)</f>
        <v/>
      </c>
    </row>
    <row r="63" spans="2:10">
      <c r="B63" s="237"/>
      <c r="C63" s="238">
        <f>Dat_02!B62</f>
        <v>44437</v>
      </c>
      <c r="D63" s="237"/>
      <c r="E63" s="240">
        <f>Dat_02!C62</f>
        <v>1.0640044536700006</v>
      </c>
      <c r="F63" s="240">
        <f>Dat_02!D62</f>
        <v>17.065966880459293</v>
      </c>
      <c r="G63" s="240">
        <f>Dat_02!E62</f>
        <v>1.0640044536700006</v>
      </c>
      <c r="I63" s="241">
        <f>Dat_02!G62</f>
        <v>0</v>
      </c>
      <c r="J63" s="251" t="str">
        <f>IF(Dat_02!H62=0,"",Dat_02!H62)</f>
        <v/>
      </c>
    </row>
    <row r="64" spans="2:10">
      <c r="B64" s="239"/>
      <c r="C64" s="238">
        <f>Dat_02!B63</f>
        <v>44438</v>
      </c>
      <c r="D64" s="237"/>
      <c r="E64" s="240">
        <f>Dat_02!C63</f>
        <v>10.140573249667206</v>
      </c>
      <c r="F64" s="240">
        <f>Dat_02!D63</f>
        <v>17.065966880459293</v>
      </c>
      <c r="G64" s="240">
        <f>Dat_02!E63</f>
        <v>10.140573249667206</v>
      </c>
      <c r="I64" s="241">
        <f>Dat_02!G63</f>
        <v>0</v>
      </c>
      <c r="J64" s="251" t="str">
        <f>IF(Dat_02!H63=0,"",Dat_02!H63)</f>
        <v/>
      </c>
    </row>
    <row r="65" spans="2:10">
      <c r="B65" s="239" t="s">
        <v>210</v>
      </c>
      <c r="C65" s="238">
        <f>Dat_02!B64</f>
        <v>44439</v>
      </c>
      <c r="D65" s="239"/>
      <c r="E65" s="240">
        <f>Dat_02!C64</f>
        <v>13.94423220567093</v>
      </c>
      <c r="F65" s="240">
        <f>Dat_02!D64</f>
        <v>17.065966880459293</v>
      </c>
      <c r="G65" s="240">
        <f>Dat_02!E64</f>
        <v>13.94423220567093</v>
      </c>
      <c r="I65" s="241">
        <f>Dat_02!G64</f>
        <v>0</v>
      </c>
      <c r="J65" s="251" t="str">
        <f>IF(Dat_02!H64=0,"",Dat_02!H64)</f>
        <v/>
      </c>
    </row>
    <row r="66" spans="2:10">
      <c r="B66" s="239"/>
      <c r="C66" s="238">
        <f>Dat_02!B65</f>
        <v>44440</v>
      </c>
      <c r="D66" s="239"/>
      <c r="E66" s="240">
        <f>Dat_02!C65</f>
        <v>24.232942552924062</v>
      </c>
      <c r="F66" s="240">
        <f>Dat_02!D65</f>
        <v>21.014323006984561</v>
      </c>
      <c r="G66" s="240">
        <f>Dat_02!E65</f>
        <v>21.014323006984561</v>
      </c>
      <c r="I66" s="241">
        <f>Dat_02!G65</f>
        <v>0</v>
      </c>
      <c r="J66" s="251" t="str">
        <f>IF(Dat_02!H65=0,"",Dat_02!H65)</f>
        <v/>
      </c>
    </row>
    <row r="67" spans="2:10">
      <c r="B67" s="237"/>
      <c r="C67" s="238">
        <f>Dat_02!B66</f>
        <v>44441</v>
      </c>
      <c r="D67" s="237"/>
      <c r="E67" s="240">
        <f>Dat_02!C66</f>
        <v>23.923948540925927</v>
      </c>
      <c r="F67" s="240">
        <f>Dat_02!D66</f>
        <v>21.014323006984561</v>
      </c>
      <c r="G67" s="240">
        <f>Dat_02!E66</f>
        <v>21.014323006984561</v>
      </c>
      <c r="I67" s="241">
        <f>Dat_02!G66</f>
        <v>0</v>
      </c>
      <c r="J67" s="251" t="str">
        <f>IF(Dat_02!H66=0,"",Dat_02!H66)</f>
        <v/>
      </c>
    </row>
    <row r="68" spans="2:10">
      <c r="B68" s="237"/>
      <c r="C68" s="238">
        <f>Dat_02!B67</f>
        <v>44442</v>
      </c>
      <c r="D68" s="237"/>
      <c r="E68" s="240">
        <f>Dat_02!C67</f>
        <v>22.820461948923132</v>
      </c>
      <c r="F68" s="240">
        <f>Dat_02!D67</f>
        <v>21.014323006984561</v>
      </c>
      <c r="G68" s="240">
        <f>Dat_02!E67</f>
        <v>21.014323006984561</v>
      </c>
      <c r="I68" s="241">
        <f>Dat_02!G67</f>
        <v>0</v>
      </c>
      <c r="J68" s="251" t="str">
        <f>IF(Dat_02!H67=0,"",Dat_02!H67)</f>
        <v/>
      </c>
    </row>
    <row r="69" spans="2:10">
      <c r="B69" s="237"/>
      <c r="C69" s="238">
        <f>Dat_02!B68</f>
        <v>44443</v>
      </c>
      <c r="D69" s="237"/>
      <c r="E69" s="240">
        <f>Dat_02!C68</f>
        <v>16.785473316926858</v>
      </c>
      <c r="F69" s="240">
        <f>Dat_02!D68</f>
        <v>21.014323006984561</v>
      </c>
      <c r="G69" s="240">
        <f>Dat_02!E68</f>
        <v>16.785473316926858</v>
      </c>
      <c r="I69" s="241">
        <f>Dat_02!G68</f>
        <v>0</v>
      </c>
      <c r="J69" s="251" t="str">
        <f>IF(Dat_02!H68=0,"",Dat_02!H68)</f>
        <v/>
      </c>
    </row>
    <row r="70" spans="2:10">
      <c r="B70" s="237"/>
      <c r="C70" s="238">
        <f>Dat_02!B69</f>
        <v>44444</v>
      </c>
      <c r="D70" s="237"/>
      <c r="E70" s="240">
        <f>Dat_02!C69</f>
        <v>10.244637292924068</v>
      </c>
      <c r="F70" s="240">
        <f>Dat_02!D69</f>
        <v>21.014323006984561</v>
      </c>
      <c r="G70" s="240">
        <f>Dat_02!E69</f>
        <v>10.244637292924068</v>
      </c>
      <c r="I70" s="241">
        <f>Dat_02!G69</f>
        <v>0</v>
      </c>
      <c r="J70" s="251" t="str">
        <f>IF(Dat_02!H69=0,"",Dat_02!H69)</f>
        <v/>
      </c>
    </row>
    <row r="71" spans="2:10">
      <c r="B71" s="237"/>
      <c r="C71" s="238">
        <f>Dat_02!B70</f>
        <v>44445</v>
      </c>
      <c r="D71" s="237"/>
      <c r="E71" s="240">
        <f>Dat_02!C70</f>
        <v>15.825120408925926</v>
      </c>
      <c r="F71" s="240">
        <f>Dat_02!D70</f>
        <v>21.014323006984561</v>
      </c>
      <c r="G71" s="240">
        <f>Dat_02!E70</f>
        <v>15.825120408925926</v>
      </c>
      <c r="I71" s="241">
        <f>Dat_02!G70</f>
        <v>0</v>
      </c>
      <c r="J71" s="251" t="str">
        <f>IF(Dat_02!H70=0,"",Dat_02!H70)</f>
        <v/>
      </c>
    </row>
    <row r="72" spans="2:10">
      <c r="B72" s="237"/>
      <c r="C72" s="238">
        <f>Dat_02!B71</f>
        <v>44446</v>
      </c>
      <c r="D72" s="237"/>
      <c r="E72" s="240">
        <f>Dat_02!C71</f>
        <v>6.2947448249249938</v>
      </c>
      <c r="F72" s="240">
        <f>Dat_02!D71</f>
        <v>21.014323006984561</v>
      </c>
      <c r="G72" s="240">
        <f>Dat_02!E71</f>
        <v>6.2947448249249938</v>
      </c>
      <c r="I72" s="241">
        <f>Dat_02!G71</f>
        <v>0</v>
      </c>
      <c r="J72" s="251" t="str">
        <f>IF(Dat_02!H71=0,"",Dat_02!H71)</f>
        <v/>
      </c>
    </row>
    <row r="73" spans="2:10">
      <c r="B73" s="237"/>
      <c r="C73" s="238">
        <f>Dat_02!B72</f>
        <v>44447</v>
      </c>
      <c r="D73" s="237"/>
      <c r="E73" s="240">
        <f>Dat_02!C72</f>
        <v>20.115420491951163</v>
      </c>
      <c r="F73" s="240">
        <f>Dat_02!D72</f>
        <v>21.014323006984561</v>
      </c>
      <c r="G73" s="240">
        <f>Dat_02!E72</f>
        <v>20.115420491951163</v>
      </c>
      <c r="I73" s="241">
        <f>Dat_02!G72</f>
        <v>0</v>
      </c>
      <c r="J73" s="251" t="str">
        <f>IF(Dat_02!H72=0,"",Dat_02!H72)</f>
        <v/>
      </c>
    </row>
    <row r="74" spans="2:10">
      <c r="B74" s="237"/>
      <c r="C74" s="238">
        <f>Dat_02!B73</f>
        <v>44448</v>
      </c>
      <c r="D74" s="237"/>
      <c r="E74" s="240">
        <f>Dat_02!C73</f>
        <v>20.943244847952091</v>
      </c>
      <c r="F74" s="240">
        <f>Dat_02!D73</f>
        <v>21.014323006984561</v>
      </c>
      <c r="G74" s="240">
        <f>Dat_02!E73</f>
        <v>20.943244847952091</v>
      </c>
      <c r="I74" s="241">
        <f>Dat_02!G73</f>
        <v>0</v>
      </c>
      <c r="J74" s="251" t="str">
        <f>IF(Dat_02!H73=0,"",Dat_02!H73)</f>
        <v/>
      </c>
    </row>
    <row r="75" spans="2:10">
      <c r="B75" s="237"/>
      <c r="C75" s="238">
        <f>Dat_02!B74</f>
        <v>44449</v>
      </c>
      <c r="D75" s="237"/>
      <c r="E75" s="240">
        <f>Dat_02!C74</f>
        <v>20.22736524795209</v>
      </c>
      <c r="F75" s="240">
        <f>Dat_02!D74</f>
        <v>21.014323006984561</v>
      </c>
      <c r="G75" s="240">
        <f>Dat_02!E74</f>
        <v>20.22736524795209</v>
      </c>
      <c r="I75" s="241">
        <f>Dat_02!G74</f>
        <v>0</v>
      </c>
      <c r="J75" s="251" t="str">
        <f>IF(Dat_02!H74=0,"",Dat_02!H74)</f>
        <v/>
      </c>
    </row>
    <row r="76" spans="2:10">
      <c r="B76" s="237"/>
      <c r="C76" s="238">
        <f>Dat_02!B75</f>
        <v>44450</v>
      </c>
      <c r="D76" s="237"/>
      <c r="E76" s="240">
        <f>Dat_02!C75</f>
        <v>15.135667991953021</v>
      </c>
      <c r="F76" s="240">
        <f>Dat_02!D75</f>
        <v>21.014323006984561</v>
      </c>
      <c r="G76" s="240">
        <f>Dat_02!E75</f>
        <v>15.135667991953021</v>
      </c>
      <c r="I76" s="241">
        <f>Dat_02!G75</f>
        <v>0</v>
      </c>
      <c r="J76" s="251" t="str">
        <f>IF(Dat_02!H75=0,"",Dat_02!H75)</f>
        <v/>
      </c>
    </row>
    <row r="77" spans="2:10">
      <c r="B77" s="237"/>
      <c r="C77" s="238">
        <f>Dat_02!B76</f>
        <v>44451</v>
      </c>
      <c r="D77" s="237"/>
      <c r="E77" s="240">
        <f>Dat_02!C76</f>
        <v>20.061154527952095</v>
      </c>
      <c r="F77" s="240">
        <f>Dat_02!D76</f>
        <v>21.014323006984561</v>
      </c>
      <c r="G77" s="240">
        <f>Dat_02!E76</f>
        <v>20.061154527952095</v>
      </c>
      <c r="I77" s="241">
        <f>Dat_02!G76</f>
        <v>0</v>
      </c>
      <c r="J77" s="251" t="str">
        <f>IF(Dat_02!H76=0,"",Dat_02!H76)</f>
        <v/>
      </c>
    </row>
    <row r="78" spans="2:10">
      <c r="B78" s="237"/>
      <c r="C78" s="238">
        <f>Dat_02!B77</f>
        <v>44452</v>
      </c>
      <c r="D78" s="237"/>
      <c r="E78" s="240">
        <f>Dat_02!C77</f>
        <v>12.823799795953025</v>
      </c>
      <c r="F78" s="240">
        <f>Dat_02!D77</f>
        <v>21.014323006984561</v>
      </c>
      <c r="G78" s="240">
        <f>Dat_02!E77</f>
        <v>12.823799795953025</v>
      </c>
      <c r="I78" s="241">
        <f>Dat_02!G77</f>
        <v>0</v>
      </c>
      <c r="J78" s="251" t="str">
        <f>IF(Dat_02!H77=0,"",Dat_02!H77)</f>
        <v/>
      </c>
    </row>
    <row r="79" spans="2:10">
      <c r="B79" s="237"/>
      <c r="C79" s="238">
        <f>Dat_02!B78</f>
        <v>44453</v>
      </c>
      <c r="D79" s="237"/>
      <c r="E79" s="240">
        <f>Dat_02!C78</f>
        <v>25.974186331951163</v>
      </c>
      <c r="F79" s="240">
        <f>Dat_02!D78</f>
        <v>21.014323006984561</v>
      </c>
      <c r="G79" s="240">
        <f>Dat_02!E78</f>
        <v>21.014323006984561</v>
      </c>
      <c r="I79" s="241">
        <f>Dat_02!G78</f>
        <v>0</v>
      </c>
      <c r="J79" s="251" t="str">
        <f>IF(Dat_02!H78=0,"",Dat_02!H78)</f>
        <v/>
      </c>
    </row>
    <row r="80" spans="2:10">
      <c r="B80" s="237"/>
      <c r="C80" s="238">
        <f>Dat_02!B79</f>
        <v>44454</v>
      </c>
      <c r="D80" s="237"/>
      <c r="E80" s="240">
        <f>Dat_02!C79</f>
        <v>38.31835680787313</v>
      </c>
      <c r="F80" s="240">
        <f>Dat_02!D79</f>
        <v>21.014323006984561</v>
      </c>
      <c r="G80" s="240">
        <f>Dat_02!E79</f>
        <v>21.014323006984561</v>
      </c>
      <c r="I80" s="241">
        <f>Dat_02!G79</f>
        <v>21.014323006984561</v>
      </c>
      <c r="J80" s="251" t="str">
        <f>IF(Dat_02!H79=0,"",Dat_02!H79)</f>
        <v/>
      </c>
    </row>
    <row r="81" spans="2:10">
      <c r="B81" s="237"/>
      <c r="C81" s="238">
        <f>Dat_02!B80</f>
        <v>44455</v>
      </c>
      <c r="D81" s="237"/>
      <c r="E81" s="240">
        <f>Dat_02!C80</f>
        <v>21.487675855873132</v>
      </c>
      <c r="F81" s="240">
        <f>Dat_02!D80</f>
        <v>21.014323006984561</v>
      </c>
      <c r="G81" s="240">
        <f>Dat_02!E80</f>
        <v>21.014323006984561</v>
      </c>
      <c r="I81" s="241">
        <f>Dat_02!G80</f>
        <v>0</v>
      </c>
      <c r="J81" s="251" t="str">
        <f>IF(Dat_02!H80=0,"",Dat_02!H80)</f>
        <v/>
      </c>
    </row>
    <row r="82" spans="2:10">
      <c r="B82" s="237"/>
      <c r="C82" s="238">
        <f>Dat_02!B81</f>
        <v>44456</v>
      </c>
      <c r="D82" s="237"/>
      <c r="E82" s="240">
        <f>Dat_02!C81</f>
        <v>16.394569441872203</v>
      </c>
      <c r="F82" s="240">
        <f>Dat_02!D81</f>
        <v>21.014323006984561</v>
      </c>
      <c r="G82" s="240">
        <f>Dat_02!E81</f>
        <v>16.394569441872203</v>
      </c>
      <c r="I82" s="241">
        <f>Dat_02!G81</f>
        <v>0</v>
      </c>
      <c r="J82" s="251" t="str">
        <f>IF(Dat_02!H81=0,"",Dat_02!H81)</f>
        <v/>
      </c>
    </row>
    <row r="83" spans="2:10">
      <c r="B83" s="237"/>
      <c r="C83" s="238">
        <f>Dat_02!B82</f>
        <v>44457</v>
      </c>
      <c r="D83" s="237"/>
      <c r="E83" s="240">
        <f>Dat_02!C82</f>
        <v>11.821708425872202</v>
      </c>
      <c r="F83" s="240">
        <f>Dat_02!D82</f>
        <v>21.014323006984561</v>
      </c>
      <c r="G83" s="240">
        <f>Dat_02!E82</f>
        <v>11.821708425872202</v>
      </c>
      <c r="I83" s="241">
        <f>Dat_02!G82</f>
        <v>0</v>
      </c>
      <c r="J83" s="251" t="str">
        <f>IF(Dat_02!H82=0,"",Dat_02!H82)</f>
        <v/>
      </c>
    </row>
    <row r="84" spans="2:10">
      <c r="B84" s="237"/>
      <c r="C84" s="238">
        <f>Dat_02!B83</f>
        <v>44458</v>
      </c>
      <c r="D84" s="237"/>
      <c r="E84" s="240">
        <f>Dat_02!C83</f>
        <v>11.033212529874065</v>
      </c>
      <c r="F84" s="240">
        <f>Dat_02!D83</f>
        <v>21.014323006984561</v>
      </c>
      <c r="G84" s="240">
        <f>Dat_02!E83</f>
        <v>11.033212529874065</v>
      </c>
      <c r="I84" s="241">
        <f>Dat_02!G83</f>
        <v>0</v>
      </c>
      <c r="J84" s="251" t="str">
        <f>IF(Dat_02!H83=0,"",Dat_02!H83)</f>
        <v/>
      </c>
    </row>
    <row r="85" spans="2:10">
      <c r="B85" s="237"/>
      <c r="C85" s="238">
        <f>Dat_02!B84</f>
        <v>44459</v>
      </c>
      <c r="D85" s="237"/>
      <c r="E85" s="240">
        <f>Dat_02!C84</f>
        <v>12.408188627872201</v>
      </c>
      <c r="F85" s="240">
        <f>Dat_02!D84</f>
        <v>21.014323006984561</v>
      </c>
      <c r="G85" s="240">
        <f>Dat_02!E84</f>
        <v>12.408188627872201</v>
      </c>
      <c r="I85" s="241">
        <f>Dat_02!G84</f>
        <v>0</v>
      </c>
      <c r="J85" s="251" t="str">
        <f>IF(Dat_02!H84=0,"",Dat_02!H84)</f>
        <v/>
      </c>
    </row>
    <row r="86" spans="2:10">
      <c r="B86" s="237"/>
      <c r="C86" s="238">
        <f>Dat_02!B85</f>
        <v>44460</v>
      </c>
      <c r="D86" s="237"/>
      <c r="E86" s="240">
        <f>Dat_02!C85</f>
        <v>11.887315421872204</v>
      </c>
      <c r="F86" s="240">
        <f>Dat_02!D85</f>
        <v>21.014323006984561</v>
      </c>
      <c r="G86" s="240">
        <f>Dat_02!E85</f>
        <v>11.887315421872204</v>
      </c>
      <c r="I86" s="241">
        <f>Dat_02!G85</f>
        <v>0</v>
      </c>
      <c r="J86" s="251" t="str">
        <f>IF(Dat_02!H85=0,"",Dat_02!H85)</f>
        <v/>
      </c>
    </row>
    <row r="87" spans="2:10">
      <c r="B87" s="237"/>
      <c r="C87" s="238">
        <f>Dat_02!B86</f>
        <v>44461</v>
      </c>
      <c r="D87" s="237"/>
      <c r="E87" s="240">
        <f>Dat_02!C86</f>
        <v>24.565719547283638</v>
      </c>
      <c r="F87" s="240">
        <f>Dat_02!D86</f>
        <v>21.014323006984561</v>
      </c>
      <c r="G87" s="240">
        <f>Dat_02!E86</f>
        <v>21.014323006984561</v>
      </c>
      <c r="I87" s="241">
        <f>Dat_02!G86</f>
        <v>0</v>
      </c>
      <c r="J87" s="251" t="str">
        <f>IF(Dat_02!H86=0,"",Dat_02!H86)</f>
        <v/>
      </c>
    </row>
    <row r="88" spans="2:10">
      <c r="B88" s="237"/>
      <c r="C88" s="238">
        <f>Dat_02!B87</f>
        <v>44462</v>
      </c>
      <c r="D88" s="237"/>
      <c r="E88" s="240">
        <f>Dat_02!C87</f>
        <v>18.78037494927991</v>
      </c>
      <c r="F88" s="240">
        <f>Dat_02!D87</f>
        <v>21.014323006984561</v>
      </c>
      <c r="G88" s="240">
        <f>Dat_02!E87</f>
        <v>18.78037494927991</v>
      </c>
      <c r="I88" s="241">
        <f>Dat_02!G87</f>
        <v>0</v>
      </c>
      <c r="J88" s="251" t="str">
        <f>IF(Dat_02!H87=0,"",Dat_02!H87)</f>
        <v/>
      </c>
    </row>
    <row r="89" spans="2:10">
      <c r="B89" s="237"/>
      <c r="C89" s="238">
        <f>Dat_02!B88</f>
        <v>44463</v>
      </c>
      <c r="D89" s="237"/>
      <c r="E89" s="240">
        <f>Dat_02!C88</f>
        <v>28.647999827281776</v>
      </c>
      <c r="F89" s="240">
        <f>Dat_02!D88</f>
        <v>21.014323006984561</v>
      </c>
      <c r="G89" s="240">
        <f>Dat_02!E88</f>
        <v>21.014323006984561</v>
      </c>
      <c r="I89" s="241">
        <f>Dat_02!G88</f>
        <v>0</v>
      </c>
      <c r="J89" s="251" t="str">
        <f>IF(Dat_02!H88=0,"",Dat_02!H88)</f>
        <v/>
      </c>
    </row>
    <row r="90" spans="2:10">
      <c r="B90" s="237"/>
      <c r="C90" s="238">
        <f>Dat_02!B89</f>
        <v>44464</v>
      </c>
      <c r="D90" s="237"/>
      <c r="E90" s="240">
        <f>Dat_02!C89</f>
        <v>21.776072683282706</v>
      </c>
      <c r="F90" s="240">
        <f>Dat_02!D89</f>
        <v>21.014323006984561</v>
      </c>
      <c r="G90" s="240">
        <f>Dat_02!E89</f>
        <v>21.014323006984561</v>
      </c>
      <c r="I90" s="241">
        <f>Dat_02!G89</f>
        <v>0</v>
      </c>
      <c r="J90" s="251" t="str">
        <f>IF(Dat_02!H89=0,"",Dat_02!H89)</f>
        <v/>
      </c>
    </row>
    <row r="91" spans="2:10">
      <c r="B91" s="237"/>
      <c r="C91" s="238">
        <f>Dat_02!B90</f>
        <v>44465</v>
      </c>
      <c r="D91" s="237"/>
      <c r="E91" s="240">
        <f>Dat_02!C90</f>
        <v>15.501655585280846</v>
      </c>
      <c r="F91" s="240">
        <f>Dat_02!D90</f>
        <v>21.014323006984561</v>
      </c>
      <c r="G91" s="240">
        <f>Dat_02!E90</f>
        <v>15.501655585280846</v>
      </c>
      <c r="I91" s="241">
        <f>Dat_02!G90</f>
        <v>0</v>
      </c>
      <c r="J91" s="251" t="str">
        <f>IF(Dat_02!H90=0,"",Dat_02!H90)</f>
        <v/>
      </c>
    </row>
    <row r="92" spans="2:10">
      <c r="B92" s="237"/>
      <c r="C92" s="238">
        <f>Dat_02!B91</f>
        <v>44466</v>
      </c>
      <c r="D92" s="237"/>
      <c r="E92" s="240">
        <f>Dat_02!C91</f>
        <v>22.111520435282706</v>
      </c>
      <c r="F92" s="240">
        <f>Dat_02!D91</f>
        <v>21.014323006984561</v>
      </c>
      <c r="G92" s="240">
        <f>Dat_02!E91</f>
        <v>21.014323006984561</v>
      </c>
      <c r="I92" s="241">
        <f>Dat_02!G91</f>
        <v>0</v>
      </c>
      <c r="J92" s="251" t="str">
        <f>IF(Dat_02!H91=0,"",Dat_02!H91)</f>
        <v/>
      </c>
    </row>
    <row r="93" spans="2:10">
      <c r="B93" s="237"/>
      <c r="C93" s="238">
        <f>Dat_02!B92</f>
        <v>44467</v>
      </c>
      <c r="D93" s="237"/>
      <c r="E93" s="240">
        <f>Dat_02!C92</f>
        <v>31.315857271280844</v>
      </c>
      <c r="F93" s="240">
        <f>Dat_02!D92</f>
        <v>21.014323006984561</v>
      </c>
      <c r="G93" s="240">
        <f>Dat_02!E92</f>
        <v>21.014323006984561</v>
      </c>
      <c r="I93" s="241">
        <f>Dat_02!G92</f>
        <v>0</v>
      </c>
      <c r="J93" s="251" t="str">
        <f>IF(Dat_02!H92=0,"",Dat_02!H92)</f>
        <v/>
      </c>
    </row>
    <row r="94" spans="2:10">
      <c r="B94" s="237"/>
      <c r="C94" s="238">
        <f>Dat_02!B93</f>
        <v>44468</v>
      </c>
      <c r="D94" s="237"/>
      <c r="E94" s="240">
        <f>Dat_02!C93</f>
        <v>21.160280351840992</v>
      </c>
      <c r="F94" s="240">
        <f>Dat_02!D93</f>
        <v>21.014323006984561</v>
      </c>
      <c r="G94" s="240">
        <f>Dat_02!E93</f>
        <v>21.014323006984561</v>
      </c>
      <c r="I94" s="241">
        <f>Dat_02!G93</f>
        <v>0</v>
      </c>
      <c r="J94" s="251" t="str">
        <f>IF(Dat_02!H93=0,"",Dat_02!H93)</f>
        <v/>
      </c>
    </row>
    <row r="95" spans="2:10">
      <c r="B95" s="239"/>
      <c r="C95" s="238">
        <f>Dat_02!B94</f>
        <v>44469</v>
      </c>
      <c r="D95" s="239"/>
      <c r="E95" s="240">
        <f>Dat_02!C94</f>
        <v>20.742861095840059</v>
      </c>
      <c r="F95" s="240">
        <f>Dat_02!D94</f>
        <v>21.014323006984561</v>
      </c>
      <c r="G95" s="240">
        <f>Dat_02!E94</f>
        <v>20.742861095840059</v>
      </c>
      <c r="I95" s="241">
        <f>Dat_02!G94</f>
        <v>0</v>
      </c>
      <c r="J95" s="251" t="str">
        <f>IF(Dat_02!H94=0,"",Dat_02!H94)</f>
        <v/>
      </c>
    </row>
    <row r="96" spans="2:10">
      <c r="B96" s="239" t="s">
        <v>211</v>
      </c>
      <c r="C96" s="238">
        <f>Dat_02!B95</f>
        <v>44470</v>
      </c>
      <c r="D96" s="239"/>
      <c r="E96" s="240">
        <f>Dat_02!C95</f>
        <v>26.522195107839128</v>
      </c>
      <c r="F96" s="240">
        <f>Dat_02!D95</f>
        <v>42.895784539321873</v>
      </c>
      <c r="G96" s="240">
        <f>Dat_02!E95</f>
        <v>26.522195107839128</v>
      </c>
      <c r="I96" s="241">
        <f>Dat_02!G95</f>
        <v>0</v>
      </c>
      <c r="J96" s="251" t="str">
        <f>IF(Dat_02!H95=0,"",Dat_02!H95)</f>
        <v/>
      </c>
    </row>
    <row r="97" spans="2:10">
      <c r="B97" s="239"/>
      <c r="C97" s="238">
        <f>Dat_02!B96</f>
        <v>44471</v>
      </c>
      <c r="D97" s="239"/>
      <c r="E97" s="240">
        <f>Dat_02!C96</f>
        <v>11.450506385840995</v>
      </c>
      <c r="F97" s="240">
        <f>Dat_02!D96</f>
        <v>42.895784539321873</v>
      </c>
      <c r="G97" s="240">
        <f>Dat_02!E96</f>
        <v>11.450506385840995</v>
      </c>
      <c r="I97" s="241">
        <f>Dat_02!G96</f>
        <v>0</v>
      </c>
      <c r="J97" s="251" t="str">
        <f>IF(Dat_02!H96=0,"",Dat_02!H96)</f>
        <v/>
      </c>
    </row>
    <row r="98" spans="2:10">
      <c r="B98" s="237"/>
      <c r="C98" s="238">
        <f>Dat_02!B97</f>
        <v>44472</v>
      </c>
      <c r="D98" s="237"/>
      <c r="E98" s="240">
        <f>Dat_02!C97</f>
        <v>7.0336940938400625</v>
      </c>
      <c r="F98" s="240">
        <f>Dat_02!D97</f>
        <v>42.895784539321873</v>
      </c>
      <c r="G98" s="240">
        <f>Dat_02!E97</f>
        <v>7.0336940938400625</v>
      </c>
      <c r="I98" s="241">
        <f>Dat_02!G97</f>
        <v>0</v>
      </c>
      <c r="J98" s="251" t="str">
        <f>IF(Dat_02!H97=0,"",Dat_02!H97)</f>
        <v/>
      </c>
    </row>
    <row r="99" spans="2:10">
      <c r="B99" s="237"/>
      <c r="C99" s="238">
        <f>Dat_02!B98</f>
        <v>44473</v>
      </c>
      <c r="D99" s="237"/>
      <c r="E99" s="240">
        <f>Dat_02!C98</f>
        <v>20.078182471840059</v>
      </c>
      <c r="F99" s="240">
        <f>Dat_02!D98</f>
        <v>42.895784539321873</v>
      </c>
      <c r="G99" s="240">
        <f>Dat_02!E98</f>
        <v>20.078182471840059</v>
      </c>
      <c r="I99" s="241">
        <f>Dat_02!G98</f>
        <v>0</v>
      </c>
      <c r="J99" s="251" t="str">
        <f>IF(Dat_02!H98=0,"",Dat_02!H98)</f>
        <v/>
      </c>
    </row>
    <row r="100" spans="2:10">
      <c r="B100" s="237"/>
      <c r="C100" s="238">
        <f>Dat_02!B99</f>
        <v>44474</v>
      </c>
      <c r="D100" s="237"/>
      <c r="E100" s="240">
        <f>Dat_02!C99</f>
        <v>20.407965117839129</v>
      </c>
      <c r="F100" s="240">
        <f>Dat_02!D99</f>
        <v>42.895784539321873</v>
      </c>
      <c r="G100" s="240">
        <f>Dat_02!E99</f>
        <v>20.407965117839129</v>
      </c>
      <c r="I100" s="241">
        <f>Dat_02!G99</f>
        <v>0</v>
      </c>
      <c r="J100" s="251" t="str">
        <f>IF(Dat_02!H99=0,"",Dat_02!H99)</f>
        <v/>
      </c>
    </row>
    <row r="101" spans="2:10">
      <c r="B101" s="237"/>
      <c r="C101" s="238">
        <f>Dat_02!B100</f>
        <v>44475</v>
      </c>
      <c r="D101" s="237"/>
      <c r="E101" s="240">
        <f>Dat_02!C100</f>
        <v>34.537367477795087</v>
      </c>
      <c r="F101" s="240">
        <f>Dat_02!D100</f>
        <v>42.895784539321873</v>
      </c>
      <c r="G101" s="240">
        <f>Dat_02!E100</f>
        <v>34.537367477795087</v>
      </c>
      <c r="I101" s="241">
        <f>Dat_02!G100</f>
        <v>0</v>
      </c>
      <c r="J101" s="251" t="str">
        <f>IF(Dat_02!H100=0,"",Dat_02!H100)</f>
        <v/>
      </c>
    </row>
    <row r="102" spans="2:10">
      <c r="B102" s="237"/>
      <c r="C102" s="238">
        <f>Dat_02!B101</f>
        <v>44476</v>
      </c>
      <c r="D102" s="237"/>
      <c r="E102" s="240">
        <f>Dat_02!C101</f>
        <v>32.421314555796023</v>
      </c>
      <c r="F102" s="240">
        <f>Dat_02!D101</f>
        <v>42.895784539321873</v>
      </c>
      <c r="G102" s="240">
        <f>Dat_02!E101</f>
        <v>32.421314555796023</v>
      </c>
      <c r="I102" s="241">
        <f>Dat_02!G101</f>
        <v>0</v>
      </c>
      <c r="J102" s="251" t="str">
        <f>IF(Dat_02!H101=0,"",Dat_02!H101)</f>
        <v/>
      </c>
    </row>
    <row r="103" spans="2:10">
      <c r="B103" s="237"/>
      <c r="C103" s="238">
        <f>Dat_02!B102</f>
        <v>44477</v>
      </c>
      <c r="D103" s="237"/>
      <c r="E103" s="240">
        <f>Dat_02!C102</f>
        <v>28.830218095796024</v>
      </c>
      <c r="F103" s="240">
        <f>Dat_02!D102</f>
        <v>42.895784539321873</v>
      </c>
      <c r="G103" s="240">
        <f>Dat_02!E102</f>
        <v>28.830218095796024</v>
      </c>
      <c r="I103" s="241">
        <f>Dat_02!G102</f>
        <v>0</v>
      </c>
      <c r="J103" s="251" t="str">
        <f>IF(Dat_02!H102=0,"",Dat_02!H102)</f>
        <v/>
      </c>
    </row>
    <row r="104" spans="2:10">
      <c r="B104" s="237"/>
      <c r="C104" s="238">
        <f>Dat_02!B103</f>
        <v>44478</v>
      </c>
      <c r="D104" s="237"/>
      <c r="E104" s="240">
        <f>Dat_02!C103</f>
        <v>26.074201315795086</v>
      </c>
      <c r="F104" s="240">
        <f>Dat_02!D103</f>
        <v>42.895784539321873</v>
      </c>
      <c r="G104" s="240">
        <f>Dat_02!E103</f>
        <v>26.074201315795086</v>
      </c>
      <c r="I104" s="241">
        <f>Dat_02!G103</f>
        <v>0</v>
      </c>
      <c r="J104" s="251" t="str">
        <f>IF(Dat_02!H103=0,"",Dat_02!H103)</f>
        <v/>
      </c>
    </row>
    <row r="105" spans="2:10">
      <c r="B105" s="237"/>
      <c r="C105" s="238">
        <f>Dat_02!B104</f>
        <v>44479</v>
      </c>
      <c r="D105" s="237"/>
      <c r="E105" s="240">
        <f>Dat_02!C104</f>
        <v>14.97372190579509</v>
      </c>
      <c r="F105" s="240">
        <f>Dat_02!D104</f>
        <v>42.895784539321873</v>
      </c>
      <c r="G105" s="240">
        <f>Dat_02!E104</f>
        <v>14.97372190579509</v>
      </c>
      <c r="I105" s="241">
        <f>Dat_02!G104</f>
        <v>0</v>
      </c>
      <c r="J105" s="251" t="str">
        <f>IF(Dat_02!H104=0,"",Dat_02!H104)</f>
        <v/>
      </c>
    </row>
    <row r="106" spans="2:10">
      <c r="B106" s="237"/>
      <c r="C106" s="238">
        <f>Dat_02!B105</f>
        <v>44480</v>
      </c>
      <c r="D106" s="237"/>
      <c r="E106" s="240">
        <f>Dat_02!C105</f>
        <v>18.989537715795091</v>
      </c>
      <c r="F106" s="240">
        <f>Dat_02!D105</f>
        <v>42.895784539321873</v>
      </c>
      <c r="G106" s="240">
        <f>Dat_02!E105</f>
        <v>18.989537715795091</v>
      </c>
      <c r="I106" s="241">
        <f>Dat_02!G105</f>
        <v>0</v>
      </c>
      <c r="J106" s="251" t="str">
        <f>IF(Dat_02!H105=0,"",Dat_02!H105)</f>
        <v/>
      </c>
    </row>
    <row r="107" spans="2:10">
      <c r="B107" s="237"/>
      <c r="C107" s="238">
        <f>Dat_02!B106</f>
        <v>44481</v>
      </c>
      <c r="D107" s="237"/>
      <c r="E107" s="240">
        <f>Dat_02!C106</f>
        <v>16.810403215795091</v>
      </c>
      <c r="F107" s="240">
        <f>Dat_02!D106</f>
        <v>42.895784539321873</v>
      </c>
      <c r="G107" s="240">
        <f>Dat_02!E106</f>
        <v>16.810403215795091</v>
      </c>
      <c r="I107" s="241">
        <f>Dat_02!G106</f>
        <v>0</v>
      </c>
      <c r="J107" s="251" t="str">
        <f>IF(Dat_02!H106=0,"",Dat_02!H106)</f>
        <v/>
      </c>
    </row>
    <row r="108" spans="2:10">
      <c r="B108" s="237"/>
      <c r="C108" s="238">
        <f>Dat_02!B107</f>
        <v>44482</v>
      </c>
      <c r="D108" s="237"/>
      <c r="E108" s="240">
        <f>Dat_02!C107</f>
        <v>9.6915650946646714</v>
      </c>
      <c r="F108" s="240">
        <f>Dat_02!D107</f>
        <v>42.895784539321873</v>
      </c>
      <c r="G108" s="240">
        <f>Dat_02!E107</f>
        <v>9.6915650946646714</v>
      </c>
      <c r="I108" s="241">
        <f>Dat_02!G107</f>
        <v>0</v>
      </c>
      <c r="J108" s="251" t="str">
        <f>IF(Dat_02!H107=0,"",Dat_02!H107)</f>
        <v/>
      </c>
    </row>
    <row r="109" spans="2:10">
      <c r="B109" s="237"/>
      <c r="C109" s="238">
        <f>Dat_02!B108</f>
        <v>44483</v>
      </c>
      <c r="D109" s="237"/>
      <c r="E109" s="240">
        <f>Dat_02!C108</f>
        <v>21.102004324664666</v>
      </c>
      <c r="F109" s="240">
        <f>Dat_02!D108</f>
        <v>42.895784539321873</v>
      </c>
      <c r="G109" s="240">
        <f>Dat_02!E108</f>
        <v>21.102004324664666</v>
      </c>
      <c r="I109" s="241">
        <f>Dat_02!G108</f>
        <v>0</v>
      </c>
      <c r="J109" s="251" t="str">
        <f>IF(Dat_02!H108=0,"",Dat_02!H108)</f>
        <v/>
      </c>
    </row>
    <row r="110" spans="2:10">
      <c r="B110" s="237"/>
      <c r="C110" s="238">
        <f>Dat_02!B109</f>
        <v>44484</v>
      </c>
      <c r="D110" s="237"/>
      <c r="E110" s="240">
        <f>Dat_02!C109</f>
        <v>22.793578934664669</v>
      </c>
      <c r="F110" s="240">
        <f>Dat_02!D109</f>
        <v>42.895784539321873</v>
      </c>
      <c r="G110" s="240">
        <f>Dat_02!E109</f>
        <v>22.793578934664669</v>
      </c>
      <c r="I110" s="241">
        <f>Dat_02!G109</f>
        <v>42.895784539321873</v>
      </c>
      <c r="J110" s="251" t="str">
        <f>IF(Dat_02!H109=0,"",Dat_02!H109)</f>
        <v/>
      </c>
    </row>
    <row r="111" spans="2:10">
      <c r="B111" s="237"/>
      <c r="C111" s="238">
        <f>Dat_02!B110</f>
        <v>44485</v>
      </c>
      <c r="D111" s="237"/>
      <c r="E111" s="240">
        <f>Dat_02!C110</f>
        <v>22.891749824663741</v>
      </c>
      <c r="F111" s="240">
        <f>Dat_02!D110</f>
        <v>42.895784539321873</v>
      </c>
      <c r="G111" s="240">
        <f>Dat_02!E110</f>
        <v>22.891749824663741</v>
      </c>
      <c r="I111" s="241">
        <f>Dat_02!G110</f>
        <v>0</v>
      </c>
      <c r="J111" s="251" t="str">
        <f>IF(Dat_02!H110=0,"",Dat_02!H110)</f>
        <v/>
      </c>
    </row>
    <row r="112" spans="2:10">
      <c r="B112" s="237"/>
      <c r="C112" s="238">
        <f>Dat_02!B111</f>
        <v>44486</v>
      </c>
      <c r="D112" s="237"/>
      <c r="E112" s="240">
        <f>Dat_02!C111</f>
        <v>20.531404104664666</v>
      </c>
      <c r="F112" s="240">
        <f>Dat_02!D111</f>
        <v>42.895784539321873</v>
      </c>
      <c r="G112" s="240">
        <f>Dat_02!E111</f>
        <v>20.531404104664666</v>
      </c>
      <c r="I112" s="241">
        <f>Dat_02!G111</f>
        <v>0</v>
      </c>
      <c r="J112" s="251" t="str">
        <f>IF(Dat_02!H111=0,"",Dat_02!H111)</f>
        <v/>
      </c>
    </row>
    <row r="113" spans="2:10">
      <c r="B113" s="237"/>
      <c r="C113" s="238">
        <f>Dat_02!B112</f>
        <v>44487</v>
      </c>
      <c r="D113" s="237"/>
      <c r="E113" s="240">
        <f>Dat_02!C112</f>
        <v>20.055615194663741</v>
      </c>
      <c r="F113" s="240">
        <f>Dat_02!D112</f>
        <v>42.895784539321873</v>
      </c>
      <c r="G113" s="240">
        <f>Dat_02!E112</f>
        <v>20.055615194663741</v>
      </c>
      <c r="I113" s="241">
        <f>Dat_02!G112</f>
        <v>0</v>
      </c>
      <c r="J113" s="251" t="str">
        <f>IF(Dat_02!H112=0,"",Dat_02!H112)</f>
        <v/>
      </c>
    </row>
    <row r="114" spans="2:10">
      <c r="B114" s="237"/>
      <c r="C114" s="238">
        <f>Dat_02!B113</f>
        <v>44488</v>
      </c>
      <c r="D114" s="237"/>
      <c r="E114" s="240">
        <f>Dat_02!C113</f>
        <v>13.659925614663738</v>
      </c>
      <c r="F114" s="240">
        <f>Dat_02!D113</f>
        <v>42.895784539321873</v>
      </c>
      <c r="G114" s="240">
        <f>Dat_02!E113</f>
        <v>13.659925614663738</v>
      </c>
      <c r="I114" s="241">
        <f>Dat_02!G113</f>
        <v>0</v>
      </c>
      <c r="J114" s="251" t="str">
        <f>IF(Dat_02!H113=0,"",Dat_02!H113)</f>
        <v/>
      </c>
    </row>
    <row r="115" spans="2:10">
      <c r="B115" s="237"/>
      <c r="C115" s="238">
        <f>Dat_02!B114</f>
        <v>44489</v>
      </c>
      <c r="D115" s="237"/>
      <c r="E115" s="240">
        <f>Dat_02!C114</f>
        <v>15.363624254522176</v>
      </c>
      <c r="F115" s="240">
        <f>Dat_02!D114</f>
        <v>42.895784539321873</v>
      </c>
      <c r="G115" s="240">
        <f>Dat_02!E114</f>
        <v>15.363624254522176</v>
      </c>
      <c r="I115" s="241">
        <f>Dat_02!G114</f>
        <v>0</v>
      </c>
      <c r="J115" s="251" t="str">
        <f>IF(Dat_02!H114=0,"",Dat_02!H114)</f>
        <v/>
      </c>
    </row>
    <row r="116" spans="2:10">
      <c r="B116" s="237"/>
      <c r="C116" s="238">
        <f>Dat_02!B115</f>
        <v>44490</v>
      </c>
      <c r="D116" s="237"/>
      <c r="E116" s="240">
        <f>Dat_02!C115</f>
        <v>22.04892331452125</v>
      </c>
      <c r="F116" s="240">
        <f>Dat_02!D115</f>
        <v>42.895784539321873</v>
      </c>
      <c r="G116" s="240">
        <f>Dat_02!E115</f>
        <v>22.04892331452125</v>
      </c>
      <c r="I116" s="241">
        <f>Dat_02!G115</f>
        <v>0</v>
      </c>
      <c r="J116" s="251" t="str">
        <f>IF(Dat_02!H115=0,"",Dat_02!H115)</f>
        <v/>
      </c>
    </row>
    <row r="117" spans="2:10">
      <c r="B117" s="237"/>
      <c r="C117" s="238">
        <f>Dat_02!B116</f>
        <v>44491</v>
      </c>
      <c r="D117" s="237"/>
      <c r="E117" s="240">
        <f>Dat_02!C116</f>
        <v>15.953329024523107</v>
      </c>
      <c r="F117" s="240">
        <f>Dat_02!D116</f>
        <v>42.895784539321873</v>
      </c>
      <c r="G117" s="240">
        <f>Dat_02!E116</f>
        <v>15.953329024523107</v>
      </c>
      <c r="I117" s="241">
        <f>Dat_02!G116</f>
        <v>0</v>
      </c>
      <c r="J117" s="251" t="str">
        <f>IF(Dat_02!H116=0,"",Dat_02!H116)</f>
        <v/>
      </c>
    </row>
    <row r="118" spans="2:10">
      <c r="B118" s="237"/>
      <c r="C118" s="238">
        <f>Dat_02!B117</f>
        <v>44492</v>
      </c>
      <c r="D118" s="237"/>
      <c r="E118" s="240">
        <f>Dat_02!C117</f>
        <v>16.079614874521244</v>
      </c>
      <c r="F118" s="240">
        <f>Dat_02!D117</f>
        <v>42.895784539321873</v>
      </c>
      <c r="G118" s="240">
        <f>Dat_02!E117</f>
        <v>16.079614874521244</v>
      </c>
      <c r="I118" s="241">
        <f>Dat_02!G117</f>
        <v>0</v>
      </c>
      <c r="J118" s="251" t="str">
        <f>IF(Dat_02!H117=0,"",Dat_02!H117)</f>
        <v/>
      </c>
    </row>
    <row r="119" spans="2:10">
      <c r="B119" s="237"/>
      <c r="C119" s="238">
        <f>Dat_02!B118</f>
        <v>44493</v>
      </c>
      <c r="D119" s="237"/>
      <c r="E119" s="240">
        <f>Dat_02!C118</f>
        <v>16.836174644522178</v>
      </c>
      <c r="F119" s="240">
        <f>Dat_02!D118</f>
        <v>42.895784539321873</v>
      </c>
      <c r="G119" s="240">
        <f>Dat_02!E118</f>
        <v>16.836174644522178</v>
      </c>
      <c r="I119" s="241">
        <f>Dat_02!G118</f>
        <v>0</v>
      </c>
      <c r="J119" s="251" t="str">
        <f>IF(Dat_02!H118=0,"",Dat_02!H118)</f>
        <v/>
      </c>
    </row>
    <row r="120" spans="2:10">
      <c r="B120" s="237"/>
      <c r="C120" s="238">
        <f>Dat_02!B119</f>
        <v>44494</v>
      </c>
      <c r="D120" s="237"/>
      <c r="E120" s="240">
        <f>Dat_02!C119</f>
        <v>28.025825204521244</v>
      </c>
      <c r="F120" s="240">
        <f>Dat_02!D119</f>
        <v>42.895784539321873</v>
      </c>
      <c r="G120" s="240">
        <f>Dat_02!E119</f>
        <v>28.025825204521244</v>
      </c>
      <c r="I120" s="241">
        <f>Dat_02!G119</f>
        <v>0</v>
      </c>
      <c r="J120" s="251" t="str">
        <f>IF(Dat_02!H119=0,"",Dat_02!H119)</f>
        <v/>
      </c>
    </row>
    <row r="121" spans="2:10">
      <c r="B121" s="237"/>
      <c r="C121" s="238">
        <f>Dat_02!B120</f>
        <v>44495</v>
      </c>
      <c r="D121" s="237"/>
      <c r="E121" s="240">
        <f>Dat_02!C120</f>
        <v>20.552402704523111</v>
      </c>
      <c r="F121" s="240">
        <f>Dat_02!D120</f>
        <v>42.895784539321873</v>
      </c>
      <c r="G121" s="240">
        <f>Dat_02!E120</f>
        <v>20.552402704523111</v>
      </c>
      <c r="I121" s="241">
        <f>Dat_02!G120</f>
        <v>0</v>
      </c>
      <c r="J121" s="251" t="str">
        <f>IF(Dat_02!H120=0,"",Dat_02!H120)</f>
        <v/>
      </c>
    </row>
    <row r="122" spans="2:10">
      <c r="B122" s="237"/>
      <c r="C122" s="238">
        <f>Dat_02!B121</f>
        <v>44496</v>
      </c>
      <c r="D122" s="237"/>
      <c r="E122" s="240">
        <f>Dat_02!C121</f>
        <v>38.627298912769433</v>
      </c>
      <c r="F122" s="240">
        <f>Dat_02!D121</f>
        <v>42.895784539321873</v>
      </c>
      <c r="G122" s="240">
        <f>Dat_02!E121</f>
        <v>38.627298912769433</v>
      </c>
      <c r="I122" s="241">
        <f>Dat_02!G121</f>
        <v>0</v>
      </c>
      <c r="J122" s="251" t="str">
        <f>IF(Dat_02!H121=0,"",Dat_02!H121)</f>
        <v/>
      </c>
    </row>
    <row r="123" spans="2:10">
      <c r="B123" s="237"/>
      <c r="C123" s="238">
        <f>Dat_02!B122</f>
        <v>44497</v>
      </c>
      <c r="D123" s="237"/>
      <c r="E123" s="240">
        <f>Dat_02!C122</f>
        <v>29.895004102771292</v>
      </c>
      <c r="F123" s="240">
        <f>Dat_02!D122</f>
        <v>42.895784539321873</v>
      </c>
      <c r="G123" s="240">
        <f>Dat_02!E122</f>
        <v>29.895004102771292</v>
      </c>
      <c r="I123" s="241">
        <f>Dat_02!G122</f>
        <v>0</v>
      </c>
      <c r="J123" s="251" t="str">
        <f>IF(Dat_02!H122=0,"",Dat_02!H122)</f>
        <v/>
      </c>
    </row>
    <row r="124" spans="2:10">
      <c r="B124" s="237"/>
      <c r="C124" s="238">
        <f>Dat_02!B123</f>
        <v>44498</v>
      </c>
      <c r="D124" s="237"/>
      <c r="E124" s="240">
        <f>Dat_02!C123</f>
        <v>25.749818082769426</v>
      </c>
      <c r="F124" s="240">
        <f>Dat_02!D123</f>
        <v>42.895784539321873</v>
      </c>
      <c r="G124" s="240">
        <f>Dat_02!E123</f>
        <v>25.749818082769426</v>
      </c>
      <c r="I124" s="241">
        <f>Dat_02!G123</f>
        <v>0</v>
      </c>
      <c r="J124" s="251" t="str">
        <f>IF(Dat_02!H123=0,"",Dat_02!H123)</f>
        <v/>
      </c>
    </row>
    <row r="125" spans="2:10">
      <c r="B125" s="239"/>
      <c r="C125" s="238">
        <f>Dat_02!B124</f>
        <v>44499</v>
      </c>
      <c r="D125" s="237"/>
      <c r="E125" s="240">
        <f>Dat_02!C124</f>
        <v>27.030004642770361</v>
      </c>
      <c r="F125" s="240">
        <f>Dat_02!D124</f>
        <v>42.895784539321873</v>
      </c>
      <c r="G125" s="240">
        <f>Dat_02!E124</f>
        <v>27.030004642770361</v>
      </c>
      <c r="I125" s="241">
        <f>Dat_02!G124</f>
        <v>0</v>
      </c>
      <c r="J125" s="251" t="str">
        <f>IF(Dat_02!H124=0,"",Dat_02!H124)</f>
        <v/>
      </c>
    </row>
    <row r="126" spans="2:10">
      <c r="B126" s="239"/>
      <c r="C126" s="238">
        <f>Dat_02!B125</f>
        <v>44500</v>
      </c>
      <c r="D126" s="239"/>
      <c r="E126" s="240">
        <f>Dat_02!C125</f>
        <v>14.640549322768496</v>
      </c>
      <c r="F126" s="240">
        <f>Dat_02!D125</f>
        <v>42.895784539321873</v>
      </c>
      <c r="G126" s="240">
        <f>Dat_02!E125</f>
        <v>14.640549322768496</v>
      </c>
      <c r="I126" s="241">
        <f>Dat_02!G125</f>
        <v>0</v>
      </c>
      <c r="J126" s="251" t="str">
        <f>IF(Dat_02!H125=0,"",Dat_02!H125)</f>
        <v/>
      </c>
    </row>
    <row r="127" spans="2:10">
      <c r="B127" s="239" t="s">
        <v>212</v>
      </c>
      <c r="C127" s="238">
        <f>Dat_02!B126</f>
        <v>44501</v>
      </c>
      <c r="D127" s="239"/>
      <c r="E127" s="240">
        <f>Dat_02!C126</f>
        <v>22.313917842770358</v>
      </c>
      <c r="F127" s="240">
        <f>Dat_02!D126</f>
        <v>83.114057360768328</v>
      </c>
      <c r="G127" s="240">
        <f>Dat_02!E126</f>
        <v>22.313917842770358</v>
      </c>
      <c r="I127" s="241">
        <f>Dat_02!G126</f>
        <v>0</v>
      </c>
      <c r="J127" s="251" t="str">
        <f>IF(Dat_02!H126=0,"",Dat_02!H126)</f>
        <v/>
      </c>
    </row>
    <row r="128" spans="2:10">
      <c r="B128" s="237"/>
      <c r="C128" s="238">
        <f>Dat_02!B127</f>
        <v>44502</v>
      </c>
      <c r="D128" s="239"/>
      <c r="E128" s="240">
        <f>Dat_02!C127</f>
        <v>28.912959306771292</v>
      </c>
      <c r="F128" s="240">
        <f>Dat_02!D127</f>
        <v>83.114057360768328</v>
      </c>
      <c r="G128" s="240">
        <f>Dat_02!E127</f>
        <v>28.912959306771292</v>
      </c>
      <c r="I128" s="241">
        <f>Dat_02!G127</f>
        <v>0</v>
      </c>
      <c r="J128" s="251" t="str">
        <f>IF(Dat_02!H127=0,"",Dat_02!H127)</f>
        <v/>
      </c>
    </row>
    <row r="129" spans="2:10">
      <c r="B129" s="237"/>
      <c r="C129" s="238">
        <f>Dat_02!B128</f>
        <v>44503</v>
      </c>
      <c r="D129" s="237"/>
      <c r="E129" s="240">
        <f>Dat_02!C128</f>
        <v>55.970923198660778</v>
      </c>
      <c r="F129" s="240">
        <f>Dat_02!D128</f>
        <v>83.114057360768328</v>
      </c>
      <c r="G129" s="240">
        <f>Dat_02!E128</f>
        <v>55.970923198660778</v>
      </c>
      <c r="I129" s="241">
        <f>Dat_02!G128</f>
        <v>0</v>
      </c>
      <c r="J129" s="251" t="str">
        <f>IF(Dat_02!H128=0,"",Dat_02!H128)</f>
        <v/>
      </c>
    </row>
    <row r="130" spans="2:10">
      <c r="B130" s="237"/>
      <c r="C130" s="238">
        <f>Dat_02!B129</f>
        <v>44504</v>
      </c>
      <c r="D130" s="237"/>
      <c r="E130" s="240">
        <f>Dat_02!C129</f>
        <v>53.446203498659841</v>
      </c>
      <c r="F130" s="240">
        <f>Dat_02!D129</f>
        <v>83.114057360768328</v>
      </c>
      <c r="G130" s="240">
        <f>Dat_02!E129</f>
        <v>53.446203498659841</v>
      </c>
      <c r="I130" s="241">
        <f>Dat_02!G129</f>
        <v>0</v>
      </c>
      <c r="J130" s="251" t="str">
        <f>IF(Dat_02!H129=0,"",Dat_02!H129)</f>
        <v/>
      </c>
    </row>
    <row r="131" spans="2:10">
      <c r="B131" s="237"/>
      <c r="C131" s="238">
        <f>Dat_02!B130</f>
        <v>44505</v>
      </c>
      <c r="D131" s="237"/>
      <c r="E131" s="240">
        <f>Dat_02!C130</f>
        <v>54.771741696662637</v>
      </c>
      <c r="F131" s="240">
        <f>Dat_02!D130</f>
        <v>83.114057360768328</v>
      </c>
      <c r="G131" s="240">
        <f>Dat_02!E130</f>
        <v>54.771741696662637</v>
      </c>
      <c r="I131" s="241">
        <f>Dat_02!G130</f>
        <v>0</v>
      </c>
      <c r="J131" s="251" t="str">
        <f>IF(Dat_02!H130=0,"",Dat_02!H130)</f>
        <v/>
      </c>
    </row>
    <row r="132" spans="2:10">
      <c r="B132" s="237"/>
      <c r="C132" s="238">
        <f>Dat_02!B131</f>
        <v>44506</v>
      </c>
      <c r="D132" s="237"/>
      <c r="E132" s="240">
        <f>Dat_02!C131</f>
        <v>51.570235068661717</v>
      </c>
      <c r="F132" s="240">
        <f>Dat_02!D131</f>
        <v>83.114057360768328</v>
      </c>
      <c r="G132" s="240">
        <f>Dat_02!E131</f>
        <v>51.570235068661717</v>
      </c>
      <c r="I132" s="241">
        <f>Dat_02!G131</f>
        <v>0</v>
      </c>
      <c r="J132" s="251" t="str">
        <f>IF(Dat_02!H131=0,"",Dat_02!H131)</f>
        <v/>
      </c>
    </row>
    <row r="133" spans="2:10">
      <c r="B133" s="237"/>
      <c r="C133" s="238">
        <f>Dat_02!B132</f>
        <v>44507</v>
      </c>
      <c r="D133" s="237"/>
      <c r="E133" s="240">
        <f>Dat_02!C132</f>
        <v>44.703382378660784</v>
      </c>
      <c r="F133" s="240">
        <f>Dat_02!D132</f>
        <v>83.114057360768328</v>
      </c>
      <c r="G133" s="240">
        <f>Dat_02!E132</f>
        <v>44.703382378660784</v>
      </c>
      <c r="I133" s="241">
        <f>Dat_02!G132</f>
        <v>0</v>
      </c>
      <c r="J133" s="251" t="str">
        <f>IF(Dat_02!H132=0,"",Dat_02!H132)</f>
        <v/>
      </c>
    </row>
    <row r="134" spans="2:10">
      <c r="B134" s="237"/>
      <c r="C134" s="238">
        <f>Dat_02!B133</f>
        <v>44508</v>
      </c>
      <c r="D134" s="237"/>
      <c r="E134" s="240">
        <f>Dat_02!C133</f>
        <v>58.176928336660779</v>
      </c>
      <c r="F134" s="240">
        <f>Dat_02!D133</f>
        <v>83.114057360768328</v>
      </c>
      <c r="G134" s="240">
        <f>Dat_02!E133</f>
        <v>58.176928336660779</v>
      </c>
      <c r="I134" s="241">
        <f>Dat_02!G133</f>
        <v>0</v>
      </c>
      <c r="J134" s="251" t="str">
        <f>IF(Dat_02!H133=0,"",Dat_02!H133)</f>
        <v/>
      </c>
    </row>
    <row r="135" spans="2:10">
      <c r="B135" s="237"/>
      <c r="C135" s="238">
        <f>Dat_02!B134</f>
        <v>44509</v>
      </c>
      <c r="D135" s="237"/>
      <c r="E135" s="240">
        <f>Dat_02!C134</f>
        <v>60.36964599866171</v>
      </c>
      <c r="F135" s="240">
        <f>Dat_02!D134</f>
        <v>83.114057360768328</v>
      </c>
      <c r="G135" s="240">
        <f>Dat_02!E134</f>
        <v>60.36964599866171</v>
      </c>
      <c r="I135" s="241">
        <f>Dat_02!G134</f>
        <v>0</v>
      </c>
      <c r="J135" s="251" t="str">
        <f>IF(Dat_02!H134=0,"",Dat_02!H134)</f>
        <v/>
      </c>
    </row>
    <row r="136" spans="2:10">
      <c r="B136" s="237"/>
      <c r="C136" s="238">
        <f>Dat_02!B135</f>
        <v>44510</v>
      </c>
      <c r="D136" s="237"/>
      <c r="E136" s="240">
        <f>Dat_02!C135</f>
        <v>40.97435282420534</v>
      </c>
      <c r="F136" s="240">
        <f>Dat_02!D135</f>
        <v>83.114057360768328</v>
      </c>
      <c r="G136" s="240">
        <f>Dat_02!E135</f>
        <v>40.97435282420534</v>
      </c>
      <c r="I136" s="241">
        <f>Dat_02!G135</f>
        <v>0</v>
      </c>
      <c r="J136" s="251" t="str">
        <f>IF(Dat_02!H135=0,"",Dat_02!H135)</f>
        <v/>
      </c>
    </row>
    <row r="137" spans="2:10">
      <c r="B137" s="237"/>
      <c r="C137" s="238">
        <f>Dat_02!B136</f>
        <v>44511</v>
      </c>
      <c r="D137" s="237"/>
      <c r="E137" s="240">
        <f>Dat_02!C136</f>
        <v>42.417581774205345</v>
      </c>
      <c r="F137" s="240">
        <f>Dat_02!D136</f>
        <v>83.114057360768328</v>
      </c>
      <c r="G137" s="240">
        <f>Dat_02!E136</f>
        <v>42.417581774205345</v>
      </c>
      <c r="I137" s="241">
        <f>Dat_02!G136</f>
        <v>0</v>
      </c>
      <c r="J137" s="251" t="str">
        <f>IF(Dat_02!H136=0,"",Dat_02!H136)</f>
        <v/>
      </c>
    </row>
    <row r="138" spans="2:10">
      <c r="B138" s="237"/>
      <c r="C138" s="238">
        <f>Dat_02!B137</f>
        <v>44512</v>
      </c>
      <c r="D138" s="237"/>
      <c r="E138" s="240">
        <f>Dat_02!C137</f>
        <v>41.176484884206282</v>
      </c>
      <c r="F138" s="240">
        <f>Dat_02!D137</f>
        <v>83.114057360768328</v>
      </c>
      <c r="G138" s="240">
        <f>Dat_02!E137</f>
        <v>41.176484884206282</v>
      </c>
      <c r="I138" s="241">
        <f>Dat_02!G137</f>
        <v>0</v>
      </c>
      <c r="J138" s="251" t="str">
        <f>IF(Dat_02!H137=0,"",Dat_02!H137)</f>
        <v/>
      </c>
    </row>
    <row r="139" spans="2:10">
      <c r="B139" s="237"/>
      <c r="C139" s="238">
        <f>Dat_02!B138</f>
        <v>44513</v>
      </c>
      <c r="D139" s="237"/>
      <c r="E139" s="240">
        <f>Dat_02!C138</f>
        <v>23.390989284206277</v>
      </c>
      <c r="F139" s="240">
        <f>Dat_02!D138</f>
        <v>83.114057360768328</v>
      </c>
      <c r="G139" s="240">
        <f>Dat_02!E138</f>
        <v>23.390989284206277</v>
      </c>
      <c r="I139" s="241">
        <f>Dat_02!G138</f>
        <v>0</v>
      </c>
      <c r="J139" s="251" t="str">
        <f>IF(Dat_02!H138=0,"",Dat_02!H138)</f>
        <v/>
      </c>
    </row>
    <row r="140" spans="2:10">
      <c r="B140" s="237"/>
      <c r="C140" s="238">
        <f>Dat_02!B139</f>
        <v>44514</v>
      </c>
      <c r="D140" s="237"/>
      <c r="E140" s="240">
        <f>Dat_02!C139</f>
        <v>24.434203184204414</v>
      </c>
      <c r="F140" s="240">
        <f>Dat_02!D139</f>
        <v>83.114057360768328</v>
      </c>
      <c r="G140" s="240">
        <f>Dat_02!E139</f>
        <v>24.434203184204414</v>
      </c>
      <c r="I140" s="241">
        <f>Dat_02!G139</f>
        <v>0</v>
      </c>
      <c r="J140" s="251" t="str">
        <f>IF(Dat_02!H139=0,"",Dat_02!H139)</f>
        <v/>
      </c>
    </row>
    <row r="141" spans="2:10">
      <c r="B141" s="237"/>
      <c r="C141" s="238">
        <f>Dat_02!B140</f>
        <v>44515</v>
      </c>
      <c r="D141" s="237"/>
      <c r="E141" s="240">
        <f>Dat_02!C140</f>
        <v>34.052250696206279</v>
      </c>
      <c r="F141" s="240">
        <f>Dat_02!D140</f>
        <v>83.114057360768328</v>
      </c>
      <c r="G141" s="240">
        <f>Dat_02!E140</f>
        <v>34.052250696206279</v>
      </c>
      <c r="I141" s="241">
        <f>Dat_02!G140</f>
        <v>83.114057360768328</v>
      </c>
      <c r="J141" s="251" t="str">
        <f>IF(Dat_02!H140=0,"",Dat_02!H140)</f>
        <v/>
      </c>
    </row>
    <row r="142" spans="2:10">
      <c r="B142" s="237"/>
      <c r="C142" s="238">
        <f>Dat_02!B141</f>
        <v>44516</v>
      </c>
      <c r="D142" s="237"/>
      <c r="E142" s="240">
        <f>Dat_02!C141</f>
        <v>28.129850584206277</v>
      </c>
      <c r="F142" s="240">
        <f>Dat_02!D141</f>
        <v>83.114057360768328</v>
      </c>
      <c r="G142" s="240">
        <f>Dat_02!E141</f>
        <v>28.129850584206277</v>
      </c>
      <c r="I142" s="241">
        <f>Dat_02!G141</f>
        <v>0</v>
      </c>
      <c r="J142" s="251" t="str">
        <f>IF(Dat_02!H141=0,"",Dat_02!H141)</f>
        <v/>
      </c>
    </row>
    <row r="143" spans="2:10">
      <c r="B143" s="237"/>
      <c r="C143" s="238">
        <f>Dat_02!B142</f>
        <v>44517</v>
      </c>
      <c r="D143" s="237"/>
      <c r="E143" s="240">
        <f>Dat_02!C142</f>
        <v>16.031524459577522</v>
      </c>
      <c r="F143" s="240">
        <f>Dat_02!D142</f>
        <v>83.114057360768328</v>
      </c>
      <c r="G143" s="240">
        <f>Dat_02!E142</f>
        <v>16.031524459577522</v>
      </c>
      <c r="I143" s="241">
        <f>Dat_02!G142</f>
        <v>0</v>
      </c>
      <c r="J143" s="251" t="str">
        <f>IF(Dat_02!H142=0,"",Dat_02!H142)</f>
        <v/>
      </c>
    </row>
    <row r="144" spans="2:10">
      <c r="B144" s="237"/>
      <c r="C144" s="238">
        <f>Dat_02!B143</f>
        <v>44518</v>
      </c>
      <c r="D144" s="237"/>
      <c r="E144" s="240">
        <f>Dat_02!C143</f>
        <v>19.834301079575656</v>
      </c>
      <c r="F144" s="240">
        <f>Dat_02!D143</f>
        <v>83.114057360768328</v>
      </c>
      <c r="G144" s="240">
        <f>Dat_02!E143</f>
        <v>19.834301079575656</v>
      </c>
      <c r="I144" s="241">
        <f>Dat_02!G143</f>
        <v>0</v>
      </c>
      <c r="J144" s="251" t="str">
        <f>IF(Dat_02!H143=0,"",Dat_02!H143)</f>
        <v/>
      </c>
    </row>
    <row r="145" spans="2:10">
      <c r="B145" s="237"/>
      <c r="C145" s="238">
        <f>Dat_02!B144</f>
        <v>44519</v>
      </c>
      <c r="D145" s="237"/>
      <c r="E145" s="240">
        <f>Dat_02!C144</f>
        <v>29.031869949575658</v>
      </c>
      <c r="F145" s="240">
        <f>Dat_02!D144</f>
        <v>83.114057360768328</v>
      </c>
      <c r="G145" s="240">
        <f>Dat_02!E144</f>
        <v>29.031869949575658</v>
      </c>
      <c r="I145" s="241">
        <f>Dat_02!G144</f>
        <v>0</v>
      </c>
      <c r="J145" s="251" t="str">
        <f>IF(Dat_02!H144=0,"",Dat_02!H144)</f>
        <v/>
      </c>
    </row>
    <row r="146" spans="2:10">
      <c r="B146" s="237"/>
      <c r="C146" s="238">
        <f>Dat_02!B145</f>
        <v>44520</v>
      </c>
      <c r="D146" s="237"/>
      <c r="E146" s="240">
        <f>Dat_02!C145</f>
        <v>25.204199631577517</v>
      </c>
      <c r="F146" s="240">
        <f>Dat_02!D145</f>
        <v>83.114057360768328</v>
      </c>
      <c r="G146" s="240">
        <f>Dat_02!E145</f>
        <v>25.204199631577517</v>
      </c>
      <c r="I146" s="241">
        <f>Dat_02!G145</f>
        <v>0</v>
      </c>
      <c r="J146" s="251" t="str">
        <f>IF(Dat_02!H145=0,"",Dat_02!H145)</f>
        <v/>
      </c>
    </row>
    <row r="147" spans="2:10">
      <c r="B147" s="237"/>
      <c r="C147" s="238">
        <f>Dat_02!B146</f>
        <v>44521</v>
      </c>
      <c r="D147" s="237"/>
      <c r="E147" s="240">
        <f>Dat_02!C146</f>
        <v>27.474410815575656</v>
      </c>
      <c r="F147" s="240">
        <f>Dat_02!D146</f>
        <v>83.114057360768328</v>
      </c>
      <c r="G147" s="240">
        <f>Dat_02!E146</f>
        <v>27.474410815575656</v>
      </c>
      <c r="I147" s="241">
        <f>Dat_02!G146</f>
        <v>0</v>
      </c>
      <c r="J147" s="251" t="str">
        <f>IF(Dat_02!H146=0,"",Dat_02!H146)</f>
        <v/>
      </c>
    </row>
    <row r="148" spans="2:10">
      <c r="B148" s="237"/>
      <c r="C148" s="238">
        <f>Dat_02!B147</f>
        <v>44522</v>
      </c>
      <c r="D148" s="237"/>
      <c r="E148" s="240">
        <f>Dat_02!C147</f>
        <v>27.98157283157752</v>
      </c>
      <c r="F148" s="240">
        <f>Dat_02!D147</f>
        <v>83.114057360768328</v>
      </c>
      <c r="G148" s="240">
        <f>Dat_02!E147</f>
        <v>27.98157283157752</v>
      </c>
      <c r="I148" s="241">
        <f>Dat_02!G147</f>
        <v>0</v>
      </c>
      <c r="J148" s="251" t="str">
        <f>IF(Dat_02!H147=0,"",Dat_02!H147)</f>
        <v/>
      </c>
    </row>
    <row r="149" spans="2:10">
      <c r="B149" s="237"/>
      <c r="C149" s="238">
        <f>Dat_02!B148</f>
        <v>44523</v>
      </c>
      <c r="D149" s="237"/>
      <c r="E149" s="240">
        <f>Dat_02!C148</f>
        <v>26.741202983576585</v>
      </c>
      <c r="F149" s="240">
        <f>Dat_02!D148</f>
        <v>83.114057360768328</v>
      </c>
      <c r="G149" s="240">
        <f>Dat_02!E148</f>
        <v>26.741202983576585</v>
      </c>
      <c r="I149" s="241">
        <f>Dat_02!G148</f>
        <v>0</v>
      </c>
      <c r="J149" s="251" t="str">
        <f>IF(Dat_02!H148=0,"",Dat_02!H148)</f>
        <v/>
      </c>
    </row>
    <row r="150" spans="2:10">
      <c r="B150" s="237"/>
      <c r="C150" s="238">
        <f>Dat_02!B149</f>
        <v>44524</v>
      </c>
      <c r="D150" s="237"/>
      <c r="E150" s="240">
        <f>Dat_02!C149</f>
        <v>45.54969271737734</v>
      </c>
      <c r="F150" s="240">
        <f>Dat_02!D149</f>
        <v>83.114057360768328</v>
      </c>
      <c r="G150" s="240">
        <f>Dat_02!E149</f>
        <v>45.54969271737734</v>
      </c>
      <c r="I150" s="241">
        <f>Dat_02!G149</f>
        <v>0</v>
      </c>
      <c r="J150" s="251" t="str">
        <f>IF(Dat_02!H149=0,"",Dat_02!H149)</f>
        <v/>
      </c>
    </row>
    <row r="151" spans="2:10">
      <c r="B151" s="237"/>
      <c r="C151" s="238">
        <f>Dat_02!B150</f>
        <v>44525</v>
      </c>
      <c r="D151" s="237"/>
      <c r="E151" s="240">
        <f>Dat_02!C150</f>
        <v>47.647484435378267</v>
      </c>
      <c r="F151" s="240">
        <f>Dat_02!D150</f>
        <v>83.114057360768328</v>
      </c>
      <c r="G151" s="240">
        <f>Dat_02!E150</f>
        <v>47.647484435378267</v>
      </c>
      <c r="I151" s="241">
        <f>Dat_02!G150</f>
        <v>0</v>
      </c>
      <c r="J151" s="251" t="str">
        <f>IF(Dat_02!H150=0,"",Dat_02!H150)</f>
        <v/>
      </c>
    </row>
    <row r="152" spans="2:10">
      <c r="B152" s="237"/>
      <c r="C152" s="238">
        <f>Dat_02!B151</f>
        <v>44526</v>
      </c>
      <c r="D152" s="237"/>
      <c r="E152" s="240">
        <f>Dat_02!C151</f>
        <v>47.625536095378266</v>
      </c>
      <c r="F152" s="240">
        <f>Dat_02!D151</f>
        <v>83.114057360768328</v>
      </c>
      <c r="G152" s="240">
        <f>Dat_02!E151</f>
        <v>47.625536095378266</v>
      </c>
      <c r="I152" s="241">
        <f>Dat_02!G151</f>
        <v>0</v>
      </c>
      <c r="J152" s="251" t="str">
        <f>IF(Dat_02!H151=0,"",Dat_02!H151)</f>
        <v/>
      </c>
    </row>
    <row r="153" spans="2:10">
      <c r="B153" s="237"/>
      <c r="C153" s="238">
        <f>Dat_02!B152</f>
        <v>44527</v>
      </c>
      <c r="D153" s="237"/>
      <c r="E153" s="240">
        <f>Dat_02!C152</f>
        <v>51.534761423378264</v>
      </c>
      <c r="F153" s="240">
        <f>Dat_02!D152</f>
        <v>83.114057360768328</v>
      </c>
      <c r="G153" s="240">
        <f>Dat_02!E152</f>
        <v>51.534761423378264</v>
      </c>
      <c r="I153" s="241">
        <f>Dat_02!G152</f>
        <v>0</v>
      </c>
      <c r="J153" s="251" t="str">
        <f>IF(Dat_02!H152=0,"",Dat_02!H152)</f>
        <v/>
      </c>
    </row>
    <row r="154" spans="2:10">
      <c r="B154" s="237"/>
      <c r="C154" s="238">
        <f>Dat_02!B153</f>
        <v>44528</v>
      </c>
      <c r="D154" s="237"/>
      <c r="E154" s="240">
        <f>Dat_02!C153</f>
        <v>44.432550211378263</v>
      </c>
      <c r="F154" s="240">
        <f>Dat_02!D153</f>
        <v>83.114057360768328</v>
      </c>
      <c r="G154" s="240">
        <f>Dat_02!E153</f>
        <v>44.432550211378263</v>
      </c>
      <c r="I154" s="241">
        <f>Dat_02!G153</f>
        <v>0</v>
      </c>
      <c r="J154" s="251" t="str">
        <f>IF(Dat_02!H153=0,"",Dat_02!H153)</f>
        <v/>
      </c>
    </row>
    <row r="155" spans="2:10">
      <c r="B155" s="237"/>
      <c r="C155" s="238">
        <f>Dat_02!B154</f>
        <v>44529</v>
      </c>
      <c r="D155" s="237"/>
      <c r="E155" s="240">
        <f>Dat_02!C154</f>
        <v>53.96349179537733</v>
      </c>
      <c r="F155" s="240">
        <f>Dat_02!D154</f>
        <v>83.114057360768328</v>
      </c>
      <c r="G155" s="240">
        <f>Dat_02!E154</f>
        <v>53.96349179537733</v>
      </c>
      <c r="I155" s="241">
        <f>Dat_02!G154</f>
        <v>0</v>
      </c>
      <c r="J155" s="251" t="str">
        <f>IF(Dat_02!H154=0,"",Dat_02!H154)</f>
        <v/>
      </c>
    </row>
    <row r="156" spans="2:10">
      <c r="B156" s="239"/>
      <c r="C156" s="238">
        <f>Dat_02!B155</f>
        <v>44530</v>
      </c>
      <c r="D156" s="239"/>
      <c r="E156" s="240">
        <f>Dat_02!C155</f>
        <v>68.858192995378261</v>
      </c>
      <c r="F156" s="240">
        <f>Dat_02!D155</f>
        <v>83.114057360768328</v>
      </c>
      <c r="G156" s="240">
        <f>Dat_02!E155</f>
        <v>68.858192995378261</v>
      </c>
      <c r="I156" s="241">
        <f>Dat_02!G155</f>
        <v>0</v>
      </c>
      <c r="J156" s="251" t="str">
        <f>IF(Dat_02!H155=0,"",Dat_02!H155)</f>
        <v/>
      </c>
    </row>
    <row r="157" spans="2:10">
      <c r="B157" s="239" t="s">
        <v>213</v>
      </c>
      <c r="C157" s="238">
        <f>Dat_02!B156</f>
        <v>44531</v>
      </c>
      <c r="D157" s="239"/>
      <c r="E157" s="240">
        <f>Dat_02!C156</f>
        <v>67.914082788547205</v>
      </c>
      <c r="F157" s="240">
        <f>Dat_02!D156</f>
        <v>104.11073943778104</v>
      </c>
      <c r="G157" s="240">
        <f>Dat_02!E156</f>
        <v>67.914082788547205</v>
      </c>
      <c r="I157" s="241">
        <f>Dat_02!G156</f>
        <v>0</v>
      </c>
      <c r="J157" s="251" t="str">
        <f>IF(Dat_02!H156=0,"",Dat_02!H156)</f>
        <v/>
      </c>
    </row>
    <row r="158" spans="2:10">
      <c r="B158" s="239"/>
      <c r="C158" s="238">
        <f>Dat_02!B157</f>
        <v>44532</v>
      </c>
      <c r="D158" s="239"/>
      <c r="E158" s="240">
        <f>Dat_02!C157</f>
        <v>67.634317772550943</v>
      </c>
      <c r="F158" s="240">
        <f>Dat_02!D157</f>
        <v>104.11073943778104</v>
      </c>
      <c r="G158" s="240">
        <f>Dat_02!E157</f>
        <v>67.634317772550943</v>
      </c>
      <c r="I158" s="241">
        <f>Dat_02!G157</f>
        <v>0</v>
      </c>
      <c r="J158" s="251" t="str">
        <f>IF(Dat_02!H157=0,"",Dat_02!H157)</f>
        <v/>
      </c>
    </row>
    <row r="159" spans="2:10">
      <c r="B159" s="237"/>
      <c r="C159" s="238">
        <f>Dat_02!B158</f>
        <v>44533</v>
      </c>
      <c r="D159" s="237"/>
      <c r="E159" s="240">
        <f>Dat_02!C158</f>
        <v>79.771890052547207</v>
      </c>
      <c r="F159" s="240">
        <f>Dat_02!D158</f>
        <v>104.11073943778104</v>
      </c>
      <c r="G159" s="240">
        <f>Dat_02!E158</f>
        <v>79.771890052547207</v>
      </c>
      <c r="I159" s="241">
        <f>Dat_02!G158</f>
        <v>0</v>
      </c>
      <c r="J159" s="251" t="str">
        <f>IF(Dat_02!H158=0,"",Dat_02!H158)</f>
        <v/>
      </c>
    </row>
    <row r="160" spans="2:10">
      <c r="B160" s="237"/>
      <c r="C160" s="238">
        <f>Dat_02!B159</f>
        <v>44534</v>
      </c>
      <c r="D160" s="237"/>
      <c r="E160" s="240">
        <f>Dat_02!C159</f>
        <v>73.835649612549076</v>
      </c>
      <c r="F160" s="240">
        <f>Dat_02!D159</f>
        <v>104.11073943778104</v>
      </c>
      <c r="G160" s="240">
        <f>Dat_02!E159</f>
        <v>73.835649612549076</v>
      </c>
      <c r="I160" s="241">
        <f>Dat_02!G159</f>
        <v>0</v>
      </c>
      <c r="J160" s="251" t="str">
        <f>IF(Dat_02!H159=0,"",Dat_02!H159)</f>
        <v/>
      </c>
    </row>
    <row r="161" spans="2:10">
      <c r="B161" s="237"/>
      <c r="C161" s="238">
        <f>Dat_02!B160</f>
        <v>44535</v>
      </c>
      <c r="D161" s="237"/>
      <c r="E161" s="240">
        <f>Dat_02!C160</f>
        <v>67.854101322548146</v>
      </c>
      <c r="F161" s="240">
        <f>Dat_02!D160</f>
        <v>104.11073943778104</v>
      </c>
      <c r="G161" s="240">
        <f>Dat_02!E160</f>
        <v>67.854101322548146</v>
      </c>
      <c r="I161" s="241">
        <f>Dat_02!G160</f>
        <v>0</v>
      </c>
      <c r="J161" s="251" t="str">
        <f>IF(Dat_02!H160=0,"",Dat_02!H160)</f>
        <v/>
      </c>
    </row>
    <row r="162" spans="2:10">
      <c r="B162" s="237"/>
      <c r="C162" s="238">
        <f>Dat_02!B161</f>
        <v>44536</v>
      </c>
      <c r="D162" s="237"/>
      <c r="E162" s="240">
        <f>Dat_02!C161</f>
        <v>75.36825752454908</v>
      </c>
      <c r="F162" s="240">
        <f>Dat_02!D161</f>
        <v>104.11073943778104</v>
      </c>
      <c r="G162" s="240">
        <f>Dat_02!E161</f>
        <v>75.36825752454908</v>
      </c>
      <c r="I162" s="241">
        <f>Dat_02!G161</f>
        <v>0</v>
      </c>
      <c r="J162" s="251" t="str">
        <f>IF(Dat_02!H161=0,"",Dat_02!H161)</f>
        <v/>
      </c>
    </row>
    <row r="163" spans="2:10">
      <c r="B163" s="237"/>
      <c r="C163" s="238">
        <f>Dat_02!B162</f>
        <v>44537</v>
      </c>
      <c r="D163" s="237"/>
      <c r="E163" s="240">
        <f>Dat_02!C162</f>
        <v>75.19998157054907</v>
      </c>
      <c r="F163" s="240">
        <f>Dat_02!D162</f>
        <v>104.11073943778104</v>
      </c>
      <c r="G163" s="240">
        <f>Dat_02!E162</f>
        <v>75.19998157054907</v>
      </c>
      <c r="I163" s="241">
        <f>Dat_02!G162</f>
        <v>0</v>
      </c>
      <c r="J163" s="251" t="str">
        <f>IF(Dat_02!H162=0,"",Dat_02!H162)</f>
        <v/>
      </c>
    </row>
    <row r="164" spans="2:10">
      <c r="B164" s="237"/>
      <c r="C164" s="238">
        <f>Dat_02!B163</f>
        <v>44538</v>
      </c>
      <c r="D164" s="237"/>
      <c r="E164" s="240">
        <f>Dat_02!C163</f>
        <v>134.12053199479683</v>
      </c>
      <c r="F164" s="240">
        <f>Dat_02!D163</f>
        <v>104.11073943778104</v>
      </c>
      <c r="G164" s="240">
        <f>Dat_02!E163</f>
        <v>104.11073943778104</v>
      </c>
      <c r="I164" s="241">
        <f>Dat_02!G163</f>
        <v>0</v>
      </c>
      <c r="J164" s="251" t="str">
        <f>IF(Dat_02!H163=0,"",Dat_02!H163)</f>
        <v/>
      </c>
    </row>
    <row r="165" spans="2:10">
      <c r="B165" s="237"/>
      <c r="C165" s="238">
        <f>Dat_02!B164</f>
        <v>44539</v>
      </c>
      <c r="D165" s="237"/>
      <c r="E165" s="240">
        <f>Dat_02!C164</f>
        <v>149.83404116679773</v>
      </c>
      <c r="F165" s="240">
        <f>Dat_02!D164</f>
        <v>104.11073943778104</v>
      </c>
      <c r="G165" s="240">
        <f>Dat_02!E164</f>
        <v>104.11073943778104</v>
      </c>
      <c r="I165" s="241">
        <f>Dat_02!G164</f>
        <v>0</v>
      </c>
      <c r="J165" s="251" t="str">
        <f>IF(Dat_02!H164=0,"",Dat_02!H164)</f>
        <v/>
      </c>
    </row>
    <row r="166" spans="2:10">
      <c r="B166" s="237"/>
      <c r="C166" s="238">
        <f>Dat_02!B165</f>
        <v>44540</v>
      </c>
      <c r="D166" s="237"/>
      <c r="E166" s="240">
        <f>Dat_02!C165</f>
        <v>150.75707037479683</v>
      </c>
      <c r="F166" s="240">
        <f>Dat_02!D165</f>
        <v>104.11073943778104</v>
      </c>
      <c r="G166" s="240">
        <f>Dat_02!E165</f>
        <v>104.11073943778104</v>
      </c>
      <c r="I166" s="241">
        <f>Dat_02!G165</f>
        <v>0</v>
      </c>
      <c r="J166" s="251" t="str">
        <f>IF(Dat_02!H165=0,"",Dat_02!H165)</f>
        <v/>
      </c>
    </row>
    <row r="167" spans="2:10">
      <c r="B167" s="237"/>
      <c r="C167" s="238">
        <f>Dat_02!B166</f>
        <v>44541</v>
      </c>
      <c r="D167" s="237"/>
      <c r="E167" s="240">
        <f>Dat_02!C166</f>
        <v>155.9076950487987</v>
      </c>
      <c r="F167" s="240">
        <f>Dat_02!D166</f>
        <v>104.11073943778104</v>
      </c>
      <c r="G167" s="240">
        <f>Dat_02!E166</f>
        <v>104.11073943778104</v>
      </c>
      <c r="I167" s="241">
        <f>Dat_02!G166</f>
        <v>0</v>
      </c>
      <c r="J167" s="251" t="str">
        <f>IF(Dat_02!H166=0,"",Dat_02!H166)</f>
        <v/>
      </c>
    </row>
    <row r="168" spans="2:10">
      <c r="B168" s="237"/>
      <c r="C168" s="238">
        <f>Dat_02!B167</f>
        <v>44542</v>
      </c>
      <c r="D168" s="237"/>
      <c r="E168" s="240">
        <f>Dat_02!C167</f>
        <v>165.94317509679775</v>
      </c>
      <c r="F168" s="240">
        <f>Dat_02!D167</f>
        <v>104.11073943778104</v>
      </c>
      <c r="G168" s="240">
        <f>Dat_02!E167</f>
        <v>104.11073943778104</v>
      </c>
      <c r="I168" s="241">
        <f>Dat_02!G167</f>
        <v>0</v>
      </c>
      <c r="J168" s="251" t="str">
        <f>IF(Dat_02!H167=0,"",Dat_02!H167)</f>
        <v/>
      </c>
    </row>
    <row r="169" spans="2:10">
      <c r="B169" s="237"/>
      <c r="C169" s="238">
        <f>Dat_02!B168</f>
        <v>44543</v>
      </c>
      <c r="D169" s="237"/>
      <c r="E169" s="240">
        <f>Dat_02!C168</f>
        <v>168.94623704479682</v>
      </c>
      <c r="F169" s="240">
        <f>Dat_02!D168</f>
        <v>104.11073943778104</v>
      </c>
      <c r="G169" s="240">
        <f>Dat_02!E168</f>
        <v>104.11073943778104</v>
      </c>
      <c r="I169" s="241">
        <f>Dat_02!G168</f>
        <v>0</v>
      </c>
      <c r="J169" s="251" t="str">
        <f>IF(Dat_02!H168=0,"",Dat_02!H168)</f>
        <v/>
      </c>
    </row>
    <row r="170" spans="2:10">
      <c r="B170" s="237"/>
      <c r="C170" s="238">
        <f>Dat_02!B169</f>
        <v>44544</v>
      </c>
      <c r="D170" s="237"/>
      <c r="E170" s="240">
        <f>Dat_02!C169</f>
        <v>163.42586551079776</v>
      </c>
      <c r="F170" s="240">
        <f>Dat_02!D169</f>
        <v>104.11073943778104</v>
      </c>
      <c r="G170" s="240">
        <f>Dat_02!E169</f>
        <v>104.11073943778104</v>
      </c>
      <c r="I170" s="241">
        <f>Dat_02!G169</f>
        <v>0</v>
      </c>
      <c r="J170" s="251" t="str">
        <f>IF(Dat_02!H169=0,"",Dat_02!H169)</f>
        <v/>
      </c>
    </row>
    <row r="171" spans="2:10">
      <c r="B171" s="237"/>
      <c r="C171" s="238">
        <f>Dat_02!B170</f>
        <v>44545</v>
      </c>
      <c r="D171" s="237"/>
      <c r="E171" s="240">
        <f>Dat_02!C170</f>
        <v>99.20214076305858</v>
      </c>
      <c r="F171" s="240">
        <f>Dat_02!D170</f>
        <v>104.11073943778104</v>
      </c>
      <c r="G171" s="240">
        <f>Dat_02!E170</f>
        <v>99.20214076305858</v>
      </c>
      <c r="I171" s="241">
        <f>Dat_02!G170</f>
        <v>104.11073943778104</v>
      </c>
      <c r="J171" s="251" t="str">
        <f>IF(Dat_02!H170=0,"",Dat_02!H170)</f>
        <v/>
      </c>
    </row>
    <row r="172" spans="2:10">
      <c r="B172" s="237"/>
      <c r="C172" s="238">
        <f>Dat_02!B171</f>
        <v>44546</v>
      </c>
      <c r="D172" s="237"/>
      <c r="E172" s="240">
        <f>Dat_02!C171</f>
        <v>94.316234811056717</v>
      </c>
      <c r="F172" s="240">
        <f>Dat_02!D171</f>
        <v>104.11073943778104</v>
      </c>
      <c r="G172" s="240">
        <f>Dat_02!E171</f>
        <v>94.316234811056717</v>
      </c>
      <c r="I172" s="241">
        <f>Dat_02!G171</f>
        <v>0</v>
      </c>
      <c r="J172" s="251" t="str">
        <f>IF(Dat_02!H171=0,"",Dat_02!H171)</f>
        <v/>
      </c>
    </row>
    <row r="173" spans="2:10">
      <c r="B173" s="237"/>
      <c r="C173" s="238">
        <f>Dat_02!B172</f>
        <v>44547</v>
      </c>
      <c r="D173" s="237"/>
      <c r="E173" s="240">
        <f>Dat_02!C172</f>
        <v>100.71085091105765</v>
      </c>
      <c r="F173" s="240">
        <f>Dat_02!D172</f>
        <v>104.11073943778104</v>
      </c>
      <c r="G173" s="240">
        <f>Dat_02!E172</f>
        <v>100.71085091105765</v>
      </c>
      <c r="I173" s="241">
        <f>Dat_02!G172</f>
        <v>0</v>
      </c>
      <c r="J173" s="251" t="str">
        <f>IF(Dat_02!H172=0,"",Dat_02!H172)</f>
        <v/>
      </c>
    </row>
    <row r="174" spans="2:10">
      <c r="B174" s="237"/>
      <c r="C174" s="238">
        <f>Dat_02!B173</f>
        <v>44548</v>
      </c>
      <c r="D174" s="237"/>
      <c r="E174" s="240">
        <f>Dat_02!C173</f>
        <v>107.73071106705764</v>
      </c>
      <c r="F174" s="240">
        <f>Dat_02!D173</f>
        <v>104.11073943778104</v>
      </c>
      <c r="G174" s="240">
        <f>Dat_02!E173</f>
        <v>104.11073943778104</v>
      </c>
      <c r="I174" s="241">
        <f>Dat_02!G173</f>
        <v>0</v>
      </c>
      <c r="J174" s="251" t="str">
        <f>IF(Dat_02!H173=0,"",Dat_02!H173)</f>
        <v/>
      </c>
    </row>
    <row r="175" spans="2:10">
      <c r="B175" s="237"/>
      <c r="C175" s="238">
        <f>Dat_02!B174</f>
        <v>44549</v>
      </c>
      <c r="D175" s="237"/>
      <c r="E175" s="240">
        <f>Dat_02!C174</f>
        <v>94.236187843058573</v>
      </c>
      <c r="F175" s="240">
        <f>Dat_02!D174</f>
        <v>104.11073943778104</v>
      </c>
      <c r="G175" s="240">
        <f>Dat_02!E174</f>
        <v>94.236187843058573</v>
      </c>
      <c r="I175" s="241">
        <f>Dat_02!G174</f>
        <v>0</v>
      </c>
      <c r="J175" s="251" t="str">
        <f>IF(Dat_02!H174=0,"",Dat_02!H174)</f>
        <v/>
      </c>
    </row>
    <row r="176" spans="2:10">
      <c r="B176" s="237"/>
      <c r="C176" s="238">
        <f>Dat_02!B175</f>
        <v>44550</v>
      </c>
      <c r="D176" s="237"/>
      <c r="E176" s="240">
        <f>Dat_02!C175</f>
        <v>108.97748723105857</v>
      </c>
      <c r="F176" s="240">
        <f>Dat_02!D175</f>
        <v>104.11073943778104</v>
      </c>
      <c r="G176" s="240">
        <f>Dat_02!E175</f>
        <v>104.11073943778104</v>
      </c>
      <c r="I176" s="241">
        <f>Dat_02!G175</f>
        <v>0</v>
      </c>
      <c r="J176" s="251" t="str">
        <f>IF(Dat_02!H175=0,"",Dat_02!H175)</f>
        <v/>
      </c>
    </row>
    <row r="177" spans="2:10">
      <c r="B177" s="237"/>
      <c r="C177" s="238">
        <f>Dat_02!B176</f>
        <v>44551</v>
      </c>
      <c r="D177" s="237"/>
      <c r="E177" s="240">
        <f>Dat_02!C176</f>
        <v>115.96634227105858</v>
      </c>
      <c r="F177" s="240">
        <f>Dat_02!D176</f>
        <v>104.11073943778104</v>
      </c>
      <c r="G177" s="240">
        <f>Dat_02!E176</f>
        <v>104.11073943778104</v>
      </c>
      <c r="I177" s="241">
        <f>Dat_02!G176</f>
        <v>0</v>
      </c>
      <c r="J177" s="251" t="str">
        <f>IF(Dat_02!H176=0,"",Dat_02!H176)</f>
        <v/>
      </c>
    </row>
    <row r="178" spans="2:10">
      <c r="B178" s="237"/>
      <c r="C178" s="238">
        <f>Dat_02!B177</f>
        <v>44552</v>
      </c>
      <c r="D178" s="237"/>
      <c r="E178" s="240">
        <f>Dat_02!C177</f>
        <v>109.5801564097107</v>
      </c>
      <c r="F178" s="240">
        <f>Dat_02!D177</f>
        <v>104.11073943778104</v>
      </c>
      <c r="G178" s="240">
        <f>Dat_02!E177</f>
        <v>104.11073943778104</v>
      </c>
      <c r="I178" s="241">
        <f>Dat_02!G177</f>
        <v>0</v>
      </c>
      <c r="J178" s="251" t="str">
        <f>IF(Dat_02!H177=0,"",Dat_02!H177)</f>
        <v/>
      </c>
    </row>
    <row r="179" spans="2:10">
      <c r="B179" s="237"/>
      <c r="C179" s="238">
        <f>Dat_02!B178</f>
        <v>44553</v>
      </c>
      <c r="D179" s="237"/>
      <c r="E179" s="240">
        <f>Dat_02!C178</f>
        <v>100.54819594570883</v>
      </c>
      <c r="F179" s="240">
        <f>Dat_02!D178</f>
        <v>104.11073943778104</v>
      </c>
      <c r="G179" s="240">
        <f>Dat_02!E178</f>
        <v>100.54819594570883</v>
      </c>
      <c r="I179" s="241">
        <f>Dat_02!G178</f>
        <v>0</v>
      </c>
      <c r="J179" s="251" t="str">
        <f>IF(Dat_02!H178=0,"",Dat_02!H178)</f>
        <v/>
      </c>
    </row>
    <row r="180" spans="2:10">
      <c r="B180" s="237"/>
      <c r="C180" s="238">
        <f>Dat_02!B179</f>
        <v>44554</v>
      </c>
      <c r="D180" s="237"/>
      <c r="E180" s="240">
        <f>Dat_02!C179</f>
        <v>73.15339101971162</v>
      </c>
      <c r="F180" s="240">
        <f>Dat_02!D179</f>
        <v>104.11073943778104</v>
      </c>
      <c r="G180" s="240">
        <f>Dat_02!E179</f>
        <v>73.15339101971162</v>
      </c>
      <c r="I180" s="241">
        <f>Dat_02!G179</f>
        <v>0</v>
      </c>
      <c r="J180" s="251" t="str">
        <f>IF(Dat_02!H179=0,"",Dat_02!H179)</f>
        <v/>
      </c>
    </row>
    <row r="181" spans="2:10">
      <c r="B181" s="237"/>
      <c r="C181" s="238">
        <f>Dat_02!B180</f>
        <v>44555</v>
      </c>
      <c r="D181" s="237"/>
      <c r="E181" s="240">
        <f>Dat_02!C180</f>
        <v>62.947384397708817</v>
      </c>
      <c r="F181" s="240">
        <f>Dat_02!D180</f>
        <v>104.11073943778104</v>
      </c>
      <c r="G181" s="240">
        <f>Dat_02!E180</f>
        <v>62.947384397708817</v>
      </c>
      <c r="I181" s="241">
        <f>Dat_02!G180</f>
        <v>0</v>
      </c>
      <c r="J181" s="251" t="str">
        <f>IF(Dat_02!H180=0,"",Dat_02!H180)</f>
        <v/>
      </c>
    </row>
    <row r="182" spans="2:10">
      <c r="B182" s="237"/>
      <c r="C182" s="238">
        <f>Dat_02!B181</f>
        <v>44556</v>
      </c>
      <c r="D182" s="237"/>
      <c r="E182" s="240">
        <f>Dat_02!C181</f>
        <v>66.909976297710685</v>
      </c>
      <c r="F182" s="240">
        <f>Dat_02!D181</f>
        <v>104.11073943778104</v>
      </c>
      <c r="G182" s="240">
        <f>Dat_02!E181</f>
        <v>66.909976297710685</v>
      </c>
      <c r="I182" s="241">
        <f>Dat_02!G181</f>
        <v>0</v>
      </c>
      <c r="J182" s="251" t="str">
        <f>IF(Dat_02!H181=0,"",Dat_02!H181)</f>
        <v/>
      </c>
    </row>
    <row r="183" spans="2:10">
      <c r="B183" s="237"/>
      <c r="C183" s="238">
        <f>Dat_02!B182</f>
        <v>44557</v>
      </c>
      <c r="D183" s="237"/>
      <c r="E183" s="240">
        <f>Dat_02!C182</f>
        <v>70.186913739709752</v>
      </c>
      <c r="F183" s="240">
        <f>Dat_02!D182</f>
        <v>104.11073943778104</v>
      </c>
      <c r="G183" s="240">
        <f>Dat_02!E182</f>
        <v>70.186913739709752</v>
      </c>
      <c r="I183" s="241">
        <f>Dat_02!G182</f>
        <v>0</v>
      </c>
      <c r="J183" s="251" t="str">
        <f>IF(Dat_02!H182=0,"",Dat_02!H182)</f>
        <v/>
      </c>
    </row>
    <row r="184" spans="2:10">
      <c r="B184" s="237"/>
      <c r="C184" s="238">
        <f>Dat_02!B183</f>
        <v>44558</v>
      </c>
      <c r="D184" s="237"/>
      <c r="E184" s="240">
        <f>Dat_02!C183</f>
        <v>74.018275097710671</v>
      </c>
      <c r="F184" s="240">
        <f>Dat_02!D183</f>
        <v>104.11073943778104</v>
      </c>
      <c r="G184" s="240">
        <f>Dat_02!E183</f>
        <v>74.018275097710671</v>
      </c>
      <c r="I184" s="241">
        <f>Dat_02!G183</f>
        <v>0</v>
      </c>
      <c r="J184" s="251" t="str">
        <f>IF(Dat_02!H183=0,"",Dat_02!H183)</f>
        <v/>
      </c>
    </row>
    <row r="185" spans="2:10">
      <c r="B185" s="237"/>
      <c r="C185" s="238">
        <f>Dat_02!B184</f>
        <v>44559</v>
      </c>
      <c r="D185" s="237"/>
      <c r="E185" s="240">
        <f>Dat_02!C184</f>
        <v>126.29973371740441</v>
      </c>
      <c r="F185" s="240">
        <f>Dat_02!D184</f>
        <v>104.11073943778104</v>
      </c>
      <c r="G185" s="240">
        <f>Dat_02!E184</f>
        <v>104.11073943778104</v>
      </c>
      <c r="I185" s="241">
        <f>Dat_02!G184</f>
        <v>0</v>
      </c>
      <c r="J185" s="251" t="str">
        <f>IF(Dat_02!H184=0,"",Dat_02!H184)</f>
        <v/>
      </c>
    </row>
    <row r="186" spans="2:10">
      <c r="B186" s="239"/>
      <c r="C186" s="238">
        <f>Dat_02!B185</f>
        <v>44560</v>
      </c>
      <c r="D186" s="237"/>
      <c r="E186" s="240">
        <f>Dat_02!C185</f>
        <v>127.2610685074044</v>
      </c>
      <c r="F186" s="240">
        <f>Dat_02!D185</f>
        <v>104.11073943778104</v>
      </c>
      <c r="G186" s="240">
        <f>Dat_02!E185</f>
        <v>104.11073943778104</v>
      </c>
      <c r="I186" s="241">
        <f>Dat_02!G185</f>
        <v>0</v>
      </c>
      <c r="J186" s="251" t="str">
        <f>IF(Dat_02!H185=0,"",Dat_02!H185)</f>
        <v/>
      </c>
    </row>
    <row r="187" spans="2:10">
      <c r="B187" s="239"/>
      <c r="C187" s="238">
        <f>Dat_02!B186</f>
        <v>44561</v>
      </c>
      <c r="D187" s="239"/>
      <c r="E187" s="240">
        <f>Dat_02!C186</f>
        <v>118.3931635174044</v>
      </c>
      <c r="F187" s="240">
        <f>Dat_02!D186</f>
        <v>104.11073943778104</v>
      </c>
      <c r="G187" s="240">
        <f>Dat_02!E186</f>
        <v>104.11073943778104</v>
      </c>
      <c r="I187" s="241">
        <f>Dat_02!G186</f>
        <v>0</v>
      </c>
      <c r="J187" s="251" t="str">
        <f>IF(Dat_02!H186=0,"",Dat_02!H186)</f>
        <v/>
      </c>
    </row>
    <row r="188" spans="2:10">
      <c r="B188" s="239" t="s">
        <v>214</v>
      </c>
      <c r="C188" s="238">
        <f>Dat_02!B187</f>
        <v>44562</v>
      </c>
      <c r="D188" s="239"/>
      <c r="E188" s="240">
        <f>Dat_02!C187</f>
        <v>102.17540151940534</v>
      </c>
      <c r="F188" s="240">
        <f>Dat_02!D187</f>
        <v>117.91214619510544</v>
      </c>
      <c r="G188" s="240">
        <f>Dat_02!E187</f>
        <v>102.17540151940534</v>
      </c>
      <c r="I188" s="241">
        <f>Dat_02!G187</f>
        <v>0</v>
      </c>
      <c r="J188" s="251" t="str">
        <f>IF(Dat_02!H187=0,"",Dat_02!H187)</f>
        <v/>
      </c>
    </row>
    <row r="189" spans="2:10">
      <c r="B189" s="239"/>
      <c r="C189" s="238">
        <f>Dat_02!B188</f>
        <v>44563</v>
      </c>
      <c r="D189" s="239"/>
      <c r="E189" s="240">
        <f>Dat_02!C188</f>
        <v>104.62349681740534</v>
      </c>
      <c r="F189" s="240">
        <f>Dat_02!D188</f>
        <v>117.91214619510544</v>
      </c>
      <c r="G189" s="240">
        <f>Dat_02!E188</f>
        <v>104.62349681740534</v>
      </c>
      <c r="I189" s="241">
        <f>Dat_02!G188</f>
        <v>0</v>
      </c>
      <c r="J189" s="251" t="str">
        <f>IF(Dat_02!H188=0,"",Dat_02!H188)</f>
        <v/>
      </c>
    </row>
    <row r="190" spans="2:10">
      <c r="B190" s="237"/>
      <c r="C190" s="238">
        <f>Dat_02!B189</f>
        <v>44564</v>
      </c>
      <c r="D190" s="237"/>
      <c r="E190" s="240">
        <f>Dat_02!C189</f>
        <v>105.21932554740441</v>
      </c>
      <c r="F190" s="240">
        <f>Dat_02!D189</f>
        <v>117.91214619510544</v>
      </c>
      <c r="G190" s="240">
        <f>Dat_02!E189</f>
        <v>105.21932554740441</v>
      </c>
      <c r="I190" s="241">
        <f>Dat_02!G189</f>
        <v>0</v>
      </c>
      <c r="J190" s="251" t="str">
        <f>IF(Dat_02!H189=0,"",Dat_02!H189)</f>
        <v/>
      </c>
    </row>
    <row r="191" spans="2:10">
      <c r="B191" s="237"/>
      <c r="C191" s="238">
        <f>Dat_02!B190</f>
        <v>44565</v>
      </c>
      <c r="D191" s="237"/>
      <c r="E191" s="240">
        <f>Dat_02!C190</f>
        <v>103.55801551140441</v>
      </c>
      <c r="F191" s="240">
        <f>Dat_02!D190</f>
        <v>117.91214619510544</v>
      </c>
      <c r="G191" s="240">
        <f>Dat_02!E190</f>
        <v>103.55801551140441</v>
      </c>
      <c r="I191" s="241">
        <f>Dat_02!G190</f>
        <v>0</v>
      </c>
      <c r="J191" s="251" t="str">
        <f>IF(Dat_02!H190=0,"",Dat_02!H190)</f>
        <v/>
      </c>
    </row>
    <row r="192" spans="2:10">
      <c r="B192" s="237"/>
      <c r="C192" s="238">
        <f>Dat_02!B191</f>
        <v>44566</v>
      </c>
      <c r="D192" s="237"/>
      <c r="E192" s="240">
        <f>Dat_02!C191</f>
        <v>91.987723495153446</v>
      </c>
      <c r="F192" s="240">
        <f>Dat_02!D191</f>
        <v>117.91214619510544</v>
      </c>
      <c r="G192" s="240">
        <f>Dat_02!E191</f>
        <v>91.987723495153446</v>
      </c>
      <c r="I192" s="241">
        <f>Dat_02!G191</f>
        <v>0</v>
      </c>
      <c r="J192" s="251" t="str">
        <f>IF(Dat_02!H191=0,"",Dat_02!H191)</f>
        <v/>
      </c>
    </row>
    <row r="193" spans="2:10">
      <c r="B193" s="237"/>
      <c r="C193" s="238">
        <f>Dat_02!B192</f>
        <v>44567</v>
      </c>
      <c r="D193" s="237"/>
      <c r="E193" s="240">
        <f>Dat_02!C192</f>
        <v>95.198739353151581</v>
      </c>
      <c r="F193" s="240">
        <f>Dat_02!D192</f>
        <v>117.91214619510544</v>
      </c>
      <c r="G193" s="240">
        <f>Dat_02!E192</f>
        <v>95.198739353151581</v>
      </c>
      <c r="I193" s="241">
        <f>Dat_02!G192</f>
        <v>0</v>
      </c>
      <c r="J193" s="251" t="str">
        <f>IF(Dat_02!H192=0,"",Dat_02!H192)</f>
        <v/>
      </c>
    </row>
    <row r="194" spans="2:10">
      <c r="B194" s="237"/>
      <c r="C194" s="238">
        <f>Dat_02!B193</f>
        <v>44568</v>
      </c>
      <c r="D194" s="237"/>
      <c r="E194" s="240">
        <f>Dat_02!C193</f>
        <v>95.836925759152507</v>
      </c>
      <c r="F194" s="240">
        <f>Dat_02!D193</f>
        <v>117.91214619510544</v>
      </c>
      <c r="G194" s="240">
        <f>Dat_02!E193</f>
        <v>95.836925759152507</v>
      </c>
      <c r="I194" s="241">
        <f>Dat_02!G193</f>
        <v>0</v>
      </c>
      <c r="J194" s="251" t="str">
        <f>IF(Dat_02!H193=0,"",Dat_02!H193)</f>
        <v/>
      </c>
    </row>
    <row r="195" spans="2:10">
      <c r="B195" s="237"/>
      <c r="C195" s="238">
        <f>Dat_02!B194</f>
        <v>44569</v>
      </c>
      <c r="D195" s="237"/>
      <c r="E195" s="240">
        <f>Dat_02!C194</f>
        <v>90.269487789151583</v>
      </c>
      <c r="F195" s="240">
        <f>Dat_02!D194</f>
        <v>117.91214619510544</v>
      </c>
      <c r="G195" s="240">
        <f>Dat_02!E194</f>
        <v>90.269487789151583</v>
      </c>
      <c r="I195" s="241">
        <f>Dat_02!G194</f>
        <v>0</v>
      </c>
      <c r="J195" s="251" t="str">
        <f>IF(Dat_02!H194=0,"",Dat_02!H194)</f>
        <v/>
      </c>
    </row>
    <row r="196" spans="2:10">
      <c r="B196" s="237"/>
      <c r="C196" s="238">
        <f>Dat_02!B195</f>
        <v>44570</v>
      </c>
      <c r="D196" s="237"/>
      <c r="E196" s="240">
        <f>Dat_02!C195</f>
        <v>82.673086073152518</v>
      </c>
      <c r="F196" s="240">
        <f>Dat_02!D195</f>
        <v>117.91214619510544</v>
      </c>
      <c r="G196" s="240">
        <f>Dat_02!E195</f>
        <v>82.673086073152518</v>
      </c>
      <c r="I196" s="241">
        <f>Dat_02!G195</f>
        <v>0</v>
      </c>
      <c r="J196" s="251" t="str">
        <f>IF(Dat_02!H195=0,"",Dat_02!H195)</f>
        <v/>
      </c>
    </row>
    <row r="197" spans="2:10">
      <c r="B197" s="237"/>
      <c r="C197" s="238">
        <f>Dat_02!B196</f>
        <v>44571</v>
      </c>
      <c r="D197" s="237"/>
      <c r="E197" s="240">
        <f>Dat_02!C196</f>
        <v>105.36310315515158</v>
      </c>
      <c r="F197" s="240">
        <f>Dat_02!D196</f>
        <v>117.91214619510544</v>
      </c>
      <c r="G197" s="240">
        <f>Dat_02!E196</f>
        <v>105.36310315515158</v>
      </c>
      <c r="I197" s="241">
        <f>Dat_02!G196</f>
        <v>0</v>
      </c>
      <c r="J197" s="251" t="str">
        <f>IF(Dat_02!H196=0,"",Dat_02!H196)</f>
        <v/>
      </c>
    </row>
    <row r="198" spans="2:10">
      <c r="B198" s="237"/>
      <c r="C198" s="238">
        <f>Dat_02!B197</f>
        <v>44572</v>
      </c>
      <c r="D198" s="237"/>
      <c r="E198" s="240">
        <f>Dat_02!C197</f>
        <v>106.01807528715251</v>
      </c>
      <c r="F198" s="240">
        <f>Dat_02!D197</f>
        <v>117.91214619510544</v>
      </c>
      <c r="G198" s="240">
        <f>Dat_02!E197</f>
        <v>106.01807528715251</v>
      </c>
      <c r="I198" s="241">
        <f>Dat_02!G197</f>
        <v>0</v>
      </c>
      <c r="J198" s="251" t="str">
        <f>IF(Dat_02!H197=0,"",Dat_02!H197)</f>
        <v/>
      </c>
    </row>
    <row r="199" spans="2:10">
      <c r="B199" s="237"/>
      <c r="C199" s="238">
        <f>Dat_02!B198</f>
        <v>44573</v>
      </c>
      <c r="D199" s="237"/>
      <c r="E199" s="240">
        <f>Dat_02!C198</f>
        <v>80.883930473632347</v>
      </c>
      <c r="F199" s="240">
        <f>Dat_02!D198</f>
        <v>117.91214619510544</v>
      </c>
      <c r="G199" s="240">
        <f>Dat_02!E198</f>
        <v>80.883930473632347</v>
      </c>
      <c r="I199" s="241">
        <f>Dat_02!G198</f>
        <v>0</v>
      </c>
      <c r="J199" s="251" t="str">
        <f>IF(Dat_02!H198=0,"",Dat_02!H198)</f>
        <v/>
      </c>
    </row>
    <row r="200" spans="2:10">
      <c r="B200" s="237"/>
      <c r="C200" s="238">
        <f>Dat_02!B199</f>
        <v>44574</v>
      </c>
      <c r="D200" s="237"/>
      <c r="E200" s="240">
        <f>Dat_02!C199</f>
        <v>108.53032502363422</v>
      </c>
      <c r="F200" s="240">
        <f>Dat_02!D199</f>
        <v>117.91214619510544</v>
      </c>
      <c r="G200" s="240">
        <f>Dat_02!E199</f>
        <v>108.53032502363422</v>
      </c>
      <c r="I200" s="241">
        <f>Dat_02!G199</f>
        <v>0</v>
      </c>
      <c r="J200" s="251" t="str">
        <f>IF(Dat_02!H199=0,"",Dat_02!H199)</f>
        <v/>
      </c>
    </row>
    <row r="201" spans="2:10">
      <c r="B201" s="237"/>
      <c r="C201" s="238">
        <f>Dat_02!B200</f>
        <v>44575</v>
      </c>
      <c r="D201" s="237"/>
      <c r="E201" s="240">
        <f>Dat_02!C200</f>
        <v>109.9746273136342</v>
      </c>
      <c r="F201" s="240">
        <f>Dat_02!D200</f>
        <v>117.91214619510544</v>
      </c>
      <c r="G201" s="240">
        <f>Dat_02!E200</f>
        <v>109.9746273136342</v>
      </c>
      <c r="I201" s="241">
        <f>Dat_02!G200</f>
        <v>0</v>
      </c>
      <c r="J201" s="251" t="str">
        <f>IF(Dat_02!H200=0,"",Dat_02!H200)</f>
        <v/>
      </c>
    </row>
    <row r="202" spans="2:10">
      <c r="B202" s="237"/>
      <c r="C202" s="238">
        <f>Dat_02!B201</f>
        <v>44576</v>
      </c>
      <c r="D202" s="237"/>
      <c r="E202" s="240">
        <f>Dat_02!C201</f>
        <v>107.25943700363328</v>
      </c>
      <c r="F202" s="240">
        <f>Dat_02!D201</f>
        <v>117.91214619510544</v>
      </c>
      <c r="G202" s="240">
        <f>Dat_02!E201</f>
        <v>107.25943700363328</v>
      </c>
      <c r="I202" s="241">
        <f>Dat_02!G201</f>
        <v>117.91214619510544</v>
      </c>
      <c r="J202" s="251" t="str">
        <f>IF(Dat_02!H201=0,"",Dat_02!H201)</f>
        <v/>
      </c>
    </row>
    <row r="203" spans="2:10">
      <c r="B203" s="237"/>
      <c r="C203" s="238">
        <f>Dat_02!B202</f>
        <v>44577</v>
      </c>
      <c r="D203" s="237"/>
      <c r="E203" s="240">
        <f>Dat_02!C202</f>
        <v>93.148619171634209</v>
      </c>
      <c r="F203" s="240">
        <f>Dat_02!D202</f>
        <v>117.91214619510544</v>
      </c>
      <c r="G203" s="240">
        <f>Dat_02!E202</f>
        <v>93.148619171634209</v>
      </c>
      <c r="I203" s="241">
        <f>Dat_02!G202</f>
        <v>0</v>
      </c>
      <c r="J203" s="251" t="str">
        <f>IF(Dat_02!H202=0,"",Dat_02!H202)</f>
        <v/>
      </c>
    </row>
    <row r="204" spans="2:10">
      <c r="B204" s="237"/>
      <c r="C204" s="238">
        <f>Dat_02!B203</f>
        <v>44578</v>
      </c>
      <c r="D204" s="237"/>
      <c r="E204" s="240">
        <f>Dat_02!C203</f>
        <v>101.72879704363422</v>
      </c>
      <c r="F204" s="240">
        <f>Dat_02!D203</f>
        <v>117.91214619510544</v>
      </c>
      <c r="G204" s="240">
        <f>Dat_02!E203</f>
        <v>101.72879704363422</v>
      </c>
      <c r="I204" s="241">
        <f>Dat_02!G203</f>
        <v>0</v>
      </c>
      <c r="J204" s="251" t="str">
        <f>IF(Dat_02!H203=0,"",Dat_02!H203)</f>
        <v/>
      </c>
    </row>
    <row r="205" spans="2:10">
      <c r="B205" s="237"/>
      <c r="C205" s="238">
        <f>Dat_02!B204</f>
        <v>44579</v>
      </c>
      <c r="D205" s="237"/>
      <c r="E205" s="240">
        <f>Dat_02!C204</f>
        <v>103.87119560363328</v>
      </c>
      <c r="F205" s="240">
        <f>Dat_02!D204</f>
        <v>117.91214619510544</v>
      </c>
      <c r="G205" s="240">
        <f>Dat_02!E204</f>
        <v>103.87119560363328</v>
      </c>
      <c r="I205" s="241">
        <f>Dat_02!G204</f>
        <v>0</v>
      </c>
      <c r="J205" s="251" t="str">
        <f>IF(Dat_02!H204=0,"",Dat_02!H204)</f>
        <v/>
      </c>
    </row>
    <row r="206" spans="2:10">
      <c r="B206" s="237"/>
      <c r="C206" s="238">
        <f>Dat_02!B205</f>
        <v>44580</v>
      </c>
      <c r="D206" s="237"/>
      <c r="E206" s="240">
        <f>Dat_02!C205</f>
        <v>67.409800574516936</v>
      </c>
      <c r="F206" s="240">
        <f>Dat_02!D205</f>
        <v>117.91214619510544</v>
      </c>
      <c r="G206" s="240">
        <f>Dat_02!E205</f>
        <v>67.409800574516936</v>
      </c>
      <c r="I206" s="241">
        <f>Dat_02!G205</f>
        <v>0</v>
      </c>
      <c r="J206" s="251" t="str">
        <f>IF(Dat_02!H205=0,"",Dat_02!H205)</f>
        <v/>
      </c>
    </row>
    <row r="207" spans="2:10">
      <c r="B207" s="237"/>
      <c r="C207" s="238">
        <f>Dat_02!B206</f>
        <v>44581</v>
      </c>
      <c r="D207" s="237"/>
      <c r="E207" s="240">
        <f>Dat_02!C206</f>
        <v>56.526716274517867</v>
      </c>
      <c r="F207" s="240">
        <f>Dat_02!D206</f>
        <v>117.91214619510544</v>
      </c>
      <c r="G207" s="240">
        <f>Dat_02!E206</f>
        <v>56.526716274517867</v>
      </c>
      <c r="I207" s="241">
        <f>Dat_02!G206</f>
        <v>0</v>
      </c>
      <c r="J207" s="251" t="str">
        <f>IF(Dat_02!H206=0,"",Dat_02!H206)</f>
        <v/>
      </c>
    </row>
    <row r="208" spans="2:10">
      <c r="B208" s="237"/>
      <c r="C208" s="238">
        <f>Dat_02!B207</f>
        <v>44582</v>
      </c>
      <c r="D208" s="237"/>
      <c r="E208" s="240">
        <f>Dat_02!C207</f>
        <v>43.579174246515997</v>
      </c>
      <c r="F208" s="240">
        <f>Dat_02!D207</f>
        <v>117.91214619510544</v>
      </c>
      <c r="G208" s="240">
        <f>Dat_02!E207</f>
        <v>43.579174246515997</v>
      </c>
      <c r="I208" s="241">
        <f>Dat_02!G207</f>
        <v>0</v>
      </c>
      <c r="J208" s="251" t="str">
        <f>IF(Dat_02!H207=0,"",Dat_02!H207)</f>
        <v/>
      </c>
    </row>
    <row r="209" spans="2:10">
      <c r="B209" s="237"/>
      <c r="C209" s="238">
        <f>Dat_02!B208</f>
        <v>44583</v>
      </c>
      <c r="D209" s="237"/>
      <c r="E209" s="240">
        <f>Dat_02!C208</f>
        <v>41.629165836516933</v>
      </c>
      <c r="F209" s="240">
        <f>Dat_02!D208</f>
        <v>117.91214619510544</v>
      </c>
      <c r="G209" s="240">
        <f>Dat_02!E208</f>
        <v>41.629165836516933</v>
      </c>
      <c r="I209" s="241">
        <f>Dat_02!G208</f>
        <v>0</v>
      </c>
      <c r="J209" s="251" t="str">
        <f>IF(Dat_02!H208=0,"",Dat_02!H208)</f>
        <v/>
      </c>
    </row>
    <row r="210" spans="2:10">
      <c r="B210" s="237"/>
      <c r="C210" s="238">
        <f>Dat_02!B209</f>
        <v>44584</v>
      </c>
      <c r="D210" s="237"/>
      <c r="E210" s="240">
        <f>Dat_02!C209</f>
        <v>53.975750974516927</v>
      </c>
      <c r="F210" s="240">
        <f>Dat_02!D209</f>
        <v>117.91214619510544</v>
      </c>
      <c r="G210" s="240">
        <f>Dat_02!E209</f>
        <v>53.975750974516927</v>
      </c>
      <c r="I210" s="241">
        <f>Dat_02!G209</f>
        <v>0</v>
      </c>
      <c r="J210" s="251" t="str">
        <f>IF(Dat_02!H209=0,"",Dat_02!H209)</f>
        <v/>
      </c>
    </row>
    <row r="211" spans="2:10">
      <c r="B211" s="237"/>
      <c r="C211" s="238">
        <f>Dat_02!B210</f>
        <v>44585</v>
      </c>
      <c r="D211" s="237"/>
      <c r="E211" s="240">
        <f>Dat_02!C210</f>
        <v>79.832427634515071</v>
      </c>
      <c r="F211" s="240">
        <f>Dat_02!D210</f>
        <v>117.91214619510544</v>
      </c>
      <c r="G211" s="240">
        <f>Dat_02!E210</f>
        <v>79.832427634515071</v>
      </c>
      <c r="I211" s="241">
        <f>Dat_02!G210</f>
        <v>0</v>
      </c>
      <c r="J211" s="251" t="str">
        <f>IF(Dat_02!H210=0,"",Dat_02!H210)</f>
        <v/>
      </c>
    </row>
    <row r="212" spans="2:10">
      <c r="B212" s="237"/>
      <c r="C212" s="238">
        <f>Dat_02!B211</f>
        <v>44586</v>
      </c>
      <c r="D212" s="237"/>
      <c r="E212" s="240">
        <f>Dat_02!C211</f>
        <v>60.620104462519727</v>
      </c>
      <c r="F212" s="240">
        <f>Dat_02!D211</f>
        <v>117.91214619510544</v>
      </c>
      <c r="G212" s="240">
        <f>Dat_02!E211</f>
        <v>60.620104462519727</v>
      </c>
      <c r="I212" s="241">
        <f>Dat_02!G211</f>
        <v>0</v>
      </c>
      <c r="J212" s="251" t="str">
        <f>IF(Dat_02!H211=0,"",Dat_02!H211)</f>
        <v/>
      </c>
    </row>
    <row r="213" spans="2:10">
      <c r="B213" s="237"/>
      <c r="C213" s="238">
        <f>Dat_02!B212</f>
        <v>44587</v>
      </c>
      <c r="D213" s="237"/>
      <c r="E213" s="240">
        <f>Dat_02!C212</f>
        <v>57.039959710062163</v>
      </c>
      <c r="F213" s="240">
        <f>Dat_02!D212</f>
        <v>117.91214619510544</v>
      </c>
      <c r="G213" s="240">
        <f>Dat_02!E212</f>
        <v>57.039959710062163</v>
      </c>
      <c r="I213" s="241">
        <f>Dat_02!G212</f>
        <v>0</v>
      </c>
      <c r="J213" s="251" t="str">
        <f>IF(Dat_02!H212=0,"",Dat_02!H212)</f>
        <v/>
      </c>
    </row>
    <row r="214" spans="2:10">
      <c r="B214" s="237"/>
      <c r="C214" s="238">
        <f>Dat_02!B213</f>
        <v>44588</v>
      </c>
      <c r="D214" s="237"/>
      <c r="E214" s="240">
        <f>Dat_02!C213</f>
        <v>40.904587002061234</v>
      </c>
      <c r="F214" s="240">
        <f>Dat_02!D213</f>
        <v>117.91214619510544</v>
      </c>
      <c r="G214" s="240">
        <f>Dat_02!E213</f>
        <v>40.904587002061234</v>
      </c>
      <c r="I214" s="241">
        <f>Dat_02!G213</f>
        <v>0</v>
      </c>
      <c r="J214" s="251" t="str">
        <f>IF(Dat_02!H213=0,"",Dat_02!H213)</f>
        <v/>
      </c>
    </row>
    <row r="215" spans="2:10">
      <c r="B215" s="237"/>
      <c r="C215" s="238">
        <f>Dat_02!B214</f>
        <v>44589</v>
      </c>
      <c r="D215" s="237"/>
      <c r="E215" s="240">
        <f>Dat_02!C214</f>
        <v>30.755261530062167</v>
      </c>
      <c r="F215" s="240">
        <f>Dat_02!D214</f>
        <v>117.91214619510544</v>
      </c>
      <c r="G215" s="240">
        <f>Dat_02!E214</f>
        <v>30.755261530062167</v>
      </c>
      <c r="I215" s="241">
        <f>Dat_02!G214</f>
        <v>0</v>
      </c>
      <c r="J215" s="251" t="str">
        <f>IF(Dat_02!H214=0,"",Dat_02!H214)</f>
        <v/>
      </c>
    </row>
    <row r="216" spans="2:10">
      <c r="B216" s="237"/>
      <c r="C216" s="238">
        <f>Dat_02!B215</f>
        <v>44590</v>
      </c>
      <c r="D216" s="237"/>
      <c r="E216" s="240">
        <f>Dat_02!C215</f>
        <v>30.089815514064963</v>
      </c>
      <c r="F216" s="240">
        <f>Dat_02!D215</f>
        <v>117.91214619510544</v>
      </c>
      <c r="G216" s="240">
        <f>Dat_02!E215</f>
        <v>30.089815514064963</v>
      </c>
      <c r="I216" s="241">
        <f>Dat_02!G215</f>
        <v>0</v>
      </c>
      <c r="J216" s="251" t="str">
        <f>IF(Dat_02!H215=0,"",Dat_02!H215)</f>
        <v/>
      </c>
    </row>
    <row r="217" spans="2:10">
      <c r="B217" s="239"/>
      <c r="C217" s="238">
        <f>Dat_02!B216</f>
        <v>44591</v>
      </c>
      <c r="D217" s="239"/>
      <c r="E217" s="240">
        <f>Dat_02!C216</f>
        <v>28.242457818062167</v>
      </c>
      <c r="F217" s="240">
        <f>Dat_02!D216</f>
        <v>117.91214619510544</v>
      </c>
      <c r="G217" s="240">
        <f>Dat_02!E216</f>
        <v>28.242457818062167</v>
      </c>
      <c r="I217" s="241">
        <f>Dat_02!G216</f>
        <v>0</v>
      </c>
      <c r="J217" s="251" t="str">
        <f>IF(Dat_02!H216=0,"",Dat_02!H216)</f>
        <v/>
      </c>
    </row>
    <row r="218" spans="2:10">
      <c r="B218" s="239" t="s">
        <v>215</v>
      </c>
      <c r="C218" s="238">
        <f>Dat_02!B217</f>
        <v>44592</v>
      </c>
      <c r="D218" s="239"/>
      <c r="E218" s="240">
        <f>Dat_02!C217</f>
        <v>26.349692656061233</v>
      </c>
      <c r="F218" s="240">
        <f>Dat_02!D217</f>
        <v>117.91214619510544</v>
      </c>
      <c r="G218" s="240">
        <f>Dat_02!E217</f>
        <v>26.349692656061233</v>
      </c>
      <c r="I218" s="241">
        <f>Dat_02!G217</f>
        <v>0</v>
      </c>
      <c r="J218" s="251" t="str">
        <f>IF(Dat_02!H217=0,"",Dat_02!H217)</f>
        <v/>
      </c>
    </row>
    <row r="219" spans="2:10">
      <c r="B219" s="239"/>
      <c r="C219" s="238">
        <f>Dat_02!B218</f>
        <v>44593</v>
      </c>
      <c r="D219" s="239"/>
      <c r="E219" s="240">
        <f>Dat_02!C218</f>
        <v>21.487646220064963</v>
      </c>
      <c r="F219" s="240">
        <f>Dat_02!D218</f>
        <v>129.94088839596503</v>
      </c>
      <c r="G219" s="240">
        <f>Dat_02!E218</f>
        <v>21.487646220064963</v>
      </c>
      <c r="I219" s="241">
        <f>Dat_02!G218</f>
        <v>0</v>
      </c>
      <c r="J219" s="251" t="str">
        <f>IF(Dat_02!H218=0,"",Dat_02!H218)</f>
        <v/>
      </c>
    </row>
    <row r="220" spans="2:10">
      <c r="B220" s="239"/>
      <c r="C220" s="238">
        <f>Dat_02!B219</f>
        <v>44594</v>
      </c>
      <c r="D220" s="239"/>
      <c r="E220" s="240">
        <f>Dat_02!C219</f>
        <v>41.651559683846571</v>
      </c>
      <c r="F220" s="240">
        <f>Dat_02!D219</f>
        <v>129.94088839596503</v>
      </c>
      <c r="G220" s="240">
        <f>Dat_02!E219</f>
        <v>41.651559683846571</v>
      </c>
      <c r="I220" s="241">
        <f>Dat_02!G219</f>
        <v>0</v>
      </c>
      <c r="J220" s="251" t="str">
        <f>IF(Dat_02!H219=0,"",Dat_02!H219)</f>
        <v/>
      </c>
    </row>
    <row r="221" spans="2:10">
      <c r="B221" s="237"/>
      <c r="C221" s="238">
        <f>Dat_02!B220</f>
        <v>44595</v>
      </c>
      <c r="D221" s="237"/>
      <c r="E221" s="240">
        <f>Dat_02!C220</f>
        <v>40.250095097848437</v>
      </c>
      <c r="F221" s="240">
        <f>Dat_02!D220</f>
        <v>129.94088839596503</v>
      </c>
      <c r="G221" s="240">
        <f>Dat_02!E220</f>
        <v>40.250095097848437</v>
      </c>
      <c r="I221" s="241">
        <f>Dat_02!G220</f>
        <v>0</v>
      </c>
      <c r="J221" s="251" t="str">
        <f>IF(Dat_02!H220=0,"",Dat_02!H220)</f>
        <v/>
      </c>
    </row>
    <row r="222" spans="2:10">
      <c r="B222" s="237"/>
      <c r="C222" s="238">
        <f>Dat_02!B221</f>
        <v>44596</v>
      </c>
      <c r="D222" s="237"/>
      <c r="E222" s="240">
        <f>Dat_02!C221</f>
        <v>39.671995491848435</v>
      </c>
      <c r="F222" s="240">
        <f>Dat_02!D221</f>
        <v>129.94088839596503</v>
      </c>
      <c r="G222" s="240">
        <f>Dat_02!E221</f>
        <v>39.671995491848435</v>
      </c>
      <c r="I222" s="241">
        <f>Dat_02!G221</f>
        <v>0</v>
      </c>
      <c r="J222" s="251" t="str">
        <f>IF(Dat_02!H221=0,"",Dat_02!H221)</f>
        <v/>
      </c>
    </row>
    <row r="223" spans="2:10">
      <c r="B223" s="237"/>
      <c r="C223" s="238">
        <f>Dat_02!B222</f>
        <v>44597</v>
      </c>
      <c r="D223" s="237"/>
      <c r="E223" s="240">
        <f>Dat_02!C222</f>
        <v>23.922625091847504</v>
      </c>
      <c r="F223" s="240">
        <f>Dat_02!D222</f>
        <v>129.94088839596503</v>
      </c>
      <c r="G223" s="240">
        <f>Dat_02!E222</f>
        <v>23.922625091847504</v>
      </c>
      <c r="I223" s="241">
        <f>Dat_02!G222</f>
        <v>0</v>
      </c>
      <c r="J223" s="251" t="str">
        <f>IF(Dat_02!H222=0,"",Dat_02!H222)</f>
        <v/>
      </c>
    </row>
    <row r="224" spans="2:10">
      <c r="B224" s="237"/>
      <c r="C224" s="238">
        <f>Dat_02!B223</f>
        <v>44598</v>
      </c>
      <c r="D224" s="237"/>
      <c r="E224" s="240">
        <f>Dat_02!C223</f>
        <v>28.187521431847504</v>
      </c>
      <c r="F224" s="240">
        <f>Dat_02!D223</f>
        <v>129.94088839596503</v>
      </c>
      <c r="G224" s="240">
        <f>Dat_02!E223</f>
        <v>28.187521431847504</v>
      </c>
      <c r="I224" s="241">
        <f>Dat_02!G223</f>
        <v>0</v>
      </c>
      <c r="J224" s="251" t="str">
        <f>IF(Dat_02!H223=0,"",Dat_02!H223)</f>
        <v/>
      </c>
    </row>
    <row r="225" spans="2:10">
      <c r="B225" s="237"/>
      <c r="C225" s="238">
        <f>Dat_02!B224</f>
        <v>44599</v>
      </c>
      <c r="D225" s="237"/>
      <c r="E225" s="240">
        <f>Dat_02!C224</f>
        <v>29.725018323848438</v>
      </c>
      <c r="F225" s="240">
        <f>Dat_02!D224</f>
        <v>129.94088839596503</v>
      </c>
      <c r="G225" s="240">
        <f>Dat_02!E224</f>
        <v>29.725018323848438</v>
      </c>
      <c r="I225" s="241">
        <f>Dat_02!G224</f>
        <v>0</v>
      </c>
      <c r="J225" s="251" t="str">
        <f>IF(Dat_02!H224=0,"",Dat_02!H224)</f>
        <v/>
      </c>
    </row>
    <row r="226" spans="2:10">
      <c r="B226" s="237"/>
      <c r="C226" s="238">
        <f>Dat_02!B225</f>
        <v>44600</v>
      </c>
      <c r="D226" s="237"/>
      <c r="E226" s="240">
        <f>Dat_02!C225</f>
        <v>30.513595177848437</v>
      </c>
      <c r="F226" s="240">
        <f>Dat_02!D225</f>
        <v>129.94088839596503</v>
      </c>
      <c r="G226" s="240">
        <f>Dat_02!E225</f>
        <v>30.513595177848437</v>
      </c>
      <c r="I226" s="241">
        <f>Dat_02!G225</f>
        <v>0</v>
      </c>
      <c r="J226" s="251" t="str">
        <f>IF(Dat_02!H225=0,"",Dat_02!H225)</f>
        <v/>
      </c>
    </row>
    <row r="227" spans="2:10">
      <c r="B227" s="237"/>
      <c r="C227" s="238">
        <f>Dat_02!B226</f>
        <v>44601</v>
      </c>
      <c r="D227" s="237"/>
      <c r="E227" s="240">
        <f>Dat_02!C226</f>
        <v>35.111333372648339</v>
      </c>
      <c r="F227" s="240">
        <f>Dat_02!D226</f>
        <v>129.94088839596503</v>
      </c>
      <c r="G227" s="240">
        <f>Dat_02!E226</f>
        <v>35.111333372648339</v>
      </c>
      <c r="I227" s="241">
        <f>Dat_02!G226</f>
        <v>0</v>
      </c>
      <c r="J227" s="251" t="str">
        <f>IF(Dat_02!H226=0,"",Dat_02!H226)</f>
        <v/>
      </c>
    </row>
    <row r="228" spans="2:10">
      <c r="B228" s="237"/>
      <c r="C228" s="238">
        <f>Dat_02!B227</f>
        <v>44602</v>
      </c>
      <c r="D228" s="237"/>
      <c r="E228" s="240">
        <f>Dat_02!C227</f>
        <v>42.777986102650196</v>
      </c>
      <c r="F228" s="240">
        <f>Dat_02!D227</f>
        <v>129.94088839596503</v>
      </c>
      <c r="G228" s="240">
        <f>Dat_02!E227</f>
        <v>42.777986102650196</v>
      </c>
      <c r="I228" s="241">
        <f>Dat_02!G227</f>
        <v>0</v>
      </c>
      <c r="J228" s="251" t="str">
        <f>IF(Dat_02!H227=0,"",Dat_02!H227)</f>
        <v/>
      </c>
    </row>
    <row r="229" spans="2:10">
      <c r="B229" s="237"/>
      <c r="C229" s="238">
        <f>Dat_02!B228</f>
        <v>44603</v>
      </c>
      <c r="D229" s="237"/>
      <c r="E229" s="240">
        <f>Dat_02!C228</f>
        <v>47.478293512649266</v>
      </c>
      <c r="F229" s="240">
        <f>Dat_02!D228</f>
        <v>129.94088839596503</v>
      </c>
      <c r="G229" s="240">
        <f>Dat_02!E228</f>
        <v>47.478293512649266</v>
      </c>
      <c r="I229" s="241">
        <f>Dat_02!G228</f>
        <v>0</v>
      </c>
      <c r="J229" s="251" t="str">
        <f>IF(Dat_02!H228=0,"",Dat_02!H228)</f>
        <v/>
      </c>
    </row>
    <row r="230" spans="2:10">
      <c r="B230" s="237"/>
      <c r="C230" s="238">
        <f>Dat_02!B229</f>
        <v>44604</v>
      </c>
      <c r="D230" s="237"/>
      <c r="E230" s="240">
        <f>Dat_02!C229</f>
        <v>37.158866846651129</v>
      </c>
      <c r="F230" s="240">
        <f>Dat_02!D229</f>
        <v>129.94088839596503</v>
      </c>
      <c r="G230" s="240">
        <f>Dat_02!E229</f>
        <v>37.158866846651129</v>
      </c>
      <c r="I230" s="241">
        <f>Dat_02!G229</f>
        <v>0</v>
      </c>
      <c r="J230" s="251" t="str">
        <f>IF(Dat_02!H229=0,"",Dat_02!H229)</f>
        <v/>
      </c>
    </row>
    <row r="231" spans="2:10">
      <c r="B231" s="237"/>
      <c r="C231" s="238">
        <f>Dat_02!B230</f>
        <v>44605</v>
      </c>
      <c r="D231" s="237"/>
      <c r="E231" s="240">
        <f>Dat_02!C230</f>
        <v>19.881522136649266</v>
      </c>
      <c r="F231" s="240">
        <f>Dat_02!D230</f>
        <v>129.94088839596503</v>
      </c>
      <c r="G231" s="240">
        <f>Dat_02!E230</f>
        <v>19.881522136649266</v>
      </c>
      <c r="I231" s="241">
        <f>Dat_02!G230</f>
        <v>0</v>
      </c>
      <c r="J231" s="251" t="str">
        <f>IF(Dat_02!H230=0,"",Dat_02!H230)</f>
        <v/>
      </c>
    </row>
    <row r="232" spans="2:10">
      <c r="B232" s="237"/>
      <c r="C232" s="238">
        <f>Dat_02!B231</f>
        <v>44606</v>
      </c>
      <c r="D232" s="237"/>
      <c r="E232" s="240">
        <f>Dat_02!C231</f>
        <v>27.611176538649271</v>
      </c>
      <c r="F232" s="240">
        <f>Dat_02!D231</f>
        <v>129.94088839596503</v>
      </c>
      <c r="G232" s="240">
        <f>Dat_02!E231</f>
        <v>27.611176538649271</v>
      </c>
      <c r="I232" s="241">
        <f>Dat_02!G231</f>
        <v>0</v>
      </c>
      <c r="J232" s="251" t="str">
        <f>IF(Dat_02!H231=0,"",Dat_02!H231)</f>
        <v/>
      </c>
    </row>
    <row r="233" spans="2:10">
      <c r="B233" s="237"/>
      <c r="C233" s="238">
        <f>Dat_02!B232</f>
        <v>44607</v>
      </c>
      <c r="D233" s="237"/>
      <c r="E233" s="240">
        <f>Dat_02!C232</f>
        <v>34.258890400651133</v>
      </c>
      <c r="F233" s="240">
        <f>Dat_02!D232</f>
        <v>129.94088839596503</v>
      </c>
      <c r="G233" s="240">
        <f>Dat_02!E232</f>
        <v>34.258890400651133</v>
      </c>
      <c r="I233" s="241">
        <f>Dat_02!G232</f>
        <v>129.94088839596503</v>
      </c>
      <c r="J233" s="251" t="str">
        <f>IF(Dat_02!H232=0,"",Dat_02!H232)</f>
        <v/>
      </c>
    </row>
    <row r="234" spans="2:10">
      <c r="B234" s="237"/>
      <c r="C234" s="238">
        <f>Dat_02!B233</f>
        <v>44608</v>
      </c>
      <c r="D234" s="237"/>
      <c r="E234" s="240">
        <f>Dat_02!C233</f>
        <v>28.749563519336924</v>
      </c>
      <c r="F234" s="240">
        <f>Dat_02!D233</f>
        <v>129.94088839596503</v>
      </c>
      <c r="G234" s="240">
        <f>Dat_02!E233</f>
        <v>28.749563519336924</v>
      </c>
      <c r="I234" s="241">
        <f>Dat_02!G233</f>
        <v>0</v>
      </c>
      <c r="J234" s="251" t="str">
        <f>IF(Dat_02!H233=0,"",Dat_02!H233)</f>
        <v/>
      </c>
    </row>
    <row r="235" spans="2:10">
      <c r="B235" s="237"/>
      <c r="C235" s="238">
        <f>Dat_02!B234</f>
        <v>44609</v>
      </c>
      <c r="D235" s="237"/>
      <c r="E235" s="240">
        <f>Dat_02!C234</f>
        <v>43.197240531335062</v>
      </c>
      <c r="F235" s="240">
        <f>Dat_02!D234</f>
        <v>129.94088839596503</v>
      </c>
      <c r="G235" s="240">
        <f>Dat_02!E234</f>
        <v>43.197240531335062</v>
      </c>
      <c r="I235" s="241">
        <f>Dat_02!G234</f>
        <v>0</v>
      </c>
      <c r="J235" s="251" t="str">
        <f>IF(Dat_02!H234=0,"",Dat_02!H234)</f>
        <v/>
      </c>
    </row>
    <row r="236" spans="2:10">
      <c r="B236" s="237"/>
      <c r="C236" s="238">
        <f>Dat_02!B235</f>
        <v>44610</v>
      </c>
      <c r="D236" s="237"/>
      <c r="E236" s="240">
        <f>Dat_02!C235</f>
        <v>47.718475881335998</v>
      </c>
      <c r="F236" s="240">
        <f>Dat_02!D235</f>
        <v>129.94088839596503</v>
      </c>
      <c r="G236" s="240">
        <f>Dat_02!E235</f>
        <v>47.718475881335998</v>
      </c>
      <c r="I236" s="241">
        <f>Dat_02!G235</f>
        <v>0</v>
      </c>
      <c r="J236" s="251" t="str">
        <f>IF(Dat_02!H235=0,"",Dat_02!H235)</f>
        <v/>
      </c>
    </row>
    <row r="237" spans="2:10">
      <c r="B237" s="237"/>
      <c r="C237" s="238">
        <f>Dat_02!B236</f>
        <v>44611</v>
      </c>
      <c r="D237" s="237"/>
      <c r="E237" s="240">
        <f>Dat_02!C236</f>
        <v>33.988274225336923</v>
      </c>
      <c r="F237" s="240">
        <f>Dat_02!D236</f>
        <v>129.94088839596503</v>
      </c>
      <c r="G237" s="240">
        <f>Dat_02!E236</f>
        <v>33.988274225336923</v>
      </c>
      <c r="I237" s="241">
        <f>Dat_02!G236</f>
        <v>0</v>
      </c>
      <c r="J237" s="251" t="str">
        <f>IF(Dat_02!H236=0,"",Dat_02!H236)</f>
        <v/>
      </c>
    </row>
    <row r="238" spans="2:10">
      <c r="B238" s="237"/>
      <c r="C238" s="238">
        <f>Dat_02!B237</f>
        <v>44612</v>
      </c>
      <c r="D238" s="237"/>
      <c r="E238" s="240">
        <f>Dat_02!C237</f>
        <v>39.823815895335997</v>
      </c>
      <c r="F238" s="240">
        <f>Dat_02!D237</f>
        <v>129.94088839596503</v>
      </c>
      <c r="G238" s="240">
        <f>Dat_02!E237</f>
        <v>39.823815895335997</v>
      </c>
      <c r="I238" s="241">
        <f>Dat_02!G237</f>
        <v>0</v>
      </c>
      <c r="J238" s="251" t="str">
        <f>IF(Dat_02!H237=0,"",Dat_02!H237)</f>
        <v/>
      </c>
    </row>
    <row r="239" spans="2:10">
      <c r="B239" s="237"/>
      <c r="C239" s="238">
        <f>Dat_02!B238</f>
        <v>44613</v>
      </c>
      <c r="D239" s="237"/>
      <c r="E239" s="240">
        <f>Dat_02!C238</f>
        <v>41.68908106933786</v>
      </c>
      <c r="F239" s="240">
        <f>Dat_02!D238</f>
        <v>129.94088839596503</v>
      </c>
      <c r="G239" s="240">
        <f>Dat_02!E238</f>
        <v>41.68908106933786</v>
      </c>
      <c r="I239" s="241">
        <f>Dat_02!G238</f>
        <v>0</v>
      </c>
      <c r="J239" s="251" t="str">
        <f>IF(Dat_02!H238=0,"",Dat_02!H238)</f>
        <v/>
      </c>
    </row>
    <row r="240" spans="2:10">
      <c r="B240" s="237"/>
      <c r="C240" s="238">
        <f>Dat_02!B239</f>
        <v>44614</v>
      </c>
      <c r="D240" s="237"/>
      <c r="E240" s="240">
        <f>Dat_02!C239</f>
        <v>42.155632395335061</v>
      </c>
      <c r="F240" s="240">
        <f>Dat_02!D239</f>
        <v>129.94088839596503</v>
      </c>
      <c r="G240" s="240">
        <f>Dat_02!E239</f>
        <v>42.155632395335061</v>
      </c>
      <c r="I240" s="241">
        <f>Dat_02!G239</f>
        <v>0</v>
      </c>
      <c r="J240" s="251" t="str">
        <f>IF(Dat_02!H239=0,"",Dat_02!H239)</f>
        <v/>
      </c>
    </row>
    <row r="241" spans="2:10">
      <c r="B241" s="237"/>
      <c r="C241" s="238">
        <f>Dat_02!B240</f>
        <v>44615</v>
      </c>
      <c r="D241" s="237"/>
      <c r="E241" s="240">
        <f>Dat_02!C240</f>
        <v>31.339652456992443</v>
      </c>
      <c r="F241" s="240">
        <f>Dat_02!D240</f>
        <v>129.94088839596503</v>
      </c>
      <c r="G241" s="240">
        <f>Dat_02!E240</f>
        <v>31.339652456992443</v>
      </c>
      <c r="I241" s="241">
        <f>Dat_02!G240</f>
        <v>0</v>
      </c>
      <c r="J241" s="251" t="str">
        <f>IF(Dat_02!H240=0,"",Dat_02!H240)</f>
        <v/>
      </c>
    </row>
    <row r="242" spans="2:10">
      <c r="B242" s="237"/>
      <c r="C242" s="238">
        <f>Dat_02!B241</f>
        <v>44616</v>
      </c>
      <c r="D242" s="237"/>
      <c r="E242" s="240">
        <f>Dat_02!C241</f>
        <v>36.859241576992439</v>
      </c>
      <c r="F242" s="240">
        <f>Dat_02!D241</f>
        <v>129.94088839596503</v>
      </c>
      <c r="G242" s="240">
        <f>Dat_02!E241</f>
        <v>36.859241576992439</v>
      </c>
      <c r="I242" s="241">
        <f>Dat_02!G241</f>
        <v>0</v>
      </c>
      <c r="J242" s="251" t="str">
        <f>IF(Dat_02!H241=0,"",Dat_02!H241)</f>
        <v/>
      </c>
    </row>
    <row r="243" spans="2:10">
      <c r="B243" s="237"/>
      <c r="C243" s="238">
        <f>Dat_02!B242</f>
        <v>44617</v>
      </c>
      <c r="D243" s="237"/>
      <c r="E243" s="240">
        <f>Dat_02!C242</f>
        <v>31.293420378992444</v>
      </c>
      <c r="F243" s="240">
        <f>Dat_02!D242</f>
        <v>129.94088839596503</v>
      </c>
      <c r="G243" s="240">
        <f>Dat_02!E242</f>
        <v>31.293420378992444</v>
      </c>
      <c r="I243" s="241">
        <f>Dat_02!G242</f>
        <v>0</v>
      </c>
      <c r="J243" s="251" t="str">
        <f>IF(Dat_02!H242=0,"",Dat_02!H242)</f>
        <v/>
      </c>
    </row>
    <row r="244" spans="2:10">
      <c r="B244" s="237"/>
      <c r="C244" s="238">
        <f>Dat_02!B243</f>
        <v>44618</v>
      </c>
      <c r="D244" s="237"/>
      <c r="E244" s="240">
        <f>Dat_02!C243</f>
        <v>32.225518250991513</v>
      </c>
      <c r="F244" s="240">
        <f>Dat_02!D243</f>
        <v>129.94088839596503</v>
      </c>
      <c r="G244" s="240">
        <f>Dat_02!E243</f>
        <v>32.225518250991513</v>
      </c>
      <c r="I244" s="241">
        <f>Dat_02!G243</f>
        <v>0</v>
      </c>
      <c r="J244" s="251" t="str">
        <f>IF(Dat_02!H243=0,"",Dat_02!H243)</f>
        <v/>
      </c>
    </row>
    <row r="245" spans="2:10">
      <c r="B245" s="237"/>
      <c r="C245" s="238">
        <f>Dat_02!B244</f>
        <v>44619</v>
      </c>
      <c r="D245" s="237"/>
      <c r="E245" s="240">
        <f>Dat_02!C244</f>
        <v>31.636667194992441</v>
      </c>
      <c r="F245" s="240">
        <f>Dat_02!D244</f>
        <v>129.94088839596503</v>
      </c>
      <c r="G245" s="240">
        <f>Dat_02!E244</f>
        <v>31.636667194992441</v>
      </c>
      <c r="I245" s="241">
        <f>Dat_02!G244</f>
        <v>0</v>
      </c>
      <c r="J245" s="251" t="str">
        <f>IF(Dat_02!H244=0,"",Dat_02!H244)</f>
        <v/>
      </c>
    </row>
    <row r="246" spans="2:10">
      <c r="B246" s="237"/>
      <c r="C246" s="238">
        <f>Dat_02!B245</f>
        <v>44620</v>
      </c>
      <c r="D246" s="237"/>
      <c r="E246" s="240">
        <f>Dat_02!C245</f>
        <v>24.663975052992441</v>
      </c>
      <c r="F246" s="240">
        <f>Dat_02!D245</f>
        <v>129.94088839596503</v>
      </c>
      <c r="G246" s="240">
        <f>Dat_02!E245</f>
        <v>24.663975052992441</v>
      </c>
      <c r="I246" s="241">
        <f>Dat_02!G245</f>
        <v>0</v>
      </c>
      <c r="J246" s="251" t="str">
        <f>IF(Dat_02!H245=0,"",Dat_02!H245)</f>
        <v/>
      </c>
    </row>
    <row r="247" spans="2:10">
      <c r="B247" s="237"/>
      <c r="C247" s="238">
        <f>Dat_02!B246</f>
        <v>44621</v>
      </c>
      <c r="D247" s="237"/>
      <c r="E247" s="240">
        <f>Dat_02!C246</f>
        <v>31.211716412993372</v>
      </c>
      <c r="F247" s="240">
        <f>Dat_02!D246</f>
        <v>128.70213492494773</v>
      </c>
      <c r="G247" s="240">
        <f>Dat_02!E246</f>
        <v>31.211716412993372</v>
      </c>
      <c r="I247" s="241">
        <f>Dat_02!G246</f>
        <v>0</v>
      </c>
      <c r="J247" s="251" t="str">
        <f>IF(Dat_02!H246=0,"",Dat_02!H246)</f>
        <v/>
      </c>
    </row>
    <row r="248" spans="2:10">
      <c r="B248" s="239"/>
      <c r="C248" s="238">
        <f>Dat_02!B247</f>
        <v>44622</v>
      </c>
      <c r="D248" s="239"/>
      <c r="E248" s="240">
        <f>Dat_02!C247</f>
        <v>40.57303017967331</v>
      </c>
      <c r="F248" s="240">
        <f>Dat_02!D247</f>
        <v>128.70213492494773</v>
      </c>
      <c r="G248" s="240">
        <f>Dat_02!E247</f>
        <v>40.57303017967331</v>
      </c>
      <c r="I248" s="241">
        <f>Dat_02!G247</f>
        <v>0</v>
      </c>
      <c r="J248" s="251" t="str">
        <f>IF(Dat_02!H247=0,"",Dat_02!H247)</f>
        <v/>
      </c>
    </row>
    <row r="249" spans="2:10">
      <c r="B249" s="237" t="s">
        <v>208</v>
      </c>
      <c r="C249" s="238">
        <f>Dat_02!B248</f>
        <v>44623</v>
      </c>
      <c r="D249" s="239"/>
      <c r="E249" s="240">
        <f>Dat_02!C248</f>
        <v>49.097572419673313</v>
      </c>
      <c r="F249" s="240">
        <f>Dat_02!D248</f>
        <v>128.70213492494773</v>
      </c>
      <c r="G249" s="240">
        <f>Dat_02!E248</f>
        <v>49.097572419673313</v>
      </c>
      <c r="I249" s="241">
        <f>Dat_02!G248</f>
        <v>0</v>
      </c>
      <c r="J249" s="251" t="str">
        <f>IF(Dat_02!H248=0,"",Dat_02!H248)</f>
        <v/>
      </c>
    </row>
    <row r="250" spans="2:10">
      <c r="B250" s="237"/>
      <c r="C250" s="238">
        <f>Dat_02!B249</f>
        <v>44624</v>
      </c>
      <c r="D250" s="239"/>
      <c r="E250" s="240">
        <f>Dat_02!C249</f>
        <v>39.132082935674248</v>
      </c>
      <c r="F250" s="240">
        <f>Dat_02!D249</f>
        <v>128.70213492494773</v>
      </c>
      <c r="G250" s="240">
        <f>Dat_02!E249</f>
        <v>39.132082935674248</v>
      </c>
      <c r="I250" s="241">
        <f>Dat_02!G249</f>
        <v>0</v>
      </c>
      <c r="J250" s="251" t="str">
        <f>IF(Dat_02!H249=0,"",Dat_02!H249)</f>
        <v/>
      </c>
    </row>
    <row r="251" spans="2:10">
      <c r="B251" s="237"/>
      <c r="C251" s="238">
        <f>Dat_02!B250</f>
        <v>44625</v>
      </c>
      <c r="D251" s="239"/>
      <c r="E251" s="240">
        <f>Dat_02!C250</f>
        <v>48.696892543674245</v>
      </c>
      <c r="F251" s="240">
        <f>Dat_02!D250</f>
        <v>128.70213492494773</v>
      </c>
      <c r="G251" s="240">
        <f>Dat_02!E250</f>
        <v>48.696892543674245</v>
      </c>
      <c r="I251" s="241">
        <f>Dat_02!G250</f>
        <v>0</v>
      </c>
      <c r="J251" s="251" t="str">
        <f>IF(Dat_02!H250=0,"",Dat_02!H250)</f>
        <v/>
      </c>
    </row>
    <row r="252" spans="2:10">
      <c r="B252" s="237"/>
      <c r="C252" s="238">
        <f>Dat_02!B251</f>
        <v>44626</v>
      </c>
      <c r="D252" s="237"/>
      <c r="E252" s="240">
        <f>Dat_02!C251</f>
        <v>45.562907035673312</v>
      </c>
      <c r="F252" s="240">
        <f>Dat_02!D251</f>
        <v>128.70213492494773</v>
      </c>
      <c r="G252" s="240">
        <f>Dat_02!E251</f>
        <v>45.562907035673312</v>
      </c>
      <c r="I252" s="241">
        <f>Dat_02!G251</f>
        <v>0</v>
      </c>
      <c r="J252" s="251" t="str">
        <f>IF(Dat_02!H251=0,"",Dat_02!H251)</f>
        <v/>
      </c>
    </row>
    <row r="253" spans="2:10">
      <c r="B253" s="237"/>
      <c r="C253" s="238">
        <f>Dat_02!B252</f>
        <v>44627</v>
      </c>
      <c r="D253" s="237"/>
      <c r="E253" s="240">
        <f>Dat_02!C252</f>
        <v>60.436224323673322</v>
      </c>
      <c r="F253" s="240">
        <f>Dat_02!D252</f>
        <v>128.70213492494773</v>
      </c>
      <c r="G253" s="240">
        <f>Dat_02!E252</f>
        <v>60.436224323673322</v>
      </c>
      <c r="I253" s="241">
        <f>Dat_02!G252</f>
        <v>0</v>
      </c>
      <c r="J253" s="251" t="str">
        <f>IF(Dat_02!H252=0,"",Dat_02!H252)</f>
        <v/>
      </c>
    </row>
    <row r="254" spans="2:10">
      <c r="B254" s="237"/>
      <c r="C254" s="238">
        <f>Dat_02!B253</f>
        <v>44628</v>
      </c>
      <c r="D254" s="237"/>
      <c r="E254" s="240">
        <f>Dat_02!C253</f>
        <v>36.773538775673316</v>
      </c>
      <c r="F254" s="240">
        <f>Dat_02!D253</f>
        <v>128.70213492494773</v>
      </c>
      <c r="G254" s="240">
        <f>Dat_02!E253</f>
        <v>36.773538775673316</v>
      </c>
      <c r="I254" s="241">
        <f>Dat_02!G253</f>
        <v>0</v>
      </c>
      <c r="J254" s="251" t="str">
        <f>IF(Dat_02!H253=0,"",Dat_02!H253)</f>
        <v/>
      </c>
    </row>
    <row r="255" spans="2:10">
      <c r="B255" s="237"/>
      <c r="C255" s="238">
        <f>Dat_02!B254</f>
        <v>44629</v>
      </c>
      <c r="D255" s="237"/>
      <c r="E255" s="240">
        <f>Dat_02!C254</f>
        <v>62.022237105205562</v>
      </c>
      <c r="F255" s="240">
        <f>Dat_02!D254</f>
        <v>128.70213492494773</v>
      </c>
      <c r="G255" s="240">
        <f>Dat_02!E254</f>
        <v>62.022237105205562</v>
      </c>
      <c r="I255" s="241">
        <f>Dat_02!G254</f>
        <v>0</v>
      </c>
      <c r="J255" s="251" t="str">
        <f>IF(Dat_02!H254=0,"",Dat_02!H254)</f>
        <v/>
      </c>
    </row>
    <row r="256" spans="2:10">
      <c r="B256" s="237"/>
      <c r="C256" s="238">
        <f>Dat_02!B255</f>
        <v>44630</v>
      </c>
      <c r="D256" s="237"/>
      <c r="E256" s="240">
        <f>Dat_02!C255</f>
        <v>54.58580692720556</v>
      </c>
      <c r="F256" s="240">
        <f>Dat_02!D255</f>
        <v>128.70213492494773</v>
      </c>
      <c r="G256" s="240">
        <f>Dat_02!E255</f>
        <v>54.58580692720556</v>
      </c>
      <c r="I256" s="241">
        <f>Dat_02!G255</f>
        <v>0</v>
      </c>
      <c r="J256" s="251" t="str">
        <f>IF(Dat_02!H255=0,"",Dat_02!H255)</f>
        <v/>
      </c>
    </row>
    <row r="257" spans="2:10">
      <c r="B257" s="237"/>
      <c r="C257" s="238">
        <f>Dat_02!B256</f>
        <v>44631</v>
      </c>
      <c r="D257" s="237"/>
      <c r="E257" s="240">
        <f>Dat_02!C256</f>
        <v>60.39870195520556</v>
      </c>
      <c r="F257" s="240">
        <f>Dat_02!D256</f>
        <v>128.70213492494773</v>
      </c>
      <c r="G257" s="240">
        <f>Dat_02!E256</f>
        <v>60.39870195520556</v>
      </c>
      <c r="I257" s="241">
        <f>Dat_02!G256</f>
        <v>0</v>
      </c>
      <c r="J257" s="251" t="str">
        <f>IF(Dat_02!H256=0,"",Dat_02!H256)</f>
        <v/>
      </c>
    </row>
    <row r="258" spans="2:10">
      <c r="B258" s="237"/>
      <c r="C258" s="238">
        <f>Dat_02!B257</f>
        <v>44632</v>
      </c>
      <c r="D258" s="237"/>
      <c r="E258" s="240">
        <f>Dat_02!C257</f>
        <v>58.957142285206494</v>
      </c>
      <c r="F258" s="240">
        <f>Dat_02!D257</f>
        <v>128.70213492494773</v>
      </c>
      <c r="G258" s="240">
        <f>Dat_02!E257</f>
        <v>58.957142285206494</v>
      </c>
      <c r="I258" s="241">
        <f>Dat_02!G257</f>
        <v>0</v>
      </c>
      <c r="J258" s="251" t="str">
        <f>IF(Dat_02!H257=0,"",Dat_02!H257)</f>
        <v/>
      </c>
    </row>
    <row r="259" spans="2:10">
      <c r="B259" s="237"/>
      <c r="C259" s="238">
        <f>Dat_02!B258</f>
        <v>44633</v>
      </c>
      <c r="D259" s="237"/>
      <c r="E259" s="240">
        <f>Dat_02!C258</f>
        <v>60.333727731206494</v>
      </c>
      <c r="F259" s="240">
        <f>Dat_02!D258</f>
        <v>128.70213492494773</v>
      </c>
      <c r="G259" s="240">
        <f>Dat_02!E258</f>
        <v>60.333727731206494</v>
      </c>
      <c r="I259" s="241">
        <f>Dat_02!G258</f>
        <v>0</v>
      </c>
      <c r="J259" s="251" t="str">
        <f>IF(Dat_02!H258=0,"",Dat_02!H258)</f>
        <v/>
      </c>
    </row>
    <row r="260" spans="2:10">
      <c r="B260" s="237"/>
      <c r="C260" s="238">
        <f>Dat_02!B259</f>
        <v>44634</v>
      </c>
      <c r="D260" s="237"/>
      <c r="E260" s="240">
        <f>Dat_02!C259</f>
        <v>63.452272503205563</v>
      </c>
      <c r="F260" s="240">
        <f>Dat_02!D259</f>
        <v>128.70213492494773</v>
      </c>
      <c r="G260" s="240">
        <f>Dat_02!E259</f>
        <v>63.452272503205563</v>
      </c>
      <c r="I260" s="241">
        <f>Dat_02!G259</f>
        <v>0</v>
      </c>
      <c r="J260" s="251" t="str">
        <f>IF(Dat_02!H259=0,"",Dat_02!H259)</f>
        <v/>
      </c>
    </row>
    <row r="261" spans="2:10">
      <c r="B261" s="237"/>
      <c r="C261" s="238">
        <f>Dat_02!B260</f>
        <v>44635</v>
      </c>
      <c r="D261" s="237"/>
      <c r="E261" s="240">
        <f>Dat_02!C260</f>
        <v>88.496498825206487</v>
      </c>
      <c r="F261" s="240">
        <f>Dat_02!D260</f>
        <v>128.70213492494773</v>
      </c>
      <c r="G261" s="240">
        <f>Dat_02!E260</f>
        <v>88.496498825206487</v>
      </c>
      <c r="I261" s="241">
        <f>Dat_02!G260</f>
        <v>128.70213492494773</v>
      </c>
      <c r="J261" s="251" t="str">
        <f>IF(Dat_02!H260=0,"",Dat_02!H260)</f>
        <v/>
      </c>
    </row>
    <row r="262" spans="2:10">
      <c r="B262" s="237"/>
      <c r="C262" s="238">
        <f>Dat_02!B261</f>
        <v>44636</v>
      </c>
      <c r="D262" s="237"/>
      <c r="E262" s="240">
        <f>Dat_02!C261</f>
        <v>105.71589378317859</v>
      </c>
      <c r="F262" s="240">
        <f>Dat_02!D261</f>
        <v>128.70213492494773</v>
      </c>
      <c r="G262" s="240">
        <f>Dat_02!E261</f>
        <v>105.71589378317859</v>
      </c>
      <c r="I262" s="241">
        <f>Dat_02!G261</f>
        <v>0</v>
      </c>
      <c r="J262" s="251" t="str">
        <f>IF(Dat_02!H261=0,"",Dat_02!H261)</f>
        <v/>
      </c>
    </row>
    <row r="263" spans="2:10">
      <c r="B263" s="237"/>
      <c r="C263" s="238">
        <f>Dat_02!B262</f>
        <v>44637</v>
      </c>
      <c r="D263" s="237"/>
      <c r="E263" s="240">
        <f>Dat_02!C262</f>
        <v>76.264557677176725</v>
      </c>
      <c r="F263" s="240">
        <f>Dat_02!D262</f>
        <v>128.70213492494773</v>
      </c>
      <c r="G263" s="240">
        <f>Dat_02!E262</f>
        <v>76.264557677176725</v>
      </c>
      <c r="I263" s="241">
        <f>Dat_02!G262</f>
        <v>0</v>
      </c>
      <c r="J263" s="251" t="str">
        <f>IF(Dat_02!H262=0,"",Dat_02!H262)</f>
        <v/>
      </c>
    </row>
    <row r="264" spans="2:10">
      <c r="B264" s="237"/>
      <c r="C264" s="238">
        <f>Dat_02!B263</f>
        <v>44638</v>
      </c>
      <c r="D264" s="237"/>
      <c r="E264" s="240">
        <f>Dat_02!C263</f>
        <v>83.562964599177647</v>
      </c>
      <c r="F264" s="240">
        <f>Dat_02!D263</f>
        <v>128.70213492494773</v>
      </c>
      <c r="G264" s="240">
        <f>Dat_02!E263</f>
        <v>83.562964599177647</v>
      </c>
      <c r="I264" s="241">
        <f>Dat_02!G263</f>
        <v>0</v>
      </c>
      <c r="J264" s="251" t="str">
        <f>IF(Dat_02!H263=0,"",Dat_02!H263)</f>
        <v/>
      </c>
    </row>
    <row r="265" spans="2:10">
      <c r="B265" s="237"/>
      <c r="C265" s="238">
        <f>Dat_02!B264</f>
        <v>44639</v>
      </c>
      <c r="D265" s="237"/>
      <c r="E265" s="240">
        <f>Dat_02!C264</f>
        <v>72.890805351177647</v>
      </c>
      <c r="F265" s="240">
        <f>Dat_02!D264</f>
        <v>128.70213492494773</v>
      </c>
      <c r="G265" s="240">
        <f>Dat_02!E264</f>
        <v>72.890805351177647</v>
      </c>
      <c r="I265" s="241">
        <f>Dat_02!G264</f>
        <v>0</v>
      </c>
      <c r="J265" s="251" t="str">
        <f>IF(Dat_02!H264=0,"",Dat_02!H264)</f>
        <v/>
      </c>
    </row>
    <row r="266" spans="2:10">
      <c r="B266" s="237"/>
      <c r="C266" s="238">
        <f>Dat_02!B265</f>
        <v>44640</v>
      </c>
      <c r="D266" s="237"/>
      <c r="E266" s="240">
        <f>Dat_02!C265</f>
        <v>63.217655083177654</v>
      </c>
      <c r="F266" s="240">
        <f>Dat_02!D265</f>
        <v>128.70213492494773</v>
      </c>
      <c r="G266" s="240">
        <f>Dat_02!E265</f>
        <v>63.217655083177654</v>
      </c>
      <c r="I266" s="241">
        <f>Dat_02!G265</f>
        <v>0</v>
      </c>
      <c r="J266" s="251" t="str">
        <f>IF(Dat_02!H265=0,"",Dat_02!H265)</f>
        <v/>
      </c>
    </row>
    <row r="267" spans="2:10">
      <c r="B267" s="237"/>
      <c r="C267" s="238">
        <f>Dat_02!B266</f>
        <v>44641</v>
      </c>
      <c r="D267" s="237"/>
      <c r="E267" s="240">
        <f>Dat_02!C266</f>
        <v>64.287039147177651</v>
      </c>
      <c r="F267" s="240">
        <f>Dat_02!D266</f>
        <v>128.70213492494773</v>
      </c>
      <c r="G267" s="240">
        <f>Dat_02!E266</f>
        <v>64.287039147177651</v>
      </c>
      <c r="I267" s="241">
        <f>Dat_02!G266</f>
        <v>0</v>
      </c>
      <c r="J267" s="251" t="str">
        <f>IF(Dat_02!H266=0,"",Dat_02!H266)</f>
        <v/>
      </c>
    </row>
    <row r="268" spans="2:10">
      <c r="B268" s="237"/>
      <c r="C268" s="238">
        <f>Dat_02!B267</f>
        <v>44642</v>
      </c>
      <c r="D268" s="237"/>
      <c r="E268" s="240">
        <f>Dat_02!C267</f>
        <v>71.233800761177662</v>
      </c>
      <c r="F268" s="240">
        <f>Dat_02!D267</f>
        <v>128.70213492494773</v>
      </c>
      <c r="G268" s="240">
        <f>Dat_02!E267</f>
        <v>71.233800761177662</v>
      </c>
      <c r="I268" s="241">
        <f>Dat_02!G267</f>
        <v>0</v>
      </c>
      <c r="J268" s="251" t="str">
        <f>IF(Dat_02!H267=0,"",Dat_02!H267)</f>
        <v/>
      </c>
    </row>
    <row r="269" spans="2:10">
      <c r="B269" s="237"/>
      <c r="C269" s="238">
        <f>Dat_02!B268</f>
        <v>44643</v>
      </c>
      <c r="D269" s="237"/>
      <c r="E269" s="240">
        <f>Dat_02!C268</f>
        <v>96.300871922288962</v>
      </c>
      <c r="F269" s="240">
        <f>Dat_02!D268</f>
        <v>128.70213492494773</v>
      </c>
      <c r="G269" s="240">
        <f>Dat_02!E268</f>
        <v>96.300871922288962</v>
      </c>
      <c r="I269" s="241">
        <f>Dat_02!G268</f>
        <v>0</v>
      </c>
      <c r="J269" s="251" t="str">
        <f>IF(Dat_02!H268=0,"",Dat_02!H268)</f>
        <v/>
      </c>
    </row>
    <row r="270" spans="2:10">
      <c r="B270" s="237"/>
      <c r="C270" s="238">
        <f>Dat_02!B269</f>
        <v>44644</v>
      </c>
      <c r="D270" s="237"/>
      <c r="E270" s="240">
        <f>Dat_02!C269</f>
        <v>108.53630518828989</v>
      </c>
      <c r="F270" s="240">
        <f>Dat_02!D269</f>
        <v>128.70213492494773</v>
      </c>
      <c r="G270" s="240">
        <f>Dat_02!E269</f>
        <v>108.53630518828989</v>
      </c>
      <c r="I270" s="241">
        <f>Dat_02!G269</f>
        <v>0</v>
      </c>
      <c r="J270" s="251" t="str">
        <f>IF(Dat_02!H269=0,"",Dat_02!H269)</f>
        <v/>
      </c>
    </row>
    <row r="271" spans="2:10">
      <c r="B271" s="237"/>
      <c r="C271" s="238">
        <f>Dat_02!B270</f>
        <v>44645</v>
      </c>
      <c r="D271" s="237"/>
      <c r="E271" s="240">
        <f>Dat_02!C270</f>
        <v>101.10625637829081</v>
      </c>
      <c r="F271" s="240">
        <f>Dat_02!D270</f>
        <v>128.70213492494773</v>
      </c>
      <c r="G271" s="240">
        <f>Dat_02!E270</f>
        <v>101.10625637829081</v>
      </c>
      <c r="I271" s="241">
        <f>Dat_02!G270</f>
        <v>0</v>
      </c>
      <c r="J271" s="251" t="str">
        <f>IF(Dat_02!H270=0,"",Dat_02!H270)</f>
        <v/>
      </c>
    </row>
    <row r="272" spans="2:10">
      <c r="B272" s="237"/>
      <c r="C272" s="238">
        <f>Dat_02!B271</f>
        <v>44646</v>
      </c>
      <c r="D272" s="237"/>
      <c r="E272" s="240">
        <f>Dat_02!C271</f>
        <v>96.942868272288962</v>
      </c>
      <c r="F272" s="240">
        <f>Dat_02!D271</f>
        <v>128.70213492494773</v>
      </c>
      <c r="G272" s="240">
        <f>Dat_02!E271</f>
        <v>96.942868272288962</v>
      </c>
      <c r="I272" s="241">
        <f>Dat_02!G271</f>
        <v>0</v>
      </c>
      <c r="J272" s="251" t="str">
        <f>IF(Dat_02!H271=0,"",Dat_02!H271)</f>
        <v/>
      </c>
    </row>
    <row r="273" spans="2:10">
      <c r="B273" s="237"/>
      <c r="C273" s="238">
        <f>Dat_02!B272</f>
        <v>44647</v>
      </c>
      <c r="D273" s="237"/>
      <c r="E273" s="240">
        <f>Dat_02!C272</f>
        <v>76.312869546289875</v>
      </c>
      <c r="F273" s="240">
        <f>Dat_02!D272</f>
        <v>128.70213492494773</v>
      </c>
      <c r="G273" s="240">
        <f>Dat_02!E272</f>
        <v>76.312869546289875</v>
      </c>
      <c r="I273" s="241">
        <f>Dat_02!G272</f>
        <v>0</v>
      </c>
      <c r="J273" s="251" t="str">
        <f>IF(Dat_02!H272=0,"",Dat_02!H272)</f>
        <v/>
      </c>
    </row>
    <row r="274" spans="2:10">
      <c r="B274" s="237"/>
      <c r="C274" s="238">
        <f>Dat_02!B273</f>
        <v>44648</v>
      </c>
      <c r="D274" s="237"/>
      <c r="E274" s="240">
        <f>Dat_02!C273</f>
        <v>87.289832582288952</v>
      </c>
      <c r="F274" s="240">
        <f>Dat_02!D273</f>
        <v>128.70213492494773</v>
      </c>
      <c r="G274" s="240">
        <f>Dat_02!E273</f>
        <v>87.289832582288952</v>
      </c>
      <c r="I274" s="241">
        <f>Dat_02!G273</f>
        <v>0</v>
      </c>
      <c r="J274" s="251" t="str">
        <f>IF(Dat_02!H273=0,"",Dat_02!H273)</f>
        <v/>
      </c>
    </row>
    <row r="275" spans="2:10">
      <c r="B275" s="237"/>
      <c r="C275" s="238">
        <f>Dat_02!B274</f>
        <v>44649</v>
      </c>
      <c r="D275" s="237"/>
      <c r="E275" s="240">
        <f>Dat_02!C274</f>
        <v>99.370696372289885</v>
      </c>
      <c r="F275" s="240">
        <f>Dat_02!D274</f>
        <v>128.70213492494773</v>
      </c>
      <c r="G275" s="240">
        <f>Dat_02!E274</f>
        <v>99.370696372289885</v>
      </c>
      <c r="I275" s="241">
        <f>Dat_02!G274</f>
        <v>0</v>
      </c>
      <c r="J275" s="251" t="str">
        <f>IF(Dat_02!H274=0,"",Dat_02!H274)</f>
        <v/>
      </c>
    </row>
    <row r="276" spans="2:10">
      <c r="B276" s="237"/>
      <c r="C276" s="238">
        <f>Dat_02!B275</f>
        <v>44650</v>
      </c>
      <c r="D276" s="237"/>
      <c r="E276" s="240">
        <f>Dat_02!C275</f>
        <v>76.106027651458618</v>
      </c>
      <c r="F276" s="240">
        <f>Dat_02!D275</f>
        <v>128.70213492494773</v>
      </c>
      <c r="G276" s="240">
        <f>Dat_02!E275</f>
        <v>76.106027651458618</v>
      </c>
      <c r="I276" s="241">
        <f>Dat_02!G275</f>
        <v>0</v>
      </c>
      <c r="J276" s="251" t="str">
        <f>IF(Dat_02!H275=0,"",Dat_02!H275)</f>
        <v/>
      </c>
    </row>
    <row r="277" spans="2:10">
      <c r="B277" s="237"/>
      <c r="C277" s="238">
        <f>Dat_02!B276</f>
        <v>44651</v>
      </c>
      <c r="D277" s="237"/>
      <c r="E277" s="240">
        <f>Dat_02!C276</f>
        <v>77.720048207456756</v>
      </c>
      <c r="F277" s="240">
        <f>Dat_02!D276</f>
        <v>128.70213492494773</v>
      </c>
      <c r="G277" s="240">
        <f>Dat_02!E276</f>
        <v>77.720048207456756</v>
      </c>
      <c r="I277" s="241">
        <f>Dat_02!G276</f>
        <v>0</v>
      </c>
      <c r="J277" s="251" t="str">
        <f>IF(Dat_02!H276=0,"",Dat_02!H276)</f>
        <v/>
      </c>
    </row>
    <row r="278" spans="2:10">
      <c r="B278" s="239"/>
      <c r="C278" s="238">
        <f>Dat_02!B277</f>
        <v>44652</v>
      </c>
      <c r="D278" s="239"/>
      <c r="E278" s="240">
        <f>Dat_02!C277</f>
        <v>78.839873601457683</v>
      </c>
      <c r="F278" s="240">
        <f>Dat_02!D277</f>
        <v>125.24455872987446</v>
      </c>
      <c r="G278" s="240">
        <f>Dat_02!E277</f>
        <v>78.839873601457683</v>
      </c>
      <c r="I278" s="241">
        <f>Dat_02!G277</f>
        <v>0</v>
      </c>
      <c r="J278" s="251" t="str">
        <f>IF(Dat_02!H277=0,"",Dat_02!H277)</f>
        <v/>
      </c>
    </row>
    <row r="279" spans="2:10">
      <c r="B279" s="239"/>
      <c r="C279" s="238">
        <f>Dat_02!B278</f>
        <v>44653</v>
      </c>
      <c r="D279" s="239"/>
      <c r="E279" s="240">
        <f>Dat_02!C278</f>
        <v>63.046450265456755</v>
      </c>
      <c r="F279" s="240">
        <f>Dat_02!D278</f>
        <v>125.24455872987446</v>
      </c>
      <c r="G279" s="240">
        <f>Dat_02!E278</f>
        <v>63.046450265456755</v>
      </c>
      <c r="I279" s="241">
        <f>Dat_02!G278</f>
        <v>0</v>
      </c>
      <c r="J279" s="251" t="str">
        <f>IF(Dat_02!H278=0,"",Dat_02!H278)</f>
        <v/>
      </c>
    </row>
    <row r="280" spans="2:10">
      <c r="B280" s="237" t="s">
        <v>223</v>
      </c>
      <c r="C280" s="238">
        <f>Dat_02!B279</f>
        <v>44654</v>
      </c>
      <c r="D280" s="237"/>
      <c r="E280" s="240">
        <f>Dat_02!C279</f>
        <v>52.072992857457685</v>
      </c>
      <c r="F280" s="240">
        <f>Dat_02!D279</f>
        <v>125.24455872987446</v>
      </c>
      <c r="G280" s="240">
        <f>Dat_02!E279</f>
        <v>52.072992857457685</v>
      </c>
      <c r="I280" s="241">
        <f>Dat_02!G279</f>
        <v>0</v>
      </c>
      <c r="J280" s="251" t="str">
        <f>IF(Dat_02!H279=0,"",Dat_02!H279)</f>
        <v/>
      </c>
    </row>
    <row r="281" spans="2:10">
      <c r="B281" s="237"/>
      <c r="C281" s="238">
        <f>Dat_02!B280</f>
        <v>44655</v>
      </c>
      <c r="D281" s="237"/>
      <c r="E281" s="240">
        <f>Dat_02!C280</f>
        <v>70.839746007457691</v>
      </c>
      <c r="F281" s="240">
        <f>Dat_02!D280</f>
        <v>125.24455872987446</v>
      </c>
      <c r="G281" s="240">
        <f>Dat_02!E280</f>
        <v>70.839746007457691</v>
      </c>
      <c r="I281" s="241">
        <f>Dat_02!G280</f>
        <v>0</v>
      </c>
      <c r="J281" s="251" t="str">
        <f>IF(Dat_02!H280=0,"",Dat_02!H280)</f>
        <v/>
      </c>
    </row>
    <row r="282" spans="2:10">
      <c r="B282" s="237"/>
      <c r="C282" s="238">
        <f>Dat_02!B281</f>
        <v>44656</v>
      </c>
      <c r="D282" s="237"/>
      <c r="E282" s="240">
        <f>Dat_02!C281</f>
        <v>95.355469031456749</v>
      </c>
      <c r="F282" s="240">
        <f>Dat_02!D281</f>
        <v>125.24455872987446</v>
      </c>
      <c r="G282" s="240">
        <f>Dat_02!E281</f>
        <v>95.355469031456749</v>
      </c>
      <c r="I282" s="241">
        <f>Dat_02!G281</f>
        <v>0</v>
      </c>
      <c r="J282" s="251" t="str">
        <f>IF(Dat_02!H281=0,"",Dat_02!H281)</f>
        <v/>
      </c>
    </row>
    <row r="283" spans="2:10">
      <c r="B283" s="237"/>
      <c r="C283" s="238">
        <f>Dat_02!B282</f>
        <v>44657</v>
      </c>
      <c r="D283" s="237"/>
      <c r="E283" s="240">
        <f>Dat_02!C282</f>
        <v>75.585592753457234</v>
      </c>
      <c r="F283" s="240">
        <f>Dat_02!D282</f>
        <v>125.24455872987446</v>
      </c>
      <c r="G283" s="240">
        <f>Dat_02!E282</f>
        <v>75.585592753457234</v>
      </c>
      <c r="I283" s="241">
        <f>Dat_02!G282</f>
        <v>0</v>
      </c>
      <c r="J283" s="251" t="str">
        <f>IF(Dat_02!H282=0,"",Dat_02!H282)</f>
        <v/>
      </c>
    </row>
    <row r="284" spans="2:10">
      <c r="B284" s="237"/>
      <c r="C284" s="238">
        <f>Dat_02!B283</f>
        <v>44658</v>
      </c>
      <c r="D284" s="237"/>
      <c r="E284" s="240">
        <f>Dat_02!C283</f>
        <v>55.244623899457231</v>
      </c>
      <c r="F284" s="240">
        <f>Dat_02!D283</f>
        <v>125.24455872987446</v>
      </c>
      <c r="G284" s="240">
        <f>Dat_02!E283</f>
        <v>55.244623899457231</v>
      </c>
      <c r="I284" s="241">
        <f>Dat_02!G283</f>
        <v>0</v>
      </c>
      <c r="J284" s="251" t="str">
        <f>IF(Dat_02!H283=0,"",Dat_02!H283)</f>
        <v/>
      </c>
    </row>
    <row r="285" spans="2:10">
      <c r="B285" s="237"/>
      <c r="C285" s="238">
        <f>Dat_02!B284</f>
        <v>44659</v>
      </c>
      <c r="D285" s="237"/>
      <c r="E285" s="240">
        <f>Dat_02!C284</f>
        <v>51.797464833460026</v>
      </c>
      <c r="F285" s="240">
        <f>Dat_02!D284</f>
        <v>125.24455872987446</v>
      </c>
      <c r="G285" s="240">
        <f>Dat_02!E284</f>
        <v>51.797464833460026</v>
      </c>
      <c r="I285" s="241">
        <f>Dat_02!G284</f>
        <v>0</v>
      </c>
      <c r="J285" s="251" t="str">
        <f>IF(Dat_02!H284=0,"",Dat_02!H284)</f>
        <v/>
      </c>
    </row>
    <row r="286" spans="2:10">
      <c r="B286" s="237"/>
      <c r="C286" s="238">
        <f>Dat_02!B285</f>
        <v>44660</v>
      </c>
      <c r="D286" s="237"/>
      <c r="E286" s="240">
        <f>Dat_02!C285</f>
        <v>69.802486067457238</v>
      </c>
      <c r="F286" s="240">
        <f>Dat_02!D285</f>
        <v>125.24455872987446</v>
      </c>
      <c r="G286" s="240">
        <f>Dat_02!E285</f>
        <v>69.802486067457238</v>
      </c>
      <c r="I286" s="241">
        <f>Dat_02!G285</f>
        <v>0</v>
      </c>
      <c r="J286" s="251" t="str">
        <f>IF(Dat_02!H285=0,"",Dat_02!H285)</f>
        <v/>
      </c>
    </row>
    <row r="287" spans="2:10">
      <c r="B287" s="237"/>
      <c r="C287" s="238">
        <f>Dat_02!B286</f>
        <v>44661</v>
      </c>
      <c r="D287" s="237"/>
      <c r="E287" s="240">
        <f>Dat_02!C286</f>
        <v>39.923223189456301</v>
      </c>
      <c r="F287" s="240">
        <f>Dat_02!D286</f>
        <v>125.24455872987446</v>
      </c>
      <c r="G287" s="240">
        <f>Dat_02!E286</f>
        <v>39.923223189456301</v>
      </c>
      <c r="I287" s="241">
        <f>Dat_02!G286</f>
        <v>0</v>
      </c>
      <c r="J287" s="251" t="str">
        <f>IF(Dat_02!H286=0,"",Dat_02!H286)</f>
        <v/>
      </c>
    </row>
    <row r="288" spans="2:10">
      <c r="B288" s="237"/>
      <c r="C288" s="238">
        <f>Dat_02!B287</f>
        <v>44662</v>
      </c>
      <c r="D288" s="237"/>
      <c r="E288" s="240">
        <f>Dat_02!C287</f>
        <v>45.800387089458162</v>
      </c>
      <c r="F288" s="240">
        <f>Dat_02!D287</f>
        <v>125.24455872987446</v>
      </c>
      <c r="G288" s="240">
        <f>Dat_02!E287</f>
        <v>45.800387089458162</v>
      </c>
      <c r="I288" s="241">
        <f>Dat_02!G287</f>
        <v>0</v>
      </c>
      <c r="J288" s="251" t="str">
        <f>IF(Dat_02!H287=0,"",Dat_02!H287)</f>
        <v/>
      </c>
    </row>
    <row r="289" spans="2:10">
      <c r="B289" s="237"/>
      <c r="C289" s="238">
        <f>Dat_02!B288</f>
        <v>44663</v>
      </c>
      <c r="D289" s="237"/>
      <c r="E289" s="240">
        <f>Dat_02!C288</f>
        <v>72.032842325457224</v>
      </c>
      <c r="F289" s="240">
        <f>Dat_02!D288</f>
        <v>125.24455872987446</v>
      </c>
      <c r="G289" s="240">
        <f>Dat_02!E288</f>
        <v>72.032842325457224</v>
      </c>
      <c r="I289" s="241">
        <f>Dat_02!G288</f>
        <v>0</v>
      </c>
      <c r="J289" s="251" t="str">
        <f>IF(Dat_02!H288=0,"",Dat_02!H288)</f>
        <v/>
      </c>
    </row>
    <row r="290" spans="2:10">
      <c r="B290" s="237"/>
      <c r="C290" s="238">
        <f>Dat_02!B289</f>
        <v>44664</v>
      </c>
      <c r="D290" s="237"/>
      <c r="E290" s="240">
        <f>Dat_02!C289</f>
        <v>95.962773481449176</v>
      </c>
      <c r="F290" s="240">
        <f>Dat_02!D289</f>
        <v>125.24455872987446</v>
      </c>
      <c r="G290" s="240">
        <f>Dat_02!E289</f>
        <v>95.962773481449176</v>
      </c>
      <c r="I290" s="241">
        <f>Dat_02!G289</f>
        <v>0</v>
      </c>
      <c r="J290" s="251" t="str">
        <f>IF(Dat_02!H289=0,"",Dat_02!H289)</f>
        <v/>
      </c>
    </row>
    <row r="291" spans="2:10">
      <c r="B291" s="237"/>
      <c r="C291" s="238">
        <f>Dat_02!B290</f>
        <v>44665</v>
      </c>
      <c r="D291" s="237"/>
      <c r="E291" s="240">
        <f>Dat_02!C290</f>
        <v>80.326796453449177</v>
      </c>
      <c r="F291" s="240">
        <f>Dat_02!D290</f>
        <v>125.24455872987446</v>
      </c>
      <c r="G291" s="240">
        <f>Dat_02!E290</f>
        <v>80.326796453449177</v>
      </c>
      <c r="I291" s="241">
        <f>Dat_02!G290</f>
        <v>0</v>
      </c>
      <c r="J291" s="251" t="str">
        <f>IF(Dat_02!H290=0,"",Dat_02!H290)</f>
        <v/>
      </c>
    </row>
    <row r="292" spans="2:10">
      <c r="B292" s="237"/>
      <c r="C292" s="238">
        <f>Dat_02!B291</f>
        <v>44666</v>
      </c>
      <c r="D292" s="237"/>
      <c r="E292" s="240">
        <f>Dat_02!C291</f>
        <v>73.794778233448241</v>
      </c>
      <c r="F292" s="240">
        <f>Dat_02!D291</f>
        <v>125.24455872987446</v>
      </c>
      <c r="G292" s="240">
        <f>Dat_02!E291</f>
        <v>73.794778233448241</v>
      </c>
      <c r="I292" s="241">
        <f>Dat_02!G291</f>
        <v>125.24455872987446</v>
      </c>
      <c r="J292" s="251" t="str">
        <f>IF(Dat_02!H291=0,"",Dat_02!H291)</f>
        <v/>
      </c>
    </row>
    <row r="293" spans="2:10">
      <c r="B293" s="237"/>
      <c r="C293" s="238">
        <f>Dat_02!B292</f>
        <v>44667</v>
      </c>
      <c r="D293" s="237"/>
      <c r="E293" s="240">
        <f>Dat_02!C292</f>
        <v>64.55082363744917</v>
      </c>
      <c r="F293" s="240">
        <f>Dat_02!D292</f>
        <v>125.24455872987446</v>
      </c>
      <c r="G293" s="240">
        <f>Dat_02!E292</f>
        <v>64.55082363744917</v>
      </c>
      <c r="I293" s="241">
        <f>Dat_02!G292</f>
        <v>0</v>
      </c>
      <c r="J293" s="251" t="str">
        <f>IF(Dat_02!H292=0,"",Dat_02!H292)</f>
        <v/>
      </c>
    </row>
    <row r="294" spans="2:10">
      <c r="B294" s="237"/>
      <c r="C294" s="238">
        <f>Dat_02!B293</f>
        <v>44668</v>
      </c>
      <c r="D294" s="237"/>
      <c r="E294" s="240">
        <f>Dat_02!C293</f>
        <v>71.875160119449163</v>
      </c>
      <c r="F294" s="240">
        <f>Dat_02!D293</f>
        <v>125.24455872987446</v>
      </c>
      <c r="G294" s="240">
        <f>Dat_02!E293</f>
        <v>71.875160119449163</v>
      </c>
      <c r="I294" s="241">
        <f>Dat_02!G293</f>
        <v>0</v>
      </c>
      <c r="J294" s="251" t="str">
        <f>IF(Dat_02!H293=0,"",Dat_02!H293)</f>
        <v/>
      </c>
    </row>
    <row r="295" spans="2:10">
      <c r="B295" s="237"/>
      <c r="C295" s="238">
        <f>Dat_02!B294</f>
        <v>44669</v>
      </c>
      <c r="D295" s="237"/>
      <c r="E295" s="240">
        <f>Dat_02!C294</f>
        <v>78.589104269448228</v>
      </c>
      <c r="F295" s="240">
        <f>Dat_02!D294</f>
        <v>125.24455872987446</v>
      </c>
      <c r="G295" s="240">
        <f>Dat_02!E294</f>
        <v>78.589104269448228</v>
      </c>
      <c r="I295" s="241">
        <f>Dat_02!G294</f>
        <v>0</v>
      </c>
      <c r="J295" s="251" t="str">
        <f>IF(Dat_02!H294=0,"",Dat_02!H294)</f>
        <v/>
      </c>
    </row>
    <row r="296" spans="2:10">
      <c r="B296" s="237"/>
      <c r="C296" s="238">
        <f>Dat_02!B295</f>
        <v>44670</v>
      </c>
      <c r="D296" s="237"/>
      <c r="E296" s="240">
        <f>Dat_02!C295</f>
        <v>82.199800059450112</v>
      </c>
      <c r="F296" s="240">
        <f>Dat_02!D295</f>
        <v>125.24455872987446</v>
      </c>
      <c r="G296" s="240">
        <f>Dat_02!E295</f>
        <v>82.199800059450112</v>
      </c>
      <c r="I296" s="241">
        <f>Dat_02!G295</f>
        <v>0</v>
      </c>
      <c r="J296" s="251" t="str">
        <f>IF(Dat_02!H295=0,"",Dat_02!H295)</f>
        <v/>
      </c>
    </row>
    <row r="297" spans="2:10">
      <c r="B297" s="237"/>
      <c r="C297" s="238">
        <f>Dat_02!B296</f>
        <v>44671</v>
      </c>
      <c r="D297" s="237"/>
      <c r="E297" s="240">
        <f>Dat_02!C296</f>
        <v>90.743445421669946</v>
      </c>
      <c r="F297" s="240">
        <f>Dat_02!D296</f>
        <v>125.24455872987446</v>
      </c>
      <c r="G297" s="240">
        <f>Dat_02!E296</f>
        <v>90.743445421669946</v>
      </c>
      <c r="I297" s="241">
        <f>Dat_02!G296</f>
        <v>0</v>
      </c>
      <c r="J297" s="251" t="str">
        <f>IF(Dat_02!H296=0,"",Dat_02!H296)</f>
        <v/>
      </c>
    </row>
    <row r="298" spans="2:10">
      <c r="B298" s="237"/>
      <c r="C298" s="238">
        <f>Dat_02!B297</f>
        <v>44672</v>
      </c>
      <c r="D298" s="237"/>
      <c r="E298" s="240">
        <f>Dat_02!C297</f>
        <v>106.76173008966995</v>
      </c>
      <c r="F298" s="240">
        <f>Dat_02!D297</f>
        <v>125.24455872987446</v>
      </c>
      <c r="G298" s="240">
        <f>Dat_02!E297</f>
        <v>106.76173008966995</v>
      </c>
      <c r="I298" s="241">
        <f>Dat_02!G297</f>
        <v>0</v>
      </c>
      <c r="J298" s="251" t="str">
        <f>IF(Dat_02!H297=0,"",Dat_02!H297)</f>
        <v/>
      </c>
    </row>
    <row r="299" spans="2:10">
      <c r="B299" s="237"/>
      <c r="C299" s="238">
        <f>Dat_02!B298</f>
        <v>44673</v>
      </c>
      <c r="D299" s="237"/>
      <c r="E299" s="240">
        <f>Dat_02!C298</f>
        <v>109.09790919367089</v>
      </c>
      <c r="F299" s="240">
        <f>Dat_02!D298</f>
        <v>125.24455872987446</v>
      </c>
      <c r="G299" s="240">
        <f>Dat_02!E298</f>
        <v>109.09790919367089</v>
      </c>
      <c r="I299" s="241">
        <f>Dat_02!G298</f>
        <v>0</v>
      </c>
      <c r="J299" s="251" t="str">
        <f>IF(Dat_02!H298=0,"",Dat_02!H298)</f>
        <v/>
      </c>
    </row>
    <row r="300" spans="2:10">
      <c r="B300" s="237"/>
      <c r="C300" s="238">
        <f>Dat_02!B299</f>
        <v>44674</v>
      </c>
      <c r="D300" s="237"/>
      <c r="E300" s="240">
        <f>Dat_02!C299</f>
        <v>78.608218011670886</v>
      </c>
      <c r="F300" s="240">
        <f>Dat_02!D299</f>
        <v>125.24455872987446</v>
      </c>
      <c r="G300" s="240">
        <f>Dat_02!E299</f>
        <v>78.608218011670886</v>
      </c>
      <c r="I300" s="241">
        <f>Dat_02!G299</f>
        <v>0</v>
      </c>
      <c r="J300" s="251" t="str">
        <f>IF(Dat_02!H299=0,"",Dat_02!H299)</f>
        <v/>
      </c>
    </row>
    <row r="301" spans="2:10">
      <c r="B301" s="237"/>
      <c r="C301" s="238">
        <f>Dat_02!B300</f>
        <v>44675</v>
      </c>
      <c r="D301" s="237"/>
      <c r="E301" s="240">
        <f>Dat_02!C300</f>
        <v>90.865217781669955</v>
      </c>
      <c r="F301" s="240">
        <f>Dat_02!D300</f>
        <v>125.24455872987446</v>
      </c>
      <c r="G301" s="240">
        <f>Dat_02!E300</f>
        <v>90.865217781669955</v>
      </c>
      <c r="I301" s="241">
        <f>Dat_02!G300</f>
        <v>0</v>
      </c>
      <c r="J301" s="251" t="str">
        <f>IF(Dat_02!H300=0,"",Dat_02!H300)</f>
        <v/>
      </c>
    </row>
    <row r="302" spans="2:10">
      <c r="B302" s="237"/>
      <c r="C302" s="238">
        <f>Dat_02!B301</f>
        <v>44676</v>
      </c>
      <c r="D302" s="237"/>
      <c r="E302" s="240">
        <f>Dat_02!C301</f>
        <v>100.78672183766902</v>
      </c>
      <c r="F302" s="240">
        <f>Dat_02!D301</f>
        <v>125.24455872987446</v>
      </c>
      <c r="G302" s="240">
        <f>Dat_02!E301</f>
        <v>100.78672183766902</v>
      </c>
      <c r="I302" s="241">
        <f>Dat_02!G301</f>
        <v>0</v>
      </c>
      <c r="J302" s="251" t="str">
        <f>IF(Dat_02!H301=0,"",Dat_02!H301)</f>
        <v/>
      </c>
    </row>
    <row r="303" spans="2:10">
      <c r="B303" s="237"/>
      <c r="C303" s="238">
        <f>Dat_02!B302</f>
        <v>44677</v>
      </c>
      <c r="D303" s="237"/>
      <c r="E303" s="240">
        <f>Dat_02!C302</f>
        <v>103.82701329367089</v>
      </c>
      <c r="F303" s="240">
        <f>Dat_02!D302</f>
        <v>125.24455872987446</v>
      </c>
      <c r="G303" s="240">
        <f>Dat_02!E302</f>
        <v>103.82701329367089</v>
      </c>
      <c r="I303" s="241">
        <f>Dat_02!G302</f>
        <v>0</v>
      </c>
      <c r="J303" s="251" t="str">
        <f>IF(Dat_02!H302=0,"",Dat_02!H302)</f>
        <v/>
      </c>
    </row>
    <row r="304" spans="2:10">
      <c r="B304" s="237"/>
      <c r="C304" s="238">
        <f>Dat_02!B303</f>
        <v>44678</v>
      </c>
      <c r="D304" s="237"/>
      <c r="E304" s="240">
        <f>Dat_02!C303</f>
        <v>98.870202420552701</v>
      </c>
      <c r="F304" s="240">
        <f>Dat_02!D303</f>
        <v>125.24455872987446</v>
      </c>
      <c r="G304" s="240">
        <f>Dat_02!E303</f>
        <v>98.870202420552701</v>
      </c>
      <c r="I304" s="241">
        <f>Dat_02!G303</f>
        <v>0</v>
      </c>
      <c r="J304" s="251" t="str">
        <f>IF(Dat_02!H303=0,"",Dat_02!H303)</f>
        <v/>
      </c>
    </row>
    <row r="305" spans="2:10">
      <c r="B305" s="237"/>
      <c r="C305" s="238">
        <f>Dat_02!B304</f>
        <v>44679</v>
      </c>
      <c r="D305" s="237"/>
      <c r="E305" s="240">
        <f>Dat_02!C304</f>
        <v>113.83576418455084</v>
      </c>
      <c r="F305" s="240">
        <f>Dat_02!D304</f>
        <v>125.24455872987446</v>
      </c>
      <c r="G305" s="240">
        <f>Dat_02!E304</f>
        <v>113.83576418455084</v>
      </c>
      <c r="I305" s="241">
        <f>Dat_02!G304</f>
        <v>0</v>
      </c>
      <c r="J305" s="251" t="str">
        <f>IF(Dat_02!H304=0,"",Dat_02!H304)</f>
        <v/>
      </c>
    </row>
    <row r="306" spans="2:10">
      <c r="B306" s="237"/>
      <c r="C306" s="238">
        <f>Dat_02!B305</f>
        <v>44680</v>
      </c>
      <c r="D306" s="237"/>
      <c r="E306" s="240">
        <f>Dat_02!C305</f>
        <v>117.61099088055269</v>
      </c>
      <c r="F306" s="240">
        <f>Dat_02!D305</f>
        <v>125.24455872987446</v>
      </c>
      <c r="G306" s="240">
        <f>Dat_02!E305</f>
        <v>117.61099088055269</v>
      </c>
      <c r="I306" s="241">
        <f>Dat_02!G305</f>
        <v>0</v>
      </c>
      <c r="J306" s="251" t="str">
        <f>IF(Dat_02!H305=0,"",Dat_02!H305)</f>
        <v/>
      </c>
    </row>
    <row r="307" spans="2:10">
      <c r="B307" s="237"/>
      <c r="C307" s="238">
        <f>Dat_02!B306</f>
        <v>44681</v>
      </c>
      <c r="D307" s="237"/>
      <c r="E307" s="240">
        <f>Dat_02!C306</f>
        <v>104.52050493055363</v>
      </c>
      <c r="F307" s="240">
        <f>Dat_02!D306</f>
        <v>125.24455872987446</v>
      </c>
      <c r="G307" s="240">
        <f>Dat_02!E306</f>
        <v>104.52050493055363</v>
      </c>
      <c r="I307" s="241">
        <f>Dat_02!G306</f>
        <v>0</v>
      </c>
      <c r="J307" s="251" t="str">
        <f>IF(Dat_02!H306=0,"",Dat_02!H306)</f>
        <v/>
      </c>
    </row>
    <row r="308" spans="2:10">
      <c r="B308" s="237" t="s">
        <v>224</v>
      </c>
      <c r="C308" s="238">
        <f>Dat_02!B307</f>
        <v>44682</v>
      </c>
      <c r="D308" s="237"/>
      <c r="E308" s="240">
        <f>Dat_02!C307</f>
        <v>82.959294126549906</v>
      </c>
      <c r="F308" s="240">
        <f>Dat_02!D307</f>
        <v>99.174715760964361</v>
      </c>
      <c r="G308" s="240">
        <f>Dat_02!E307</f>
        <v>82.959294126549906</v>
      </c>
      <c r="I308" s="241">
        <f>Dat_02!G307</f>
        <v>0</v>
      </c>
      <c r="J308" s="251" t="str">
        <f>IF(Dat_02!H307=0,"",Dat_02!H307)</f>
        <v/>
      </c>
    </row>
    <row r="309" spans="2:10">
      <c r="B309" s="237"/>
      <c r="C309" s="238">
        <f>Dat_02!B308</f>
        <v>44683</v>
      </c>
      <c r="D309" s="239"/>
      <c r="E309" s="240">
        <f>Dat_02!C308</f>
        <v>91.021933052553635</v>
      </c>
      <c r="F309" s="240">
        <f>Dat_02!D308</f>
        <v>99.174715760964361</v>
      </c>
      <c r="G309" s="240">
        <f>Dat_02!E308</f>
        <v>91.021933052553635</v>
      </c>
      <c r="I309" s="241">
        <f>Dat_02!G308</f>
        <v>0</v>
      </c>
      <c r="J309" s="251" t="str">
        <f>IF(Dat_02!H308=0,"",Dat_02!H308)</f>
        <v/>
      </c>
    </row>
    <row r="310" spans="2:10">
      <c r="B310" s="239"/>
      <c r="C310" s="238">
        <f>Dat_02!B309</f>
        <v>44684</v>
      </c>
      <c r="D310" s="239"/>
      <c r="E310" s="240">
        <f>Dat_02!C309</f>
        <v>110.8805439485527</v>
      </c>
      <c r="F310" s="240">
        <f>Dat_02!D309</f>
        <v>99.174715760964361</v>
      </c>
      <c r="G310" s="240">
        <f>Dat_02!E309</f>
        <v>99.174715760964361</v>
      </c>
      <c r="I310" s="241">
        <f>Dat_02!G309</f>
        <v>0</v>
      </c>
      <c r="J310" s="251" t="str">
        <f>IF(Dat_02!H309=0,"",Dat_02!H309)</f>
        <v/>
      </c>
    </row>
    <row r="311" spans="2:10">
      <c r="B311" s="237"/>
      <c r="C311" s="238">
        <f>Dat_02!B310</f>
        <v>44685</v>
      </c>
      <c r="D311" s="237"/>
      <c r="E311" s="240">
        <f>Dat_02!C310</f>
        <v>107.11517597630744</v>
      </c>
      <c r="F311" s="240">
        <f>Dat_02!D310</f>
        <v>99.174715760964361</v>
      </c>
      <c r="G311" s="240">
        <f>Dat_02!E310</f>
        <v>99.174715760964361</v>
      </c>
      <c r="I311" s="241">
        <f>Dat_02!G310</f>
        <v>0</v>
      </c>
      <c r="J311" s="251" t="str">
        <f>IF(Dat_02!H310=0,"",Dat_02!H310)</f>
        <v/>
      </c>
    </row>
    <row r="312" spans="2:10">
      <c r="B312" s="237"/>
      <c r="C312" s="238">
        <f>Dat_02!B311</f>
        <v>44686</v>
      </c>
      <c r="D312" s="237"/>
      <c r="E312" s="240">
        <f>Dat_02!C311</f>
        <v>86.649732152306498</v>
      </c>
      <c r="F312" s="240">
        <f>Dat_02!D311</f>
        <v>99.174715760964361</v>
      </c>
      <c r="G312" s="240">
        <f>Dat_02!E311</f>
        <v>86.649732152306498</v>
      </c>
      <c r="I312" s="241">
        <f>Dat_02!G311</f>
        <v>0</v>
      </c>
      <c r="J312" s="251" t="str">
        <f>IF(Dat_02!H311=0,"",Dat_02!H311)</f>
        <v/>
      </c>
    </row>
    <row r="313" spans="2:10">
      <c r="B313" s="237"/>
      <c r="C313" s="238">
        <f>Dat_02!B312</f>
        <v>44687</v>
      </c>
      <c r="D313" s="237"/>
      <c r="E313" s="240">
        <f>Dat_02!C312</f>
        <v>68.948401436307435</v>
      </c>
      <c r="F313" s="240">
        <f>Dat_02!D312</f>
        <v>99.174715760964361</v>
      </c>
      <c r="G313" s="240">
        <f>Dat_02!E312</f>
        <v>68.948401436307435</v>
      </c>
      <c r="I313" s="241">
        <f>Dat_02!G312</f>
        <v>0</v>
      </c>
      <c r="J313" s="251" t="str">
        <f>IF(Dat_02!H312=0,"",Dat_02!H312)</f>
        <v/>
      </c>
    </row>
    <row r="314" spans="2:10">
      <c r="B314" s="237"/>
      <c r="C314" s="238">
        <f>Dat_02!B313</f>
        <v>44688</v>
      </c>
      <c r="D314" s="237"/>
      <c r="E314" s="240">
        <f>Dat_02!C313</f>
        <v>72.468294806305579</v>
      </c>
      <c r="F314" s="240">
        <f>Dat_02!D313</f>
        <v>99.174715760964361</v>
      </c>
      <c r="G314" s="240">
        <f>Dat_02!E313</f>
        <v>72.468294806305579</v>
      </c>
      <c r="I314" s="241">
        <f>Dat_02!G313</f>
        <v>0</v>
      </c>
      <c r="J314" s="251" t="str">
        <f>IF(Dat_02!H313=0,"",Dat_02!H313)</f>
        <v/>
      </c>
    </row>
    <row r="315" spans="2:10">
      <c r="B315" s="237"/>
      <c r="C315" s="238">
        <f>Dat_02!B314</f>
        <v>44689</v>
      </c>
      <c r="D315" s="237"/>
      <c r="E315" s="240">
        <f>Dat_02!C314</f>
        <v>64.690423066308369</v>
      </c>
      <c r="F315" s="240">
        <f>Dat_02!D314</f>
        <v>99.174715760964361</v>
      </c>
      <c r="G315" s="240">
        <f>Dat_02!E314</f>
        <v>64.690423066308369</v>
      </c>
      <c r="I315" s="241">
        <f>Dat_02!G314</f>
        <v>0</v>
      </c>
      <c r="J315" s="251" t="str">
        <f>IF(Dat_02!H314=0,"",Dat_02!H314)</f>
        <v/>
      </c>
    </row>
    <row r="316" spans="2:10">
      <c r="B316" s="237"/>
      <c r="C316" s="238">
        <f>Dat_02!B315</f>
        <v>44690</v>
      </c>
      <c r="D316" s="237"/>
      <c r="E316" s="240">
        <f>Dat_02!C315</f>
        <v>79.107121340306506</v>
      </c>
      <c r="F316" s="240">
        <f>Dat_02!D315</f>
        <v>99.174715760964361</v>
      </c>
      <c r="G316" s="240">
        <f>Dat_02!E315</f>
        <v>79.107121340306506</v>
      </c>
      <c r="I316" s="241">
        <f>Dat_02!G315</f>
        <v>0</v>
      </c>
      <c r="J316" s="251" t="str">
        <f>IF(Dat_02!H315=0,"",Dat_02!H315)</f>
        <v/>
      </c>
    </row>
    <row r="317" spans="2:10">
      <c r="B317" s="237"/>
      <c r="C317" s="238">
        <f>Dat_02!B316</f>
        <v>44691</v>
      </c>
      <c r="D317" s="237"/>
      <c r="E317" s="240">
        <f>Dat_02!C316</f>
        <v>83.215861604307449</v>
      </c>
      <c r="F317" s="240">
        <f>Dat_02!D316</f>
        <v>99.174715760964361</v>
      </c>
      <c r="G317" s="240">
        <f>Dat_02!E316</f>
        <v>83.215861604307449</v>
      </c>
      <c r="I317" s="241">
        <f>Dat_02!G316</f>
        <v>0</v>
      </c>
      <c r="J317" s="251" t="str">
        <f>IF(Dat_02!H316=0,"",Dat_02!H316)</f>
        <v/>
      </c>
    </row>
    <row r="318" spans="2:10">
      <c r="B318" s="237"/>
      <c r="C318" s="238">
        <f>Dat_02!B317</f>
        <v>44692</v>
      </c>
      <c r="D318" s="237"/>
      <c r="E318" s="240">
        <f>Dat_02!C317</f>
        <v>64.301127028005027</v>
      </c>
      <c r="F318" s="240">
        <f>Dat_02!D317</f>
        <v>99.174715760964361</v>
      </c>
      <c r="G318" s="240">
        <f>Dat_02!E317</f>
        <v>64.301127028005027</v>
      </c>
      <c r="I318" s="241">
        <f>Dat_02!G317</f>
        <v>0</v>
      </c>
      <c r="J318" s="251" t="str">
        <f>IF(Dat_02!H317=0,"",Dat_02!H317)</f>
        <v/>
      </c>
    </row>
    <row r="319" spans="2:10">
      <c r="B319" s="237"/>
      <c r="C319" s="238">
        <f>Dat_02!B318</f>
        <v>44693</v>
      </c>
      <c r="D319" s="237"/>
      <c r="E319" s="240">
        <f>Dat_02!C318</f>
        <v>54.710969084005946</v>
      </c>
      <c r="F319" s="240">
        <f>Dat_02!D318</f>
        <v>99.174715760964361</v>
      </c>
      <c r="G319" s="240">
        <f>Dat_02!E318</f>
        <v>54.710969084005946</v>
      </c>
      <c r="I319" s="241">
        <f>Dat_02!G318</f>
        <v>0</v>
      </c>
      <c r="J319" s="251" t="str">
        <f>IF(Dat_02!H318=0,"",Dat_02!H318)</f>
        <v/>
      </c>
    </row>
    <row r="320" spans="2:10">
      <c r="B320" s="237"/>
      <c r="C320" s="238">
        <f>Dat_02!B319</f>
        <v>44694</v>
      </c>
      <c r="D320" s="237"/>
      <c r="E320" s="240">
        <f>Dat_02!C319</f>
        <v>61.459500572005027</v>
      </c>
      <c r="F320" s="240">
        <f>Dat_02!D319</f>
        <v>99.174715760964361</v>
      </c>
      <c r="G320" s="240">
        <f>Dat_02!E319</f>
        <v>61.459500572005027</v>
      </c>
      <c r="I320" s="241">
        <f>Dat_02!G319</f>
        <v>0</v>
      </c>
      <c r="J320" s="251" t="str">
        <f>IF(Dat_02!H319=0,"",Dat_02!H319)</f>
        <v/>
      </c>
    </row>
    <row r="321" spans="2:10">
      <c r="B321" s="237"/>
      <c r="C321" s="238">
        <f>Dat_02!B320</f>
        <v>44695</v>
      </c>
      <c r="D321" s="237"/>
      <c r="E321" s="240">
        <f>Dat_02!C320</f>
        <v>39.984898944004087</v>
      </c>
      <c r="F321" s="240">
        <f>Dat_02!D320</f>
        <v>99.174715760964361</v>
      </c>
      <c r="G321" s="240">
        <f>Dat_02!E320</f>
        <v>39.984898944004087</v>
      </c>
      <c r="I321" s="241">
        <f>Dat_02!G320</f>
        <v>0</v>
      </c>
      <c r="J321" s="251" t="str">
        <f>IF(Dat_02!H320=0,"",Dat_02!H320)</f>
        <v/>
      </c>
    </row>
    <row r="322" spans="2:10">
      <c r="B322" s="237"/>
      <c r="C322" s="238">
        <f>Dat_02!B321</f>
        <v>44696</v>
      </c>
      <c r="D322" s="237"/>
      <c r="E322" s="240">
        <f>Dat_02!C321</f>
        <v>39.059384080005948</v>
      </c>
      <c r="F322" s="240">
        <f>Dat_02!D321</f>
        <v>99.174715760964361</v>
      </c>
      <c r="G322" s="240">
        <f>Dat_02!E321</f>
        <v>39.059384080005948</v>
      </c>
      <c r="I322" s="241">
        <f>Dat_02!G321</f>
        <v>99.174715760964361</v>
      </c>
      <c r="J322" s="251" t="str">
        <f>IF(Dat_02!H321=0,"",Dat_02!H321)</f>
        <v/>
      </c>
    </row>
    <row r="323" spans="2:10">
      <c r="B323" s="237"/>
      <c r="C323" s="238">
        <f>Dat_02!B322</f>
        <v>44697</v>
      </c>
      <c r="D323" s="237"/>
      <c r="E323" s="240">
        <f>Dat_02!C322</f>
        <v>49.069294322006876</v>
      </c>
      <c r="F323" s="240">
        <f>Dat_02!D322</f>
        <v>99.174715760964361</v>
      </c>
      <c r="G323" s="240">
        <f>Dat_02!E322</f>
        <v>49.069294322006876</v>
      </c>
      <c r="I323" s="241">
        <f>Dat_02!G322</f>
        <v>0</v>
      </c>
      <c r="J323" s="251" t="str">
        <f>IF(Dat_02!H322=0,"",Dat_02!H322)</f>
        <v/>
      </c>
    </row>
    <row r="324" spans="2:10">
      <c r="B324" s="237"/>
      <c r="C324" s="238">
        <f>Dat_02!B323</f>
        <v>44698</v>
      </c>
      <c r="D324" s="237"/>
      <c r="E324" s="240">
        <f>Dat_02!C323</f>
        <v>51.632073812005018</v>
      </c>
      <c r="F324" s="240">
        <f>Dat_02!D323</f>
        <v>99.174715760964361</v>
      </c>
      <c r="G324" s="240">
        <f>Dat_02!E323</f>
        <v>51.632073812005018</v>
      </c>
      <c r="I324" s="241">
        <f>Dat_02!G323</f>
        <v>0</v>
      </c>
      <c r="J324" s="251" t="str">
        <f>IF(Dat_02!H323=0,"",Dat_02!H323)</f>
        <v/>
      </c>
    </row>
    <row r="325" spans="2:10">
      <c r="B325" s="237"/>
      <c r="C325" s="238">
        <f>Dat_02!B324</f>
        <v>44699</v>
      </c>
      <c r="D325" s="237"/>
      <c r="E325" s="240">
        <f>Dat_02!C324</f>
        <v>61.044502312259816</v>
      </c>
      <c r="F325" s="240">
        <f>Dat_02!D324</f>
        <v>99.174715760964361</v>
      </c>
      <c r="G325" s="240">
        <f>Dat_02!E324</f>
        <v>61.044502312259816</v>
      </c>
      <c r="I325" s="241">
        <f>Dat_02!G324</f>
        <v>0</v>
      </c>
      <c r="J325" s="251" t="str">
        <f>IF(Dat_02!H324=0,"",Dat_02!H324)</f>
        <v/>
      </c>
    </row>
    <row r="326" spans="2:10">
      <c r="B326" s="237"/>
      <c r="C326" s="238">
        <f>Dat_02!B325</f>
        <v>44700</v>
      </c>
      <c r="D326" s="237"/>
      <c r="E326" s="240">
        <f>Dat_02!C325</f>
        <v>65.046981836259818</v>
      </c>
      <c r="F326" s="240">
        <f>Dat_02!D325</f>
        <v>99.174715760964361</v>
      </c>
      <c r="G326" s="240">
        <f>Dat_02!E325</f>
        <v>65.046981836259818</v>
      </c>
      <c r="I326" s="241">
        <f>Dat_02!G325</f>
        <v>0</v>
      </c>
      <c r="J326" s="251" t="str">
        <f>IF(Dat_02!H325=0,"",Dat_02!H325)</f>
        <v/>
      </c>
    </row>
    <row r="327" spans="2:10">
      <c r="B327" s="237"/>
      <c r="C327" s="238">
        <f>Dat_02!B326</f>
        <v>44701</v>
      </c>
      <c r="D327" s="237"/>
      <c r="E327" s="240">
        <f>Dat_02!C326</f>
        <v>61.973451656260742</v>
      </c>
      <c r="F327" s="240">
        <f>Dat_02!D326</f>
        <v>99.174715760964361</v>
      </c>
      <c r="G327" s="240">
        <f>Dat_02!E326</f>
        <v>61.973451656260742</v>
      </c>
      <c r="I327" s="241">
        <f>Dat_02!G326</f>
        <v>0</v>
      </c>
      <c r="J327" s="251" t="str">
        <f>IF(Dat_02!H326=0,"",Dat_02!H326)</f>
        <v/>
      </c>
    </row>
    <row r="328" spans="2:10">
      <c r="B328" s="237"/>
      <c r="C328" s="238">
        <f>Dat_02!B327</f>
        <v>44702</v>
      </c>
      <c r="D328" s="237"/>
      <c r="E328" s="240">
        <f>Dat_02!C327</f>
        <v>57.66031306425981</v>
      </c>
      <c r="F328" s="240">
        <f>Dat_02!D327</f>
        <v>99.174715760964361</v>
      </c>
      <c r="G328" s="240">
        <f>Dat_02!E327</f>
        <v>57.66031306425981</v>
      </c>
      <c r="I328" s="241">
        <f>Dat_02!G327</f>
        <v>0</v>
      </c>
      <c r="J328" s="251" t="str">
        <f>IF(Dat_02!H327=0,"",Dat_02!H327)</f>
        <v/>
      </c>
    </row>
    <row r="329" spans="2:10">
      <c r="B329" s="237"/>
      <c r="C329" s="238">
        <f>Dat_02!B328</f>
        <v>44703</v>
      </c>
      <c r="D329" s="237"/>
      <c r="E329" s="240">
        <f>Dat_02!C328</f>
        <v>52.574491350260743</v>
      </c>
      <c r="F329" s="240">
        <f>Dat_02!D328</f>
        <v>99.174715760964361</v>
      </c>
      <c r="G329" s="240">
        <f>Dat_02!E328</f>
        <v>52.574491350260743</v>
      </c>
      <c r="I329" s="241">
        <f>Dat_02!G328</f>
        <v>0</v>
      </c>
      <c r="J329" s="251" t="str">
        <f>IF(Dat_02!H328=0,"",Dat_02!H328)</f>
        <v/>
      </c>
    </row>
    <row r="330" spans="2:10">
      <c r="B330" s="237"/>
      <c r="C330" s="238">
        <f>Dat_02!B329</f>
        <v>44704</v>
      </c>
      <c r="D330" s="237"/>
      <c r="E330" s="240">
        <f>Dat_02!C329</f>
        <v>62.651791904259817</v>
      </c>
      <c r="F330" s="240">
        <f>Dat_02!D329</f>
        <v>99.174715760964361</v>
      </c>
      <c r="G330" s="240">
        <f>Dat_02!E329</f>
        <v>62.651791904259817</v>
      </c>
      <c r="I330" s="241">
        <f>Dat_02!G329</f>
        <v>0</v>
      </c>
      <c r="J330" s="251" t="str">
        <f>IF(Dat_02!H329=0,"",Dat_02!H329)</f>
        <v/>
      </c>
    </row>
    <row r="331" spans="2:10">
      <c r="B331" s="237"/>
      <c r="C331" s="238">
        <f>Dat_02!B330</f>
        <v>44705</v>
      </c>
      <c r="D331" s="237"/>
      <c r="E331" s="240">
        <f>Dat_02!C330</f>
        <v>55.702016632261682</v>
      </c>
      <c r="F331" s="240">
        <f>Dat_02!D330</f>
        <v>99.174715760964361</v>
      </c>
      <c r="G331" s="240">
        <f>Dat_02!E330</f>
        <v>55.702016632261682</v>
      </c>
      <c r="I331" s="241">
        <f>Dat_02!G330</f>
        <v>0</v>
      </c>
      <c r="J331" s="251" t="str">
        <f>IF(Dat_02!H330=0,"",Dat_02!H330)</f>
        <v/>
      </c>
    </row>
    <row r="332" spans="2:10">
      <c r="B332" s="237"/>
      <c r="C332" s="238">
        <f>Dat_02!B331</f>
        <v>44706</v>
      </c>
      <c r="D332" s="237"/>
      <c r="E332" s="240">
        <f>Dat_02!C331</f>
        <v>37.10577716888654</v>
      </c>
      <c r="F332" s="240">
        <f>Dat_02!D331</f>
        <v>99.174715760964361</v>
      </c>
      <c r="G332" s="240">
        <f>Dat_02!E331</f>
        <v>37.10577716888654</v>
      </c>
      <c r="I332" s="241">
        <f>Dat_02!G331</f>
        <v>0</v>
      </c>
      <c r="J332" s="251" t="str">
        <f>IF(Dat_02!H331=0,"",Dat_02!H331)</f>
        <v/>
      </c>
    </row>
    <row r="333" spans="2:10">
      <c r="B333" s="237"/>
      <c r="C333" s="238">
        <f>Dat_02!B332</f>
        <v>44707</v>
      </c>
      <c r="D333" s="237"/>
      <c r="E333" s="240">
        <f>Dat_02!C332</f>
        <v>32.7984575448884</v>
      </c>
      <c r="F333" s="240">
        <f>Dat_02!D332</f>
        <v>99.174715760964361</v>
      </c>
      <c r="G333" s="240">
        <f>Dat_02!E332</f>
        <v>32.7984575448884</v>
      </c>
      <c r="I333" s="241">
        <f>Dat_02!G332</f>
        <v>0</v>
      </c>
      <c r="J333" s="251" t="str">
        <f>IF(Dat_02!H332=0,"",Dat_02!H332)</f>
        <v/>
      </c>
    </row>
    <row r="334" spans="2:10">
      <c r="B334" s="237"/>
      <c r="C334" s="238">
        <f>Dat_02!B333</f>
        <v>44708</v>
      </c>
      <c r="D334" s="237"/>
      <c r="E334" s="240">
        <f>Dat_02!C333</f>
        <v>34.793228270888399</v>
      </c>
      <c r="F334" s="240">
        <f>Dat_02!D333</f>
        <v>99.174715760964361</v>
      </c>
      <c r="G334" s="240">
        <f>Dat_02!E333</f>
        <v>34.793228270888399</v>
      </c>
      <c r="I334" s="241">
        <f>Dat_02!G333</f>
        <v>0</v>
      </c>
      <c r="J334" s="251" t="str">
        <f>IF(Dat_02!H333=0,"",Dat_02!H333)</f>
        <v/>
      </c>
    </row>
    <row r="335" spans="2:10">
      <c r="B335" s="237"/>
      <c r="C335" s="238">
        <f>Dat_02!B334</f>
        <v>44709</v>
      </c>
      <c r="D335" s="237"/>
      <c r="E335" s="240">
        <f>Dat_02!C334</f>
        <v>41.2591363828884</v>
      </c>
      <c r="F335" s="240">
        <f>Dat_02!D334</f>
        <v>99.174715760964361</v>
      </c>
      <c r="G335" s="240">
        <f>Dat_02!E334</f>
        <v>41.2591363828884</v>
      </c>
      <c r="I335" s="241">
        <f>Dat_02!G334</f>
        <v>0</v>
      </c>
      <c r="J335" s="251" t="str">
        <f>IF(Dat_02!H334=0,"",Dat_02!H334)</f>
        <v/>
      </c>
    </row>
    <row r="336" spans="2:10">
      <c r="B336" s="237"/>
      <c r="C336" s="238">
        <f>Dat_02!B335</f>
        <v>44710</v>
      </c>
      <c r="D336" s="237"/>
      <c r="E336" s="240">
        <f>Dat_02!C335</f>
        <v>28.227946492888396</v>
      </c>
      <c r="F336" s="240">
        <f>Dat_02!D335</f>
        <v>99.174715760964361</v>
      </c>
      <c r="G336" s="240">
        <f>Dat_02!E335</f>
        <v>28.227946492888396</v>
      </c>
      <c r="I336" s="241">
        <f>Dat_02!G335</f>
        <v>0</v>
      </c>
      <c r="J336" s="251" t="str">
        <f>IF(Dat_02!H335=0,"",Dat_02!H335)</f>
        <v/>
      </c>
    </row>
    <row r="337" spans="2:10">
      <c r="B337" s="237"/>
      <c r="C337" s="238">
        <f>Dat_02!B336</f>
        <v>44711</v>
      </c>
      <c r="D337" s="237"/>
      <c r="E337" s="240">
        <f>Dat_02!C336</f>
        <v>38.312418940888399</v>
      </c>
      <c r="F337" s="240">
        <f>Dat_02!D336</f>
        <v>99.174715760964361</v>
      </c>
      <c r="G337" s="240">
        <f>Dat_02!E336</f>
        <v>38.312418940888399</v>
      </c>
      <c r="I337" s="241">
        <f>Dat_02!G336</f>
        <v>0</v>
      </c>
      <c r="J337" s="251" t="str">
        <f>IF(Dat_02!H336=0,"",Dat_02!H336)</f>
        <v/>
      </c>
    </row>
    <row r="338" spans="2:10">
      <c r="B338" s="237"/>
      <c r="C338" s="238">
        <f>Dat_02!B337</f>
        <v>44712</v>
      </c>
      <c r="D338" s="237"/>
      <c r="E338" s="240">
        <f>Dat_02!C337</f>
        <v>48.322491006887468</v>
      </c>
      <c r="F338" s="240">
        <f>Dat_02!D337</f>
        <v>99.174715760964361</v>
      </c>
      <c r="G338" s="240">
        <f>Dat_02!E337</f>
        <v>48.322491006887468</v>
      </c>
      <c r="I338" s="241">
        <f>Dat_02!G337</f>
        <v>0</v>
      </c>
      <c r="J338" s="251" t="str">
        <f>IF(Dat_02!H337=0,"",Dat_02!H337)</f>
        <v/>
      </c>
    </row>
    <row r="339" spans="2:10">
      <c r="B339" s="237" t="s">
        <v>219</v>
      </c>
      <c r="C339" s="238">
        <f>Dat_02!B338</f>
        <v>44713</v>
      </c>
      <c r="D339" s="239"/>
      <c r="E339" s="240">
        <f>Dat_02!C338</f>
        <v>41.123223929528258</v>
      </c>
      <c r="F339" s="240">
        <f>Dat_02!D338</f>
        <v>63.620103867145374</v>
      </c>
      <c r="G339" s="240">
        <f>Dat_02!E338</f>
        <v>41.123223929528258</v>
      </c>
      <c r="I339" s="241">
        <f>Dat_02!G338</f>
        <v>0</v>
      </c>
      <c r="J339" s="251" t="str">
        <f>IF(Dat_02!H338=0,"",Dat_02!H338)</f>
        <v/>
      </c>
    </row>
    <row r="340" spans="2:10">
      <c r="B340" s="237"/>
      <c r="C340" s="238">
        <f>Dat_02!B339</f>
        <v>44714</v>
      </c>
      <c r="D340" s="239"/>
      <c r="E340" s="240">
        <f>Dat_02!C339</f>
        <v>52.456698009527322</v>
      </c>
      <c r="F340" s="240">
        <f>Dat_02!D339</f>
        <v>63.620103867145374</v>
      </c>
      <c r="G340" s="240">
        <f>Dat_02!E339</f>
        <v>52.456698009527322</v>
      </c>
      <c r="I340" s="241">
        <f>Dat_02!G339</f>
        <v>0</v>
      </c>
      <c r="J340" s="251" t="str">
        <f>IF(Dat_02!H339=0,"",Dat_02!H339)</f>
        <v/>
      </c>
    </row>
    <row r="341" spans="2:10">
      <c r="B341" s="237"/>
      <c r="C341" s="238">
        <f>Dat_02!B340</f>
        <v>44715</v>
      </c>
      <c r="D341" s="237"/>
      <c r="E341" s="240">
        <f>Dat_02!C340</f>
        <v>46.022433545527328</v>
      </c>
      <c r="F341" s="240">
        <f>Dat_02!D340</f>
        <v>63.620103867145374</v>
      </c>
      <c r="G341" s="240">
        <f>Dat_02!E340</f>
        <v>46.022433545527328</v>
      </c>
      <c r="I341" s="241">
        <f>Dat_02!G340</f>
        <v>0</v>
      </c>
      <c r="J341" s="251" t="str">
        <f>IF(Dat_02!H340=0,"",Dat_02!H340)</f>
        <v/>
      </c>
    </row>
    <row r="342" spans="2:10">
      <c r="B342" s="237"/>
      <c r="C342" s="238">
        <f>Dat_02!B341</f>
        <v>44716</v>
      </c>
      <c r="D342" s="237"/>
      <c r="E342" s="240">
        <f>Dat_02!C341</f>
        <v>32.122847235526393</v>
      </c>
      <c r="F342" s="240">
        <f>Dat_02!D341</f>
        <v>63.620103867145374</v>
      </c>
      <c r="G342" s="240">
        <f>Dat_02!E341</f>
        <v>32.122847235526393</v>
      </c>
      <c r="I342" s="241">
        <f>Dat_02!G341</f>
        <v>0</v>
      </c>
      <c r="J342" s="251" t="str">
        <f>IF(Dat_02!H341=0,"",Dat_02!H341)</f>
        <v/>
      </c>
    </row>
    <row r="343" spans="2:10">
      <c r="B343" s="237"/>
      <c r="C343" s="238">
        <f>Dat_02!B342</f>
        <v>44717</v>
      </c>
      <c r="D343" s="237"/>
      <c r="E343" s="240">
        <f>Dat_02!C342</f>
        <v>24.04601276152826</v>
      </c>
      <c r="F343" s="240">
        <f>Dat_02!D342</f>
        <v>63.620103867145374</v>
      </c>
      <c r="G343" s="240">
        <f>Dat_02!E342</f>
        <v>24.04601276152826</v>
      </c>
      <c r="I343" s="241">
        <f>Dat_02!G342</f>
        <v>0</v>
      </c>
      <c r="J343" s="251" t="str">
        <f>IF(Dat_02!H342=0,"",Dat_02!H342)</f>
        <v/>
      </c>
    </row>
    <row r="344" spans="2:10">
      <c r="B344" s="237"/>
      <c r="C344" s="238">
        <f>Dat_02!B343</f>
        <v>44718</v>
      </c>
      <c r="D344" s="237"/>
      <c r="E344" s="240">
        <f>Dat_02!C343</f>
        <v>30.42039194552919</v>
      </c>
      <c r="F344" s="240">
        <f>Dat_02!D343</f>
        <v>63.620103867145374</v>
      </c>
      <c r="G344" s="240">
        <f>Dat_02!E343</f>
        <v>30.42039194552919</v>
      </c>
      <c r="I344" s="241">
        <f>Dat_02!G343</f>
        <v>0</v>
      </c>
      <c r="J344" s="251" t="str">
        <f>IF(Dat_02!H343=0,"",Dat_02!H343)</f>
        <v/>
      </c>
    </row>
    <row r="345" spans="2:10">
      <c r="B345" s="237"/>
      <c r="C345" s="238">
        <f>Dat_02!B344</f>
        <v>44719</v>
      </c>
      <c r="D345" s="237"/>
      <c r="E345" s="240">
        <f>Dat_02!C344</f>
        <v>29.281747123526394</v>
      </c>
      <c r="F345" s="240">
        <f>Dat_02!D344</f>
        <v>63.620103867145374</v>
      </c>
      <c r="G345" s="240">
        <f>Dat_02!E344</f>
        <v>29.281747123526394</v>
      </c>
      <c r="I345" s="241">
        <f>Dat_02!G344</f>
        <v>0</v>
      </c>
      <c r="J345" s="251" t="str">
        <f>IF(Dat_02!H344=0,"",Dat_02!H344)</f>
        <v/>
      </c>
    </row>
    <row r="346" spans="2:10">
      <c r="B346" s="237"/>
      <c r="C346" s="238">
        <f>Dat_02!B345</f>
        <v>44720</v>
      </c>
      <c r="D346" s="237"/>
      <c r="E346" s="240">
        <f>Dat_02!C345</f>
        <v>22.808710077752295</v>
      </c>
      <c r="F346" s="240">
        <f>Dat_02!D345</f>
        <v>63.620103867145374</v>
      </c>
      <c r="G346" s="240">
        <f>Dat_02!E345</f>
        <v>22.808710077752295</v>
      </c>
      <c r="I346" s="241">
        <f>Dat_02!G345</f>
        <v>0</v>
      </c>
      <c r="J346" s="251" t="str">
        <f>IF(Dat_02!H345=0,"",Dat_02!H345)</f>
        <v/>
      </c>
    </row>
    <row r="347" spans="2:10">
      <c r="B347" s="237"/>
      <c r="C347" s="238">
        <f>Dat_02!B346</f>
        <v>44721</v>
      </c>
      <c r="D347" s="237"/>
      <c r="E347" s="240">
        <f>Dat_02!C346</f>
        <v>25.381636507752294</v>
      </c>
      <c r="F347" s="240">
        <f>Dat_02!D346</f>
        <v>63.620103867145374</v>
      </c>
      <c r="G347" s="240">
        <f>Dat_02!E346</f>
        <v>25.381636507752294</v>
      </c>
      <c r="I347" s="241">
        <f>Dat_02!G346</f>
        <v>0</v>
      </c>
      <c r="J347" s="251" t="str">
        <f>IF(Dat_02!H346=0,"",Dat_02!H346)</f>
        <v/>
      </c>
    </row>
    <row r="348" spans="2:10">
      <c r="B348" s="237"/>
      <c r="C348" s="238">
        <f>Dat_02!B347</f>
        <v>44722</v>
      </c>
      <c r="D348" s="237"/>
      <c r="E348" s="240">
        <f>Dat_02!C347</f>
        <v>30.097485453753222</v>
      </c>
      <c r="F348" s="240">
        <f>Dat_02!D347</f>
        <v>63.620103867145374</v>
      </c>
      <c r="G348" s="240">
        <f>Dat_02!E347</f>
        <v>30.097485453753222</v>
      </c>
      <c r="I348" s="241">
        <f>Dat_02!G347</f>
        <v>0</v>
      </c>
      <c r="J348" s="251" t="str">
        <f>IF(Dat_02!H347=0,"",Dat_02!H347)</f>
        <v/>
      </c>
    </row>
    <row r="349" spans="2:10">
      <c r="B349" s="237"/>
      <c r="C349" s="238">
        <f>Dat_02!B348</f>
        <v>44723</v>
      </c>
      <c r="D349" s="237"/>
      <c r="E349" s="240">
        <f>Dat_02!C348</f>
        <v>26.399948901751362</v>
      </c>
      <c r="F349" s="240">
        <f>Dat_02!D348</f>
        <v>63.620103867145374</v>
      </c>
      <c r="G349" s="240">
        <f>Dat_02!E348</f>
        <v>26.399948901751362</v>
      </c>
      <c r="I349" s="241">
        <f>Dat_02!G348</f>
        <v>0</v>
      </c>
      <c r="J349" s="251" t="str">
        <f>IF(Dat_02!H348=0,"",Dat_02!H348)</f>
        <v/>
      </c>
    </row>
    <row r="350" spans="2:10">
      <c r="B350" s="237"/>
      <c r="C350" s="238">
        <f>Dat_02!B349</f>
        <v>44724</v>
      </c>
      <c r="D350" s="237"/>
      <c r="E350" s="240">
        <f>Dat_02!C349</f>
        <v>19.313892079751355</v>
      </c>
      <c r="F350" s="240">
        <f>Dat_02!D349</f>
        <v>63.620103867145374</v>
      </c>
      <c r="G350" s="240">
        <f>Dat_02!E349</f>
        <v>19.313892079751355</v>
      </c>
      <c r="I350" s="241">
        <f>Dat_02!G349</f>
        <v>0</v>
      </c>
      <c r="J350" s="251" t="str">
        <f>IF(Dat_02!H349=0,"",Dat_02!H349)</f>
        <v/>
      </c>
    </row>
    <row r="351" spans="2:10">
      <c r="B351" s="237"/>
      <c r="C351" s="238">
        <f>Dat_02!B350</f>
        <v>44725</v>
      </c>
      <c r="D351" s="237"/>
      <c r="E351" s="240">
        <f>Dat_02!C350</f>
        <v>46.131497131753228</v>
      </c>
      <c r="F351" s="240">
        <f>Dat_02!D350</f>
        <v>63.620103867145374</v>
      </c>
      <c r="G351" s="240">
        <f>Dat_02!E350</f>
        <v>46.131497131753228</v>
      </c>
      <c r="I351" s="241">
        <f>Dat_02!G350</f>
        <v>0</v>
      </c>
      <c r="J351" s="251" t="str">
        <f>IF(Dat_02!H350=0,"",Dat_02!H350)</f>
        <v/>
      </c>
    </row>
    <row r="352" spans="2:10">
      <c r="B352" s="237"/>
      <c r="C352" s="238">
        <f>Dat_02!B351</f>
        <v>44726</v>
      </c>
      <c r="D352" s="237"/>
      <c r="E352" s="240">
        <f>Dat_02!C351</f>
        <v>42.376979761752295</v>
      </c>
      <c r="F352" s="240">
        <f>Dat_02!D351</f>
        <v>63.620103867145374</v>
      </c>
      <c r="G352" s="240">
        <f>Dat_02!E351</f>
        <v>42.376979761752295</v>
      </c>
      <c r="I352" s="241">
        <f>Dat_02!G351</f>
        <v>0</v>
      </c>
      <c r="J352" s="251" t="str">
        <f>IF(Dat_02!H351=0,"",Dat_02!H351)</f>
        <v/>
      </c>
    </row>
    <row r="353" spans="2:10">
      <c r="B353" s="237"/>
      <c r="C353" s="238">
        <f>Dat_02!B352</f>
        <v>44727</v>
      </c>
      <c r="D353" s="237"/>
      <c r="E353" s="240">
        <f>Dat_02!C352</f>
        <v>29.866455020219043</v>
      </c>
      <c r="F353" s="240">
        <f>Dat_02!D352</f>
        <v>63.620103867145374</v>
      </c>
      <c r="G353" s="240">
        <f>Dat_02!E352</f>
        <v>29.866455020219043</v>
      </c>
      <c r="I353" s="241">
        <f>Dat_02!G352</f>
        <v>63.620103867145374</v>
      </c>
      <c r="J353" s="251" t="str">
        <f>IF(Dat_02!H352=0,"",Dat_02!H352)</f>
        <v/>
      </c>
    </row>
    <row r="354" spans="2:10">
      <c r="B354" s="237"/>
      <c r="C354" s="238">
        <f>Dat_02!B353</f>
        <v>44728</v>
      </c>
      <c r="D354" s="237"/>
      <c r="E354" s="240">
        <f>Dat_02!C353</f>
        <v>3.6858126262199731</v>
      </c>
      <c r="F354" s="240">
        <f>Dat_02!D353</f>
        <v>63.620103867145374</v>
      </c>
      <c r="G354" s="240">
        <f>Dat_02!E353</f>
        <v>3.6858126262199731</v>
      </c>
      <c r="I354" s="241">
        <f>Dat_02!G353</f>
        <v>0</v>
      </c>
      <c r="J354" s="251" t="str">
        <f>IF(Dat_02!H353=0,"",Dat_02!H353)</f>
        <v/>
      </c>
    </row>
    <row r="355" spans="2:10">
      <c r="B355" s="237"/>
      <c r="C355" s="238">
        <f>Dat_02!B354</f>
        <v>44729</v>
      </c>
      <c r="D355" s="237"/>
      <c r="E355" s="240">
        <f>Dat_02!C354</f>
        <v>4.2177814382199683</v>
      </c>
      <c r="F355" s="240">
        <f>Dat_02!D354</f>
        <v>63.620103867145374</v>
      </c>
      <c r="G355" s="240">
        <f>Dat_02!E354</f>
        <v>4.2177814382199683</v>
      </c>
      <c r="I355" s="241">
        <f>Dat_02!G354</f>
        <v>0</v>
      </c>
      <c r="J355" s="251" t="str">
        <f>IF(Dat_02!H354=0,"",Dat_02!H354)</f>
        <v/>
      </c>
    </row>
    <row r="356" spans="2:10">
      <c r="B356" s="237"/>
      <c r="C356" s="238">
        <f>Dat_02!B355</f>
        <v>44730</v>
      </c>
      <c r="D356" s="237"/>
      <c r="E356" s="240">
        <f>Dat_02!C355</f>
        <v>5.5702210842199715</v>
      </c>
      <c r="F356" s="240">
        <f>Dat_02!D355</f>
        <v>63.620103867145374</v>
      </c>
      <c r="G356" s="240">
        <f>Dat_02!E355</f>
        <v>5.5702210842199715</v>
      </c>
      <c r="I356" s="241">
        <f>Dat_02!G355</f>
        <v>0</v>
      </c>
      <c r="J356" s="251" t="str">
        <f>IF(Dat_02!H355=0,"",Dat_02!H355)</f>
        <v/>
      </c>
    </row>
    <row r="357" spans="2:10">
      <c r="B357" s="237"/>
      <c r="C357" s="238">
        <f>Dat_02!B356</f>
        <v>44731</v>
      </c>
      <c r="D357" s="237"/>
      <c r="E357" s="240">
        <f>Dat_02!C356</f>
        <v>5.4717802962209028</v>
      </c>
      <c r="F357" s="240">
        <f>Dat_02!D356</f>
        <v>63.620103867145374</v>
      </c>
      <c r="G357" s="240">
        <f>Dat_02!E356</f>
        <v>5.4717802962209028</v>
      </c>
      <c r="I357" s="241">
        <f>Dat_02!G356</f>
        <v>0</v>
      </c>
      <c r="J357" s="251" t="str">
        <f>IF(Dat_02!H356=0,"",Dat_02!H356)</f>
        <v/>
      </c>
    </row>
    <row r="358" spans="2:10">
      <c r="B358" s="237"/>
      <c r="C358" s="238">
        <f>Dat_02!B357</f>
        <v>44732</v>
      </c>
      <c r="D358" s="237"/>
      <c r="E358" s="240">
        <f>Dat_02!C357</f>
        <v>4.6292638182190418</v>
      </c>
      <c r="F358" s="240">
        <f>Dat_02!D357</f>
        <v>63.620103867145374</v>
      </c>
      <c r="G358" s="240">
        <f>Dat_02!E357</f>
        <v>4.6292638182190418</v>
      </c>
      <c r="I358" s="241">
        <f>Dat_02!G357</f>
        <v>0</v>
      </c>
      <c r="J358" s="251" t="str">
        <f>IF(Dat_02!H357=0,"",Dat_02!H357)</f>
        <v/>
      </c>
    </row>
    <row r="359" spans="2:10">
      <c r="B359" s="237"/>
      <c r="C359" s="238">
        <f>Dat_02!B358</f>
        <v>44733</v>
      </c>
      <c r="D359" s="237"/>
      <c r="E359" s="240">
        <f>Dat_02!C358</f>
        <v>7.8382079562199722</v>
      </c>
      <c r="F359" s="240">
        <f>Dat_02!D358</f>
        <v>63.620103867145374</v>
      </c>
      <c r="G359" s="240">
        <f>Dat_02!E358</f>
        <v>7.8382079562199722</v>
      </c>
      <c r="I359" s="241">
        <f>Dat_02!G358</f>
        <v>0</v>
      </c>
      <c r="J359" s="251" t="str">
        <f>IF(Dat_02!H358=0,"",Dat_02!H358)</f>
        <v/>
      </c>
    </row>
    <row r="360" spans="2:10">
      <c r="B360" s="237"/>
      <c r="C360" s="238">
        <f>Dat_02!B359</f>
        <v>44734</v>
      </c>
      <c r="D360" s="237"/>
      <c r="E360" s="240">
        <f>Dat_02!C359</f>
        <v>19.542001010242529</v>
      </c>
      <c r="F360" s="240">
        <f>Dat_02!D359</f>
        <v>63.620103867145374</v>
      </c>
      <c r="G360" s="240">
        <f>Dat_02!E359</f>
        <v>19.542001010242529</v>
      </c>
      <c r="I360" s="241">
        <f>Dat_02!G359</f>
        <v>0</v>
      </c>
      <c r="J360" s="251" t="str">
        <f>IF(Dat_02!H359=0,"",Dat_02!H359)</f>
        <v/>
      </c>
    </row>
    <row r="361" spans="2:10">
      <c r="B361" s="237"/>
      <c r="C361" s="238">
        <f>Dat_02!B360</f>
        <v>44735</v>
      </c>
      <c r="D361" s="237"/>
      <c r="E361" s="240">
        <f>Dat_02!C360</f>
        <v>11.83257413824346</v>
      </c>
      <c r="F361" s="240">
        <f>Dat_02!D360</f>
        <v>63.620103867145374</v>
      </c>
      <c r="G361" s="240">
        <f>Dat_02!E360</f>
        <v>11.83257413824346</v>
      </c>
      <c r="I361" s="241">
        <f>Dat_02!G360</f>
        <v>0</v>
      </c>
      <c r="J361" s="251" t="str">
        <f>IF(Dat_02!H360=0,"",Dat_02!H360)</f>
        <v/>
      </c>
    </row>
    <row r="362" spans="2:10">
      <c r="B362" s="237"/>
      <c r="C362" s="238">
        <f>Dat_02!B361</f>
        <v>44736</v>
      </c>
      <c r="D362" s="237"/>
      <c r="E362" s="240">
        <f>Dat_02!C361</f>
        <v>13.604441506245326</v>
      </c>
      <c r="F362" s="240">
        <f>Dat_02!D361</f>
        <v>63.620103867145374</v>
      </c>
      <c r="G362" s="240">
        <f>Dat_02!E361</f>
        <v>13.604441506245326</v>
      </c>
      <c r="I362" s="241">
        <f>Dat_02!G361</f>
        <v>0</v>
      </c>
      <c r="J362" s="251" t="str">
        <f>IF(Dat_02!H361=0,"",Dat_02!H361)</f>
        <v/>
      </c>
    </row>
    <row r="363" spans="2:10">
      <c r="B363" s="237"/>
      <c r="C363" s="238">
        <f>Dat_02!B362</f>
        <v>44737</v>
      </c>
      <c r="D363" s="237"/>
      <c r="E363" s="240">
        <f>Dat_02!C362</f>
        <v>14.067334344244395</v>
      </c>
      <c r="F363" s="240">
        <f>Dat_02!D362</f>
        <v>63.620103867145374</v>
      </c>
      <c r="G363" s="240">
        <f>Dat_02!E362</f>
        <v>14.067334344244395</v>
      </c>
      <c r="I363" s="241">
        <f>Dat_02!G362</f>
        <v>0</v>
      </c>
      <c r="J363" s="251" t="str">
        <f>IF(Dat_02!H362=0,"",Dat_02!H362)</f>
        <v/>
      </c>
    </row>
    <row r="364" spans="2:10">
      <c r="B364" s="237"/>
      <c r="C364" s="238">
        <f>Dat_02!B363</f>
        <v>44738</v>
      </c>
      <c r="D364" s="237"/>
      <c r="E364" s="240">
        <f>Dat_02!C363</f>
        <v>14.775482156243463</v>
      </c>
      <c r="F364" s="240">
        <f>Dat_02!D363</f>
        <v>63.620103867145374</v>
      </c>
      <c r="G364" s="240">
        <f>Dat_02!E363</f>
        <v>14.775482156243463</v>
      </c>
      <c r="I364" s="241">
        <f>Dat_02!G363</f>
        <v>0</v>
      </c>
      <c r="J364" s="251" t="str">
        <f>IF(Dat_02!H363=0,"",Dat_02!H363)</f>
        <v/>
      </c>
    </row>
    <row r="365" spans="2:10">
      <c r="B365" s="237"/>
      <c r="C365" s="238">
        <f>Dat_02!B364</f>
        <v>44739</v>
      </c>
      <c r="D365" s="237"/>
      <c r="E365" s="240">
        <f>Dat_02!C364</f>
        <v>16.261251046242531</v>
      </c>
      <c r="F365" s="240">
        <f>Dat_02!D364</f>
        <v>63.620103867145374</v>
      </c>
      <c r="G365" s="240">
        <f>Dat_02!E364</f>
        <v>16.261251046242531</v>
      </c>
      <c r="I365" s="241">
        <f>Dat_02!G364</f>
        <v>0</v>
      </c>
      <c r="J365" s="251" t="str">
        <f>IF(Dat_02!H364=0,"",Dat_02!H364)</f>
        <v/>
      </c>
    </row>
    <row r="366" spans="2:10">
      <c r="B366" s="237"/>
      <c r="C366" s="238">
        <f>Dat_02!B365</f>
        <v>44740</v>
      </c>
      <c r="D366" s="237"/>
      <c r="E366" s="240">
        <f>Dat_02!C365</f>
        <v>21.935580164243461</v>
      </c>
      <c r="F366" s="240">
        <f>Dat_02!D365</f>
        <v>63.620103867145374</v>
      </c>
      <c r="G366" s="240">
        <f>Dat_02!E365</f>
        <v>21.935580164243461</v>
      </c>
      <c r="I366" s="241">
        <f>Dat_02!G365</f>
        <v>0</v>
      </c>
      <c r="J366" s="251" t="str">
        <f>IF(Dat_02!H365=0,"",Dat_02!H365)</f>
        <v/>
      </c>
    </row>
    <row r="367" spans="2:10">
      <c r="B367" s="237"/>
      <c r="C367" s="238">
        <f>Dat_02!B366</f>
        <v>44741</v>
      </c>
      <c r="D367" s="237"/>
      <c r="E367" s="240">
        <f>Dat_02!C366</f>
        <v>9.1596987699111931</v>
      </c>
      <c r="F367" s="240">
        <f>Dat_02!D366</f>
        <v>63.620103867145374</v>
      </c>
      <c r="G367" s="240">
        <f>Dat_02!E366</f>
        <v>9.1596987699111931</v>
      </c>
      <c r="I367" s="241">
        <f>Dat_02!G366</f>
        <v>0</v>
      </c>
      <c r="J367" s="251" t="str">
        <f>IF(Dat_02!H366=0,"",Dat_02!H366)</f>
        <v/>
      </c>
    </row>
    <row r="368" spans="2:10">
      <c r="B368" s="237"/>
      <c r="C368" s="238">
        <f>Dat_02!B367</f>
        <v>44742</v>
      </c>
      <c r="D368" s="237"/>
      <c r="E368" s="240">
        <f>Dat_02!C367</f>
        <v>13.891888505911192</v>
      </c>
      <c r="F368" s="240">
        <f>Dat_02!D367</f>
        <v>63.620103867145374</v>
      </c>
      <c r="G368" s="240">
        <f>Dat_02!E367</f>
        <v>13.891888505911192</v>
      </c>
      <c r="I368" s="241">
        <f>Dat_02!G367</f>
        <v>0</v>
      </c>
      <c r="J368" s="251" t="str">
        <f>IF(Dat_02!H367=0,"",Dat_02!H367)</f>
        <v/>
      </c>
    </row>
    <row r="369" spans="2:10">
      <c r="B369" s="237" t="s">
        <v>222</v>
      </c>
      <c r="C369" s="238">
        <f>Dat_02!B368</f>
        <v>44743</v>
      </c>
      <c r="D369" s="239"/>
      <c r="E369" s="240">
        <f>Dat_02!C368</f>
        <v>18.251279493911191</v>
      </c>
      <c r="F369" s="240">
        <f>Dat_02!D368</f>
        <v>27.438293490002458</v>
      </c>
      <c r="G369" s="240">
        <f>Dat_02!E368</f>
        <v>18.251279493911191</v>
      </c>
      <c r="I369" s="241">
        <f>Dat_02!G368</f>
        <v>0</v>
      </c>
      <c r="J369" s="251" t="str">
        <f>IF(Dat_02!H368=0,"",Dat_02!H368)</f>
        <v/>
      </c>
    </row>
    <row r="370" spans="2:10">
      <c r="B370" s="237"/>
      <c r="C370" s="238">
        <f>Dat_02!B369</f>
        <v>44744</v>
      </c>
      <c r="D370" s="239"/>
      <c r="E370" s="240">
        <f>Dat_02!C369</f>
        <v>13.30726302791026</v>
      </c>
      <c r="F370" s="240">
        <f>Dat_02!D369</f>
        <v>27.438293490002458</v>
      </c>
      <c r="G370" s="240">
        <f>Dat_02!E369</f>
        <v>13.30726302791026</v>
      </c>
      <c r="I370" s="241">
        <f>Dat_02!G369</f>
        <v>0</v>
      </c>
      <c r="J370" s="251" t="str">
        <f>IF(Dat_02!H369=0,"",Dat_02!H369)</f>
        <v/>
      </c>
    </row>
    <row r="371" spans="2:10">
      <c r="B371" s="237"/>
      <c r="C371" s="238">
        <f>Dat_02!B370</f>
        <v>44745</v>
      </c>
      <c r="D371" s="237"/>
      <c r="E371" s="240">
        <f>Dat_02!C370</f>
        <v>10.85917095791026</v>
      </c>
      <c r="F371" s="240">
        <f>Dat_02!D370</f>
        <v>27.438293490002458</v>
      </c>
      <c r="G371" s="240">
        <f>Dat_02!E370</f>
        <v>10.85917095791026</v>
      </c>
      <c r="I371" s="241">
        <f>Dat_02!G370</f>
        <v>0</v>
      </c>
      <c r="J371" s="251" t="str">
        <f>IF(Dat_02!H370=0,"",Dat_02!H370)</f>
        <v/>
      </c>
    </row>
    <row r="372" spans="2:10">
      <c r="B372" s="237"/>
      <c r="C372" s="238">
        <f>Dat_02!B371</f>
        <v>44746</v>
      </c>
      <c r="D372" s="237"/>
      <c r="E372" s="240">
        <f>Dat_02!C371</f>
        <v>12.598542783910263</v>
      </c>
      <c r="F372" s="240">
        <f>Dat_02!D371</f>
        <v>27.438293490002458</v>
      </c>
      <c r="G372" s="240">
        <f>Dat_02!E371</f>
        <v>12.598542783910263</v>
      </c>
      <c r="I372" s="241">
        <f>Dat_02!G371</f>
        <v>0</v>
      </c>
      <c r="J372" s="251" t="str">
        <f>IF(Dat_02!H371=0,"",Dat_02!H371)</f>
        <v/>
      </c>
    </row>
    <row r="373" spans="2:10">
      <c r="B373" s="237"/>
      <c r="C373" s="238">
        <f>Dat_02!B372</f>
        <v>44747</v>
      </c>
      <c r="D373" s="237"/>
      <c r="E373" s="240">
        <f>Dat_02!C372</f>
        <v>9.8952008619102596</v>
      </c>
      <c r="F373" s="240">
        <f>Dat_02!D372</f>
        <v>27.438293490002458</v>
      </c>
      <c r="G373" s="240">
        <f>Dat_02!E372</f>
        <v>9.8952008619102596</v>
      </c>
      <c r="I373" s="241">
        <f>Dat_02!G372</f>
        <v>0</v>
      </c>
      <c r="J373" s="251" t="str">
        <f>IF(Dat_02!H372=0,"",Dat_02!H372)</f>
        <v/>
      </c>
    </row>
    <row r="374" spans="2:10">
      <c r="B374" s="237"/>
      <c r="C374" s="238">
        <f>Dat_02!B373</f>
        <v>44748</v>
      </c>
      <c r="D374" s="237"/>
      <c r="E374" s="240">
        <f>Dat_02!C373</f>
        <v>11.241820423679</v>
      </c>
      <c r="F374" s="240">
        <f>Dat_02!D373</f>
        <v>27.438293490002458</v>
      </c>
      <c r="G374" s="240">
        <f>Dat_02!E373</f>
        <v>11.241820423679</v>
      </c>
      <c r="I374" s="241">
        <f>Dat_02!G373</f>
        <v>0</v>
      </c>
      <c r="J374" s="251" t="str">
        <f>IF(Dat_02!H373=0,"",Dat_02!H373)</f>
        <v/>
      </c>
    </row>
    <row r="375" spans="2:10">
      <c r="B375" s="237"/>
      <c r="C375" s="238">
        <f>Dat_02!B374</f>
        <v>44749</v>
      </c>
      <c r="D375" s="237"/>
      <c r="E375" s="240">
        <f>Dat_02!C374</f>
        <v>8.9794350036817967</v>
      </c>
      <c r="F375" s="240">
        <f>Dat_02!D374</f>
        <v>27.438293490002458</v>
      </c>
      <c r="G375" s="240">
        <f>Dat_02!E374</f>
        <v>8.9794350036817967</v>
      </c>
      <c r="I375" s="241">
        <f>Dat_02!G374</f>
        <v>0</v>
      </c>
      <c r="J375" s="251" t="str">
        <f>IF(Dat_02!H374=0,"",Dat_02!H374)</f>
        <v/>
      </c>
    </row>
    <row r="376" spans="2:10">
      <c r="B376" s="237"/>
      <c r="C376" s="238">
        <f>Dat_02!B375</f>
        <v>44750</v>
      </c>
      <c r="D376" s="237"/>
      <c r="E376" s="240">
        <f>Dat_02!C375</f>
        <v>9.724760133679931</v>
      </c>
      <c r="F376" s="240">
        <f>Dat_02!D375</f>
        <v>27.438293490002458</v>
      </c>
      <c r="G376" s="240">
        <f>Dat_02!E375</f>
        <v>9.724760133679931</v>
      </c>
      <c r="I376" s="241">
        <f>Dat_02!G375</f>
        <v>0</v>
      </c>
      <c r="J376" s="251" t="str">
        <f>IF(Dat_02!H375=0,"",Dat_02!H375)</f>
        <v/>
      </c>
    </row>
    <row r="377" spans="2:10">
      <c r="B377" s="237"/>
      <c r="C377" s="238">
        <f>Dat_02!B376</f>
        <v>44751</v>
      </c>
      <c r="D377" s="237"/>
      <c r="E377" s="240">
        <f>Dat_02!C376</f>
        <v>10.570958937678999</v>
      </c>
      <c r="F377" s="240">
        <f>Dat_02!D376</f>
        <v>27.438293490002458</v>
      </c>
      <c r="G377" s="240">
        <f>Dat_02!E376</f>
        <v>10.570958937678999</v>
      </c>
      <c r="I377" s="241">
        <f>Dat_02!G376</f>
        <v>0</v>
      </c>
      <c r="J377" s="251" t="str">
        <f>IF(Dat_02!H376=0,"",Dat_02!H376)</f>
        <v/>
      </c>
    </row>
    <row r="378" spans="2:10">
      <c r="B378" s="237"/>
      <c r="C378" s="238">
        <f>Dat_02!B377</f>
        <v>44752</v>
      </c>
      <c r="D378" s="237"/>
      <c r="E378" s="240">
        <f>Dat_02!C377</f>
        <v>6.7936013716790002</v>
      </c>
      <c r="F378" s="240">
        <f>Dat_02!D377</f>
        <v>27.438293490002458</v>
      </c>
      <c r="G378" s="240">
        <f>Dat_02!E377</f>
        <v>6.7936013716790002</v>
      </c>
      <c r="I378" s="241">
        <f>Dat_02!G377</f>
        <v>0</v>
      </c>
      <c r="J378" s="251" t="str">
        <f>IF(Dat_02!H377=0,"",Dat_02!H377)</f>
        <v/>
      </c>
    </row>
    <row r="379" spans="2:10">
      <c r="B379" s="237"/>
      <c r="C379" s="238">
        <f>Dat_02!B378</f>
        <v>44753</v>
      </c>
      <c r="D379" s="237"/>
      <c r="E379" s="240">
        <f>Dat_02!C378</f>
        <v>6.1090904676808639</v>
      </c>
      <c r="F379" s="240">
        <f>Dat_02!D378</f>
        <v>27.438293490002458</v>
      </c>
      <c r="G379" s="240">
        <f>Dat_02!E378</f>
        <v>6.1090904676808639</v>
      </c>
      <c r="I379" s="241">
        <f>Dat_02!G378</f>
        <v>0</v>
      </c>
      <c r="J379" s="251" t="str">
        <f>IF(Dat_02!H378=0,"",Dat_02!H378)</f>
        <v/>
      </c>
    </row>
    <row r="380" spans="2:10">
      <c r="B380" s="237"/>
      <c r="C380" s="238">
        <f>Dat_02!B379</f>
        <v>44754</v>
      </c>
      <c r="D380" s="237"/>
      <c r="E380" s="240">
        <f>Dat_02!C379</f>
        <v>11.517142063679</v>
      </c>
      <c r="F380" s="240">
        <f>Dat_02!D379</f>
        <v>27.438293490002458</v>
      </c>
      <c r="G380" s="240">
        <f>Dat_02!E379</f>
        <v>11.517142063679</v>
      </c>
      <c r="I380" s="241">
        <f>Dat_02!G379</f>
        <v>0</v>
      </c>
      <c r="J380" s="251" t="str">
        <f>IF(Dat_02!H379=0,"",Dat_02!H379)</f>
        <v/>
      </c>
    </row>
    <row r="381" spans="2:10">
      <c r="B381" s="237"/>
      <c r="C381" s="238">
        <f>Dat_02!B380</f>
        <v>44755</v>
      </c>
      <c r="D381" s="237"/>
      <c r="E381" s="240">
        <f>Dat_02!C380</f>
        <v>4.7365951573210552</v>
      </c>
      <c r="F381" s="240">
        <f>Dat_02!D380</f>
        <v>27.438293490002458</v>
      </c>
      <c r="G381" s="240">
        <f>Dat_02!E380</f>
        <v>4.7365951573210552</v>
      </c>
      <c r="I381" s="241">
        <f>Dat_02!G380</f>
        <v>0</v>
      </c>
      <c r="J381" s="251" t="str">
        <f>IF(Dat_02!H380=0,"",Dat_02!H380)</f>
        <v/>
      </c>
    </row>
    <row r="382" spans="2:10">
      <c r="B382" s="237"/>
      <c r="C382" s="238">
        <f>Dat_02!B381</f>
        <v>44756</v>
      </c>
      <c r="D382" s="237"/>
      <c r="E382" s="240">
        <f>Dat_02!C381</f>
        <v>4.4466675373191977</v>
      </c>
      <c r="F382" s="240">
        <f>Dat_02!D381</f>
        <v>27.438293490002458</v>
      </c>
      <c r="G382" s="240">
        <f>Dat_02!E381</f>
        <v>4.4466675373191977</v>
      </c>
      <c r="I382" s="241">
        <f>Dat_02!G381</f>
        <v>0</v>
      </c>
      <c r="J382" s="251" t="str">
        <f>IF(Dat_02!H381=0,"",Dat_02!H381)</f>
        <v/>
      </c>
    </row>
    <row r="383" spans="2:10">
      <c r="B383" s="237"/>
      <c r="C383" s="238">
        <f>Dat_02!B382</f>
        <v>44757</v>
      </c>
      <c r="D383" s="237"/>
      <c r="E383" s="240">
        <f>Dat_02!C382</f>
        <v>3.4484459653201265</v>
      </c>
      <c r="F383" s="240">
        <f>Dat_02!D382</f>
        <v>27.438293490002458</v>
      </c>
      <c r="G383" s="240">
        <f>Dat_02!E382</f>
        <v>3.4484459653201265</v>
      </c>
      <c r="I383" s="241">
        <f>Dat_02!G382</f>
        <v>27.438293490002458</v>
      </c>
      <c r="J383" s="251" t="str">
        <f>IF(Dat_02!H382=0,"",Dat_02!H382)</f>
        <v/>
      </c>
    </row>
    <row r="384" spans="2:10">
      <c r="B384" s="237"/>
      <c r="C384" s="238">
        <f>Dat_02!B383</f>
        <v>44758</v>
      </c>
      <c r="D384" s="237"/>
      <c r="E384" s="240">
        <f>Dat_02!C383</f>
        <v>2.2119180733191932</v>
      </c>
      <c r="F384" s="240">
        <f>Dat_02!D383</f>
        <v>27.438293490002458</v>
      </c>
      <c r="G384" s="240">
        <f>Dat_02!E383</f>
        <v>2.2119180733191932</v>
      </c>
      <c r="I384" s="241">
        <f>Dat_02!G383</f>
        <v>0</v>
      </c>
      <c r="J384" s="251" t="str">
        <f>IF(Dat_02!H383=0,"",Dat_02!H383)</f>
        <v/>
      </c>
    </row>
    <row r="385" spans="2:10">
      <c r="B385" s="237"/>
      <c r="C385" s="238">
        <f>Dat_02!B384</f>
        <v>44759</v>
      </c>
      <c r="D385" s="237"/>
      <c r="E385" s="240">
        <f>Dat_02!C384</f>
        <v>4.3806667053201274</v>
      </c>
      <c r="F385" s="240">
        <f>Dat_02!D384</f>
        <v>27.438293490002458</v>
      </c>
      <c r="G385" s="240">
        <f>Dat_02!E384</f>
        <v>4.3806667053201274</v>
      </c>
      <c r="I385" s="241">
        <f>Dat_02!G384</f>
        <v>0</v>
      </c>
      <c r="J385" s="251" t="str">
        <f>IF(Dat_02!H384=0,"",Dat_02!H384)</f>
        <v/>
      </c>
    </row>
    <row r="386" spans="2:10">
      <c r="B386" s="237"/>
      <c r="C386" s="238">
        <f>Dat_02!B385</f>
        <v>44760</v>
      </c>
      <c r="D386" s="237"/>
      <c r="E386" s="240">
        <f>Dat_02!C385</f>
        <v>2.7063242153210596</v>
      </c>
      <c r="F386" s="240">
        <f>Dat_02!D385</f>
        <v>27.438293490002458</v>
      </c>
      <c r="G386" s="240">
        <f>Dat_02!E385</f>
        <v>2.7063242153210596</v>
      </c>
      <c r="I386" s="241">
        <f>Dat_02!G385</f>
        <v>0</v>
      </c>
      <c r="J386" s="251" t="str">
        <f>IF(Dat_02!H385=0,"",Dat_02!H385)</f>
        <v/>
      </c>
    </row>
    <row r="387" spans="2:10">
      <c r="B387" s="237"/>
      <c r="C387" s="238">
        <f>Dat_02!B386</f>
        <v>44761</v>
      </c>
      <c r="D387" s="237"/>
      <c r="E387" s="240">
        <f>Dat_02!C386</f>
        <v>8.1026848313191948</v>
      </c>
      <c r="F387" s="240">
        <f>Dat_02!D386</f>
        <v>27.438293490002458</v>
      </c>
      <c r="G387" s="240">
        <f>Dat_02!E386</f>
        <v>8.1026848313191948</v>
      </c>
      <c r="I387" s="241">
        <f>Dat_02!G386</f>
        <v>0</v>
      </c>
      <c r="J387" s="251" t="str">
        <f>IF(Dat_02!H386=0,"",Dat_02!H386)</f>
        <v/>
      </c>
    </row>
    <row r="388" spans="2:10">
      <c r="B388" s="237"/>
      <c r="C388" s="238">
        <f>Dat_02!B387</f>
        <v>44762</v>
      </c>
      <c r="D388" s="237"/>
      <c r="E388" s="240">
        <f>Dat_02!C387</f>
        <v>7.0364355158213581</v>
      </c>
      <c r="F388" s="240">
        <f>Dat_02!D387</f>
        <v>27.438293490002458</v>
      </c>
      <c r="G388" s="240">
        <f>Dat_02!E387</f>
        <v>7.0364355158213581</v>
      </c>
      <c r="I388" s="241">
        <f>Dat_02!G387</f>
        <v>0</v>
      </c>
      <c r="J388" s="251" t="str">
        <f>IF(Dat_02!H387=0,"",Dat_02!H387)</f>
        <v/>
      </c>
    </row>
    <row r="389" spans="2:10">
      <c r="B389" s="237"/>
      <c r="C389" s="238">
        <f>Dat_02!B388</f>
        <v>44763</v>
      </c>
      <c r="D389" s="237"/>
      <c r="E389" s="240">
        <f>Dat_02!C388</f>
        <v>2.2514252478222878</v>
      </c>
      <c r="F389" s="240">
        <f>Dat_02!D388</f>
        <v>27.438293490002458</v>
      </c>
      <c r="G389" s="240">
        <f>Dat_02!E388</f>
        <v>2.2514252478222878</v>
      </c>
      <c r="I389" s="241">
        <f>Dat_02!G388</f>
        <v>0</v>
      </c>
      <c r="J389" s="251" t="str">
        <f>IF(Dat_02!H388=0,"",Dat_02!H388)</f>
        <v/>
      </c>
    </row>
    <row r="390" spans="2:10">
      <c r="B390" s="237"/>
      <c r="C390" s="238">
        <f>Dat_02!B389</f>
        <v>44764</v>
      </c>
      <c r="D390" s="237"/>
      <c r="E390" s="240">
        <f>Dat_02!C389</f>
        <v>9.5429019778213551</v>
      </c>
      <c r="F390" s="240">
        <f>Dat_02!D389</f>
        <v>27.438293490002458</v>
      </c>
      <c r="G390" s="240">
        <f>Dat_02!E389</f>
        <v>9.5429019778213551</v>
      </c>
      <c r="I390" s="241">
        <f>Dat_02!G389</f>
        <v>0</v>
      </c>
      <c r="J390" s="251" t="str">
        <f>IF(Dat_02!H389=0,"",Dat_02!H389)</f>
        <v/>
      </c>
    </row>
    <row r="391" spans="2:10">
      <c r="B391" s="237"/>
      <c r="C391" s="238">
        <f>Dat_02!B390</f>
        <v>44765</v>
      </c>
      <c r="D391" s="237"/>
      <c r="E391" s="240">
        <f>Dat_02!C390</f>
        <v>1.8340053678213553</v>
      </c>
      <c r="F391" s="240">
        <f>Dat_02!D390</f>
        <v>27.438293490002458</v>
      </c>
      <c r="G391" s="240">
        <f>Dat_02!E390</f>
        <v>1.8340053678213553</v>
      </c>
      <c r="I391" s="241">
        <f>Dat_02!G390</f>
        <v>0</v>
      </c>
      <c r="J391" s="251" t="str">
        <f>IF(Dat_02!H390=0,"",Dat_02!H390)</f>
        <v/>
      </c>
    </row>
    <row r="392" spans="2:10">
      <c r="B392" s="237"/>
      <c r="C392" s="238">
        <f>Dat_02!B391</f>
        <v>44766</v>
      </c>
      <c r="D392" s="237"/>
      <c r="E392" s="240">
        <f>Dat_02!C391</f>
        <v>6.3163635378232215</v>
      </c>
      <c r="F392" s="240">
        <f>Dat_02!D391</f>
        <v>27.438293490002458</v>
      </c>
      <c r="G392" s="240">
        <f>Dat_02!E391</f>
        <v>6.3163635378232215</v>
      </c>
      <c r="I392" s="241">
        <f>Dat_02!G391</f>
        <v>0</v>
      </c>
      <c r="J392" s="251" t="str">
        <f>IF(Dat_02!H391=0,"",Dat_02!H391)</f>
        <v/>
      </c>
    </row>
    <row r="393" spans="2:10">
      <c r="B393" s="237"/>
      <c r="C393" s="238">
        <f>Dat_02!B392</f>
        <v>44767</v>
      </c>
      <c r="D393" s="237"/>
      <c r="E393" s="240">
        <f>Dat_02!C392</f>
        <v>2.608429777821355</v>
      </c>
      <c r="F393" s="240">
        <f>Dat_02!D392</f>
        <v>27.438293490002458</v>
      </c>
      <c r="G393" s="240">
        <f>Dat_02!E392</f>
        <v>2.608429777821355</v>
      </c>
      <c r="I393" s="241">
        <f>Dat_02!G392</f>
        <v>0</v>
      </c>
      <c r="J393" s="251" t="str">
        <f>IF(Dat_02!H392=0,"",Dat_02!H392)</f>
        <v/>
      </c>
    </row>
    <row r="394" spans="2:10">
      <c r="B394" s="237"/>
      <c r="C394" s="238">
        <f>Dat_02!B393</f>
        <v>44768</v>
      </c>
      <c r="D394" s="237"/>
      <c r="E394" s="240">
        <f>Dat_02!C393</f>
        <v>2.9616896878222905</v>
      </c>
      <c r="F394" s="240">
        <f>Dat_02!D393</f>
        <v>27.438293490002458</v>
      </c>
      <c r="G394" s="240">
        <f>Dat_02!E393</f>
        <v>2.9616896878222905</v>
      </c>
      <c r="I394" s="241">
        <f>Dat_02!G393</f>
        <v>0</v>
      </c>
      <c r="J394" s="251" t="str">
        <f>IF(Dat_02!H393=0,"",Dat_02!H393)</f>
        <v/>
      </c>
    </row>
    <row r="395" spans="2:10">
      <c r="B395" s="237"/>
      <c r="C395" s="238">
        <f>Dat_02!B394</f>
        <v>44769</v>
      </c>
      <c r="D395" s="237"/>
      <c r="E395" s="240">
        <f>Dat_02!C394</f>
        <v>1.8403673500869917</v>
      </c>
      <c r="F395" s="240">
        <f>Dat_02!D394</f>
        <v>27.438293490002458</v>
      </c>
      <c r="G395" s="240">
        <f>Dat_02!E394</f>
        <v>1.8403673500869917</v>
      </c>
      <c r="I395" s="241">
        <f>Dat_02!G394</f>
        <v>0</v>
      </c>
      <c r="J395" s="251" t="str">
        <f>IF(Dat_02!H394=0,"",Dat_02!H394)</f>
        <v/>
      </c>
    </row>
    <row r="396" spans="2:10">
      <c r="B396" s="237"/>
      <c r="C396" s="238">
        <f>Dat_02!B395</f>
        <v>44770</v>
      </c>
      <c r="D396" s="237"/>
      <c r="E396" s="240">
        <f>Dat_02!C395</f>
        <v>3.9601499940860667</v>
      </c>
      <c r="F396" s="240">
        <f>Dat_02!D395</f>
        <v>27.438293490002458</v>
      </c>
      <c r="G396" s="240">
        <f>Dat_02!E395</f>
        <v>3.9601499940860667</v>
      </c>
      <c r="I396" s="241">
        <f>Dat_02!G395</f>
        <v>0</v>
      </c>
      <c r="J396" s="251" t="str">
        <f>IF(Dat_02!H395=0,"",Dat_02!H395)</f>
        <v/>
      </c>
    </row>
    <row r="397" spans="2:10">
      <c r="B397" s="237"/>
      <c r="C397" s="238">
        <f>Dat_02!B396</f>
        <v>44771</v>
      </c>
      <c r="D397" s="237"/>
      <c r="E397" s="240">
        <f>Dat_02!C396</f>
        <v>4.9799810000860667</v>
      </c>
      <c r="F397" s="240">
        <f>Dat_02!D396</f>
        <v>27.438293490002458</v>
      </c>
      <c r="G397" s="240">
        <f>Dat_02!E396</f>
        <v>4.9799810000860667</v>
      </c>
      <c r="I397" s="241">
        <f>Dat_02!G396</f>
        <v>0</v>
      </c>
      <c r="J397" s="251" t="str">
        <f>IF(Dat_02!H396=0,"",Dat_02!H396)</f>
        <v/>
      </c>
    </row>
    <row r="398" spans="2:10">
      <c r="B398" s="237"/>
      <c r="C398" s="238">
        <f>Dat_02!B397</f>
        <v>44772</v>
      </c>
      <c r="D398" s="237"/>
      <c r="E398" s="240">
        <f>Dat_02!C397</f>
        <v>3.3192366360860652</v>
      </c>
      <c r="F398" s="240">
        <f>Dat_02!D397</f>
        <v>27.438293490002458</v>
      </c>
      <c r="G398" s="240">
        <f>Dat_02!E397</f>
        <v>3.3192366360860652</v>
      </c>
      <c r="I398" s="241">
        <f>Dat_02!G397</f>
        <v>0</v>
      </c>
      <c r="J398" s="251" t="str">
        <f>IF(Dat_02!H397=0,"",Dat_02!H397)</f>
        <v/>
      </c>
    </row>
    <row r="399" spans="2:10">
      <c r="B399" s="237"/>
      <c r="C399" s="238"/>
      <c r="D399" s="237"/>
      <c r="E399" s="240"/>
      <c r="F399" s="240"/>
      <c r="G399" s="240"/>
      <c r="I399" s="241">
        <f>Dat_02!G398</f>
        <v>0</v>
      </c>
      <c r="J399" s="251" t="str">
        <f>IF(Dat_02!H398=0,"",Dat_02!H398)</f>
        <v/>
      </c>
    </row>
    <row r="400" spans="2:10">
      <c r="B400" s="244"/>
      <c r="C400" s="245"/>
      <c r="D400" s="246"/>
      <c r="E400" s="246"/>
      <c r="F400" s="246"/>
      <c r="G400" s="246"/>
      <c r="I400" s="241">
        <f>Dat_02!G399</f>
        <v>0</v>
      </c>
      <c r="J400" s="236"/>
    </row>
    <row r="401" spans="2:10">
      <c r="B401" s="243"/>
      <c r="C401" s="243"/>
      <c r="D401" s="243"/>
      <c r="E401" s="247"/>
      <c r="F401" s="247"/>
      <c r="G401" s="248"/>
      <c r="H401" s="243"/>
      <c r="I401" s="242"/>
      <c r="J401" s="236"/>
    </row>
    <row r="402" spans="2:10">
      <c r="B402" s="243"/>
      <c r="C402" s="243"/>
      <c r="D402" s="243"/>
      <c r="E402" s="247"/>
      <c r="F402" s="247"/>
      <c r="G402" s="248"/>
      <c r="H402" s="243"/>
      <c r="I402" s="242"/>
      <c r="J402" s="236"/>
    </row>
    <row r="403" spans="2:10">
      <c r="B403" s="154"/>
      <c r="C403" s="243"/>
      <c r="D403" s="243"/>
      <c r="E403" s="247"/>
      <c r="F403" s="247"/>
      <c r="G403" s="248"/>
      <c r="H403" s="154"/>
      <c r="I403" s="249"/>
      <c r="J403" s="250"/>
    </row>
    <row r="404" spans="2:10">
      <c r="B404" s="154"/>
      <c r="C404" s="243"/>
      <c r="D404" s="243"/>
      <c r="E404" s="247"/>
      <c r="F404" s="247"/>
      <c r="G404" s="248"/>
      <c r="H404" s="154"/>
      <c r="I404" s="249"/>
      <c r="J404" s="250"/>
    </row>
    <row r="405" spans="2:10">
      <c r="B405" s="154"/>
      <c r="C405" s="243"/>
      <c r="D405" s="243"/>
      <c r="E405" s="247"/>
      <c r="F405" s="247"/>
      <c r="G405" s="248"/>
      <c r="H405" s="154"/>
      <c r="I405" s="249"/>
      <c r="J405" s="250"/>
    </row>
    <row r="406" spans="2:10">
      <c r="B406" s="154"/>
      <c r="C406" s="243"/>
      <c r="D406" s="243"/>
      <c r="E406" s="247"/>
      <c r="F406" s="247"/>
      <c r="G406" s="248"/>
      <c r="H406" s="154"/>
      <c r="I406" s="249"/>
      <c r="J406" s="250"/>
    </row>
    <row r="407" spans="2:10">
      <c r="B407" s="154"/>
      <c r="C407" s="243"/>
      <c r="D407" s="243"/>
      <c r="E407" s="247"/>
      <c r="F407" s="247"/>
      <c r="G407" s="248"/>
      <c r="H407" s="154"/>
      <c r="I407" s="249"/>
      <c r="J407" s="250"/>
    </row>
    <row r="408" spans="2:10">
      <c r="B408" s="154"/>
      <c r="C408" s="243"/>
      <c r="D408" s="243"/>
      <c r="E408" s="247"/>
      <c r="F408" s="247"/>
      <c r="G408" s="248"/>
      <c r="H408" s="154"/>
      <c r="I408" s="249"/>
      <c r="J408" s="250"/>
    </row>
    <row r="409" spans="2:10">
      <c r="B409" s="154"/>
      <c r="C409" s="243"/>
      <c r="D409" s="243"/>
      <c r="E409" s="247"/>
      <c r="F409" s="247"/>
      <c r="G409" s="248"/>
      <c r="H409" s="154"/>
      <c r="I409" s="249"/>
      <c r="J409" s="250"/>
    </row>
    <row r="410" spans="2:10">
      <c r="B410" s="154"/>
      <c r="C410" s="243"/>
      <c r="D410" s="243"/>
      <c r="E410" s="247"/>
      <c r="F410" s="247"/>
      <c r="G410" s="248"/>
      <c r="H410" s="154"/>
      <c r="I410" s="249"/>
      <c r="J410" s="250"/>
    </row>
    <row r="411" spans="2:10">
      <c r="B411" s="154"/>
      <c r="C411" s="243"/>
      <c r="D411" s="243"/>
      <c r="E411" s="247"/>
      <c r="F411" s="247"/>
      <c r="G411" s="248"/>
      <c r="H411" s="154"/>
      <c r="I411" s="249"/>
      <c r="J411" s="250"/>
    </row>
    <row r="412" spans="2:10">
      <c r="B412" s="154"/>
      <c r="C412" s="243"/>
      <c r="D412" s="243"/>
      <c r="E412" s="247"/>
      <c r="F412" s="247"/>
      <c r="G412" s="248"/>
      <c r="H412" s="154"/>
      <c r="I412" s="249"/>
      <c r="J412" s="250"/>
    </row>
    <row r="413" spans="2:10">
      <c r="B413" s="154"/>
      <c r="C413" s="243"/>
      <c r="D413" s="243"/>
      <c r="E413" s="247"/>
      <c r="F413" s="247"/>
      <c r="G413" s="248"/>
      <c r="H413" s="154"/>
      <c r="I413" s="249"/>
      <c r="J413" s="250"/>
    </row>
    <row r="414" spans="2:10">
      <c r="B414" s="154"/>
      <c r="C414" s="243"/>
      <c r="D414" s="243"/>
      <c r="E414" s="247"/>
      <c r="F414" s="247"/>
      <c r="G414" s="248"/>
      <c r="H414" s="154"/>
      <c r="I414" s="249"/>
      <c r="J414" s="250"/>
    </row>
    <row r="415" spans="2:10">
      <c r="B415" s="154"/>
      <c r="C415" s="243"/>
      <c r="D415" s="243"/>
      <c r="E415" s="247"/>
      <c r="F415" s="247"/>
      <c r="G415" s="248"/>
      <c r="H415" s="154"/>
      <c r="I415" s="242"/>
      <c r="J415" s="236"/>
    </row>
    <row r="416" spans="2:10">
      <c r="B416" s="154"/>
      <c r="C416" s="243"/>
      <c r="D416" s="243"/>
      <c r="E416" s="247"/>
      <c r="F416" s="247"/>
      <c r="G416" s="248"/>
      <c r="H416" s="154"/>
      <c r="I416" s="249"/>
      <c r="J416" s="250"/>
    </row>
    <row r="417" spans="2:10">
      <c r="B417" s="154"/>
      <c r="C417" s="243"/>
      <c r="D417" s="243"/>
      <c r="E417" s="247"/>
      <c r="F417" s="247"/>
      <c r="G417" s="248"/>
      <c r="H417" s="154"/>
      <c r="I417" s="249"/>
      <c r="J417" s="250"/>
    </row>
    <row r="418" spans="2:10">
      <c r="B418" s="154"/>
      <c r="C418" s="243"/>
      <c r="D418" s="243"/>
      <c r="E418" s="247"/>
      <c r="F418" s="247"/>
      <c r="G418" s="248"/>
      <c r="H418" s="154"/>
      <c r="I418" s="249"/>
      <c r="J418" s="250"/>
    </row>
    <row r="419" spans="2:10">
      <c r="B419" s="154"/>
      <c r="C419" s="243"/>
      <c r="D419" s="243"/>
      <c r="E419" s="247"/>
      <c r="F419" s="247"/>
      <c r="G419" s="248"/>
      <c r="H419" s="154"/>
      <c r="I419" s="249"/>
      <c r="J419" s="250"/>
    </row>
    <row r="420" spans="2:10">
      <c r="B420" s="154"/>
      <c r="C420" s="243"/>
      <c r="D420" s="243"/>
      <c r="E420" s="247"/>
      <c r="F420" s="247"/>
      <c r="G420" s="248"/>
      <c r="H420" s="154"/>
      <c r="I420" s="249"/>
      <c r="J420" s="250"/>
    </row>
    <row r="421" spans="2:10">
      <c r="B421" s="154"/>
      <c r="C421" s="243"/>
      <c r="D421" s="243"/>
      <c r="E421" s="247"/>
      <c r="F421" s="247"/>
      <c r="G421" s="248"/>
      <c r="H421" s="154"/>
      <c r="I421" s="249"/>
      <c r="J421" s="250"/>
    </row>
    <row r="422" spans="2:10">
      <c r="B422" s="154"/>
      <c r="C422" s="243"/>
      <c r="D422" s="243"/>
      <c r="E422" s="247"/>
      <c r="F422" s="247"/>
      <c r="G422" s="248"/>
      <c r="H422" s="154"/>
      <c r="I422" s="249"/>
      <c r="J422" s="250"/>
    </row>
    <row r="423" spans="2:10">
      <c r="B423" s="154"/>
      <c r="C423" s="243"/>
      <c r="D423" s="243"/>
      <c r="E423" s="247"/>
      <c r="F423" s="247"/>
      <c r="G423" s="248"/>
      <c r="H423" s="154"/>
      <c r="I423" s="249"/>
      <c r="J423" s="250"/>
    </row>
    <row r="424" spans="2:10">
      <c r="B424" s="154"/>
      <c r="C424" s="243"/>
      <c r="D424" s="243"/>
      <c r="E424" s="247"/>
      <c r="F424" s="247"/>
      <c r="G424" s="248"/>
      <c r="H424" s="154"/>
      <c r="I424" s="249"/>
      <c r="J424" s="250"/>
    </row>
    <row r="425" spans="2:10">
      <c r="B425" s="154"/>
      <c r="C425" s="243"/>
      <c r="D425" s="243"/>
      <c r="E425" s="247"/>
      <c r="F425" s="247"/>
      <c r="G425" s="248"/>
      <c r="H425" s="154"/>
      <c r="I425" s="249"/>
      <c r="J425" s="250"/>
    </row>
    <row r="426" spans="2:10">
      <c r="B426" s="154"/>
      <c r="C426" s="243"/>
      <c r="D426" s="243"/>
      <c r="E426" s="247"/>
      <c r="F426" s="247"/>
      <c r="G426" s="248"/>
      <c r="H426" s="243"/>
      <c r="I426" s="242"/>
      <c r="J426" s="250"/>
    </row>
    <row r="427" spans="2:10">
      <c r="B427" s="154"/>
      <c r="C427" s="243"/>
      <c r="D427" s="243"/>
      <c r="E427" s="247"/>
      <c r="F427" s="247"/>
      <c r="G427" s="248"/>
      <c r="H427" s="243"/>
      <c r="I427" s="242"/>
      <c r="J427" s="250"/>
    </row>
    <row r="428" spans="2:10">
      <c r="B428" s="154"/>
      <c r="C428" s="243"/>
      <c r="D428" s="243"/>
      <c r="E428" s="247"/>
      <c r="F428" s="247"/>
      <c r="G428" s="248"/>
      <c r="H428" s="243"/>
      <c r="I428" s="242"/>
      <c r="J428" s="250"/>
    </row>
    <row r="429" spans="2:10">
      <c r="B429" s="154"/>
      <c r="C429" s="243"/>
      <c r="D429" s="243"/>
      <c r="E429" s="247"/>
      <c r="F429" s="247"/>
      <c r="G429" s="248"/>
      <c r="H429" s="243"/>
      <c r="I429" s="242"/>
      <c r="J429" s="250"/>
    </row>
    <row r="430" spans="2:10">
      <c r="B430" s="154"/>
      <c r="C430" s="243"/>
      <c r="D430" s="243"/>
      <c r="E430" s="247"/>
      <c r="F430" s="247"/>
      <c r="G430" s="248"/>
      <c r="H430" s="243"/>
      <c r="I430" s="242"/>
      <c r="J430" s="250"/>
    </row>
    <row r="431" spans="2:10">
      <c r="B431" s="154"/>
      <c r="C431" s="243"/>
      <c r="D431" s="243"/>
      <c r="E431" s="247"/>
      <c r="F431" s="247"/>
      <c r="G431" s="248"/>
      <c r="H431" s="243"/>
      <c r="I431" s="242"/>
      <c r="J431" s="250"/>
    </row>
    <row r="432" spans="2:10">
      <c r="C432" s="243"/>
      <c r="D432" s="243"/>
      <c r="E432" s="247"/>
      <c r="F432" s="247"/>
      <c r="G432" s="248"/>
    </row>
    <row r="433" spans="3:7">
      <c r="C433" s="243"/>
      <c r="D433" s="243"/>
      <c r="E433" s="247"/>
      <c r="F433" s="247"/>
      <c r="G433" s="248"/>
    </row>
    <row r="434" spans="3:7">
      <c r="C434" s="243"/>
      <c r="D434" s="243"/>
      <c r="E434" s="247"/>
      <c r="F434" s="247"/>
      <c r="G434" s="248"/>
    </row>
    <row r="435" spans="3:7">
      <c r="C435" s="243"/>
      <c r="D435" s="243"/>
      <c r="E435" s="247"/>
      <c r="F435" s="247"/>
      <c r="G435" s="248"/>
    </row>
    <row r="436" spans="3:7">
      <c r="C436" s="243"/>
      <c r="D436" s="243"/>
      <c r="E436" s="247"/>
      <c r="F436" s="247"/>
      <c r="G436" s="248"/>
    </row>
    <row r="437" spans="3:7">
      <c r="C437" s="243"/>
      <c r="D437" s="243"/>
      <c r="E437" s="247"/>
      <c r="F437" s="247"/>
      <c r="G437" s="248"/>
    </row>
    <row r="438" spans="3:7">
      <c r="C438" s="243"/>
      <c r="D438" s="243"/>
      <c r="E438" s="247"/>
      <c r="F438" s="247"/>
      <c r="G438" s="248"/>
    </row>
    <row r="439" spans="3:7">
      <c r="C439" s="243"/>
      <c r="D439" s="243"/>
      <c r="E439" s="247"/>
      <c r="F439" s="247"/>
      <c r="G439" s="248"/>
    </row>
    <row r="440" spans="3:7">
      <c r="C440" s="243"/>
      <c r="D440" s="243"/>
      <c r="E440" s="247"/>
      <c r="F440" s="247"/>
      <c r="G440" s="248"/>
    </row>
    <row r="441" spans="3:7">
      <c r="C441" s="243"/>
      <c r="D441" s="243"/>
      <c r="E441" s="247"/>
      <c r="F441" s="247"/>
      <c r="G441" s="248"/>
    </row>
    <row r="442" spans="3:7">
      <c r="C442" s="243"/>
      <c r="D442" s="243"/>
      <c r="E442" s="247"/>
      <c r="F442" s="247"/>
      <c r="G442" s="248"/>
    </row>
    <row r="443" spans="3:7">
      <c r="C443" s="243"/>
      <c r="D443" s="243"/>
      <c r="E443" s="247"/>
      <c r="F443" s="247"/>
      <c r="G443" s="248"/>
    </row>
    <row r="444" spans="3:7">
      <c r="C444" s="243"/>
      <c r="D444" s="243"/>
      <c r="E444" s="247"/>
      <c r="F444" s="247"/>
      <c r="G444" s="248"/>
    </row>
    <row r="445" spans="3:7">
      <c r="C445" s="243"/>
      <c r="D445" s="243"/>
      <c r="E445" s="247"/>
      <c r="F445" s="247"/>
      <c r="G445" s="248"/>
    </row>
    <row r="446" spans="3:7">
      <c r="C446" s="243"/>
      <c r="D446" s="243"/>
      <c r="E446" s="247"/>
      <c r="F446" s="247"/>
      <c r="G446" s="248"/>
    </row>
    <row r="447" spans="3:7">
      <c r="C447" s="243"/>
      <c r="D447" s="243"/>
      <c r="E447" s="247"/>
      <c r="F447" s="247"/>
      <c r="G447" s="248"/>
    </row>
    <row r="448" spans="3:7">
      <c r="C448" s="243"/>
      <c r="D448" s="243"/>
      <c r="E448" s="247"/>
      <c r="F448" s="247"/>
      <c r="G448" s="248"/>
    </row>
    <row r="449" spans="3:7">
      <c r="C449" s="243"/>
      <c r="D449" s="243"/>
      <c r="E449" s="247"/>
      <c r="F449" s="247"/>
      <c r="G449" s="248"/>
    </row>
  </sheetData>
  <phoneticPr fontId="68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1:V80"/>
  <sheetViews>
    <sheetView showGridLines="0" topLeftCell="A19" zoomScale="90" zoomScaleNormal="90" workbookViewId="0">
      <selection activeCell="J58" sqref="J58"/>
    </sheetView>
  </sheetViews>
  <sheetFormatPr baseColWidth="10" defaultColWidth="11.42578125" defaultRowHeight="11.25"/>
  <cols>
    <col min="1" max="1" width="11.42578125" style="165"/>
    <col min="2" max="2" width="20" style="165" bestFit="1" customWidth="1"/>
    <col min="3" max="16384" width="11.42578125" style="165"/>
  </cols>
  <sheetData>
    <row r="1" spans="2:22">
      <c r="B1" s="119"/>
      <c r="C1" s="119"/>
      <c r="D1" s="119"/>
      <c r="E1" s="119"/>
      <c r="F1" s="119"/>
      <c r="G1" s="119"/>
      <c r="H1" s="119"/>
      <c r="I1" s="119"/>
      <c r="J1" s="119"/>
    </row>
    <row r="2" spans="2:22">
      <c r="B2" s="149" t="s">
        <v>41</v>
      </c>
      <c r="C2" s="119"/>
      <c r="D2" s="119"/>
      <c r="E2" s="119"/>
      <c r="F2" s="119"/>
      <c r="G2" s="119"/>
      <c r="H2" s="119"/>
      <c r="I2" s="119"/>
      <c r="J2" s="119"/>
    </row>
    <row r="3" spans="2:22">
      <c r="B3" s="152"/>
      <c r="C3" s="152"/>
      <c r="D3" s="153"/>
      <c r="E3" s="153" t="s">
        <v>35</v>
      </c>
      <c r="F3" s="355" t="s">
        <v>36</v>
      </c>
      <c r="G3" s="355"/>
      <c r="H3" s="355"/>
      <c r="I3" s="243"/>
      <c r="J3" s="119"/>
    </row>
    <row r="4" spans="2:22">
      <c r="B4" s="155"/>
      <c r="C4" s="155"/>
      <c r="D4" s="156" t="s">
        <v>37</v>
      </c>
      <c r="E4" s="156" t="s">
        <v>38</v>
      </c>
      <c r="F4" s="156" t="s">
        <v>21</v>
      </c>
      <c r="G4" s="156" t="s">
        <v>39</v>
      </c>
      <c r="H4" s="156" t="s">
        <v>68</v>
      </c>
      <c r="I4" s="156" t="s">
        <v>40</v>
      </c>
      <c r="J4" s="119"/>
    </row>
    <row r="5" spans="2:22">
      <c r="B5" s="291">
        <v>2018</v>
      </c>
      <c r="C5" s="161" t="s">
        <v>94</v>
      </c>
      <c r="D5" s="157">
        <v>5398.2220399999997</v>
      </c>
      <c r="E5" s="158">
        <v>18538.071</v>
      </c>
      <c r="F5" s="158">
        <v>13015.303654600004</v>
      </c>
      <c r="G5" s="158">
        <v>5440.7395106999993</v>
      </c>
      <c r="H5" s="158">
        <v>9768.7862404958978</v>
      </c>
      <c r="I5" s="248">
        <f t="shared" ref="I5:I52" si="0">D5/E5*100</f>
        <v>29.11965349577094</v>
      </c>
      <c r="J5" s="119"/>
      <c r="P5" s="289"/>
      <c r="Q5" s="289"/>
      <c r="R5" s="289"/>
      <c r="S5" s="289"/>
      <c r="T5" s="289"/>
      <c r="U5" s="289"/>
      <c r="V5" s="289"/>
    </row>
    <row r="6" spans="2:22">
      <c r="B6" s="293" t="e">
        <f>#REF!</f>
        <v>#REF!</v>
      </c>
      <c r="C6" s="161" t="s">
        <v>86</v>
      </c>
      <c r="D6" s="157">
        <v>5616.4103269999996</v>
      </c>
      <c r="E6" s="158">
        <v>18538.071</v>
      </c>
      <c r="F6" s="158">
        <v>13247.693941849997</v>
      </c>
      <c r="G6" s="158">
        <v>5524.0953545999973</v>
      </c>
      <c r="H6" s="158">
        <v>10246.239431537933</v>
      </c>
      <c r="I6" s="248">
        <f t="shared" si="0"/>
        <v>30.296627556340678</v>
      </c>
      <c r="J6" s="119"/>
      <c r="P6" s="289"/>
      <c r="Q6" s="289"/>
      <c r="R6" s="289"/>
      <c r="S6" s="289"/>
      <c r="T6" s="289"/>
    </row>
    <row r="7" spans="2:22">
      <c r="B7" s="293" t="e">
        <f>#REF!</f>
        <v>#REF!</v>
      </c>
      <c r="C7" s="161" t="s">
        <v>87</v>
      </c>
      <c r="D7" s="157">
        <v>9699.4711430000007</v>
      </c>
      <c r="E7" s="158">
        <v>18538.071</v>
      </c>
      <c r="F7" s="158">
        <v>13745.993583199999</v>
      </c>
      <c r="G7" s="158">
        <v>5695.3628017499996</v>
      </c>
      <c r="H7" s="158">
        <v>10704.10729132053</v>
      </c>
      <c r="I7" s="248">
        <f t="shared" si="0"/>
        <v>52.321900930253207</v>
      </c>
      <c r="J7" s="119"/>
      <c r="P7" s="289"/>
      <c r="Q7" s="289"/>
      <c r="R7" s="289"/>
      <c r="S7" s="289"/>
      <c r="T7" s="289"/>
    </row>
    <row r="8" spans="2:22">
      <c r="B8" s="293" t="e">
        <f>#REF!</f>
        <v>#REF!</v>
      </c>
      <c r="C8" s="161" t="s">
        <v>88</v>
      </c>
      <c r="D8" s="157">
        <v>11897.527653000001</v>
      </c>
      <c r="E8" s="158">
        <v>18538.071</v>
      </c>
      <c r="F8" s="158">
        <v>13908.518133250001</v>
      </c>
      <c r="G8" s="158">
        <v>7002.3252599999996</v>
      </c>
      <c r="H8" s="158">
        <v>11260.627811983439</v>
      </c>
      <c r="I8" s="248">
        <f t="shared" si="0"/>
        <v>64.178887075143905</v>
      </c>
      <c r="J8" s="119"/>
      <c r="P8" s="289"/>
      <c r="Q8" s="289"/>
      <c r="R8" s="289"/>
      <c r="S8" s="289"/>
      <c r="T8" s="289"/>
    </row>
    <row r="9" spans="2:22">
      <c r="B9" s="293" t="e">
        <f>#REF!</f>
        <v>#REF!</v>
      </c>
      <c r="C9" s="161" t="s">
        <v>87</v>
      </c>
      <c r="D9" s="157">
        <v>12095.723247</v>
      </c>
      <c r="E9" s="158">
        <v>18538.071</v>
      </c>
      <c r="F9" s="158">
        <v>14103.721296199999</v>
      </c>
      <c r="G9" s="158">
        <v>6966.112517999999</v>
      </c>
      <c r="H9" s="158">
        <v>11479.752390524864</v>
      </c>
      <c r="I9" s="248">
        <f t="shared" si="0"/>
        <v>65.248014461698844</v>
      </c>
      <c r="J9" s="119"/>
      <c r="P9" s="289"/>
      <c r="Q9" s="289"/>
      <c r="R9" s="289"/>
      <c r="S9" s="289"/>
      <c r="T9" s="289"/>
    </row>
    <row r="10" spans="2:22">
      <c r="B10" s="293" t="e">
        <f>#REF!</f>
        <v>#REF!</v>
      </c>
      <c r="C10" s="161" t="s">
        <v>89</v>
      </c>
      <c r="D10" s="157">
        <v>11876.304858</v>
      </c>
      <c r="E10" s="158">
        <v>18538.071</v>
      </c>
      <c r="F10" s="158">
        <v>13746.699392400003</v>
      </c>
      <c r="G10" s="158">
        <v>6477.8415149489419</v>
      </c>
      <c r="H10" s="158">
        <v>10910.385488499473</v>
      </c>
      <c r="I10" s="248">
        <f t="shared" si="0"/>
        <v>64.064404856362884</v>
      </c>
      <c r="J10" s="119"/>
      <c r="P10" s="289"/>
      <c r="Q10" s="289"/>
      <c r="R10" s="289"/>
      <c r="S10" s="289"/>
      <c r="T10" s="289"/>
    </row>
    <row r="11" spans="2:22">
      <c r="B11" s="293" t="e">
        <f>#REF!</f>
        <v>#REF!</v>
      </c>
      <c r="C11" s="161" t="s">
        <v>89</v>
      </c>
      <c r="D11" s="157">
        <v>10246.502908</v>
      </c>
      <c r="E11" s="158">
        <v>18538.071</v>
      </c>
      <c r="F11" s="158">
        <v>12258.390641599992</v>
      </c>
      <c r="G11" s="158">
        <v>5616.0530228510679</v>
      </c>
      <c r="H11" s="158">
        <v>9805.5363168836884</v>
      </c>
      <c r="I11" s="248">
        <f t="shared" si="0"/>
        <v>55.272756847246953</v>
      </c>
      <c r="J11" s="119"/>
      <c r="P11" s="289"/>
      <c r="Q11" s="289"/>
      <c r="R11" s="289"/>
      <c r="S11" s="289"/>
      <c r="T11" s="289"/>
    </row>
    <row r="12" spans="2:22">
      <c r="B12" s="293" t="e">
        <f>#REF!</f>
        <v>#REF!</v>
      </c>
      <c r="C12" s="161" t="s">
        <v>88</v>
      </c>
      <c r="D12" s="157">
        <v>9315.071518714738</v>
      </c>
      <c r="E12" s="158">
        <v>18538.071</v>
      </c>
      <c r="F12" s="158">
        <v>10935.424107500001</v>
      </c>
      <c r="G12" s="158">
        <v>4909.997417874094</v>
      </c>
      <c r="H12" s="158">
        <v>8722.05248320803</v>
      </c>
      <c r="I12" s="248">
        <f t="shared" si="0"/>
        <v>50.24833230337039</v>
      </c>
      <c r="J12" s="119"/>
      <c r="P12" s="289"/>
      <c r="Q12" s="289"/>
      <c r="R12" s="289"/>
      <c r="S12" s="289"/>
      <c r="T12" s="289"/>
    </row>
    <row r="13" spans="2:22">
      <c r="B13" s="293" t="e">
        <f>#REF!</f>
        <v>#REF!</v>
      </c>
      <c r="C13" s="161" t="s">
        <v>90</v>
      </c>
      <c r="D13" s="157">
        <v>8192.9385726801847</v>
      </c>
      <c r="E13" s="158">
        <v>18538.071</v>
      </c>
      <c r="F13" s="158">
        <v>10117.515214899999</v>
      </c>
      <c r="G13" s="158">
        <v>4649.6124081773833</v>
      </c>
      <c r="H13" s="158">
        <v>7980.0246175386947</v>
      </c>
      <c r="I13" s="248">
        <f t="shared" si="0"/>
        <v>44.195205491877687</v>
      </c>
      <c r="J13" s="119"/>
      <c r="P13" s="289"/>
      <c r="Q13" s="289"/>
      <c r="R13" s="289"/>
      <c r="S13" s="289"/>
      <c r="T13" s="289"/>
    </row>
    <row r="14" spans="2:22">
      <c r="B14" s="293" t="e">
        <f>#REF!</f>
        <v>#REF!</v>
      </c>
      <c r="C14" s="162" t="s">
        <v>91</v>
      </c>
      <c r="D14" s="157">
        <v>7628.6385403221575</v>
      </c>
      <c r="E14" s="158">
        <v>18538.071</v>
      </c>
      <c r="F14" s="158">
        <v>9737.2663309</v>
      </c>
      <c r="G14" s="158">
        <v>4395.4606318624037</v>
      </c>
      <c r="H14" s="158">
        <v>7851.3065504312008</v>
      </c>
      <c r="I14" s="248">
        <f t="shared" si="0"/>
        <v>41.151199282396519</v>
      </c>
      <c r="J14" s="119"/>
      <c r="P14" s="289"/>
      <c r="Q14" s="289"/>
      <c r="R14" s="289"/>
      <c r="S14" s="289"/>
      <c r="T14" s="289"/>
    </row>
    <row r="15" spans="2:22">
      <c r="B15" s="293" t="e">
        <f>#REF!</f>
        <v>#REF!</v>
      </c>
      <c r="C15" s="162" t="s">
        <v>92</v>
      </c>
      <c r="D15" s="157">
        <v>8008.9796223264248</v>
      </c>
      <c r="E15" s="158">
        <v>18538.071</v>
      </c>
      <c r="F15" s="158">
        <v>11146.955049999997</v>
      </c>
      <c r="G15" s="158">
        <v>4794.2765906499999</v>
      </c>
      <c r="H15" s="158">
        <v>8185.911173848619</v>
      </c>
      <c r="I15" s="248">
        <f t="shared" si="0"/>
        <v>43.202874896349378</v>
      </c>
      <c r="J15" s="119"/>
      <c r="P15" s="289"/>
      <c r="Q15" s="289"/>
      <c r="R15" s="289"/>
      <c r="S15" s="289"/>
      <c r="T15" s="289"/>
    </row>
    <row r="16" spans="2:22">
      <c r="B16" s="293" t="e">
        <f>#REF!</f>
        <v>#REF!</v>
      </c>
      <c r="C16" s="162" t="s">
        <v>93</v>
      </c>
      <c r="D16" s="157">
        <v>8172.2198288975096</v>
      </c>
      <c r="E16" s="158">
        <v>18538.071</v>
      </c>
      <c r="F16" s="158">
        <v>13456.058434449991</v>
      </c>
      <c r="G16" s="158">
        <v>5331.3250531999984</v>
      </c>
      <c r="H16" s="158">
        <v>8645.3592049681756</v>
      </c>
      <c r="I16" s="248">
        <f t="shared" si="0"/>
        <v>44.083442278851507</v>
      </c>
      <c r="J16" s="119"/>
      <c r="P16" s="289"/>
      <c r="Q16" s="289"/>
      <c r="R16" s="289"/>
      <c r="S16" s="289"/>
      <c r="T16" s="289"/>
    </row>
    <row r="17" spans="2:20">
      <c r="B17" s="291">
        <v>2019</v>
      </c>
      <c r="C17" s="162" t="s">
        <v>94</v>
      </c>
      <c r="D17" s="157">
        <v>8071.161100088786</v>
      </c>
      <c r="E17" s="158">
        <v>18538.071</v>
      </c>
      <c r="F17" s="158">
        <v>13020.290870750003</v>
      </c>
      <c r="G17" s="158">
        <v>5449.8113076999989</v>
      </c>
      <c r="H17" s="158">
        <v>9388.9296029958969</v>
      </c>
      <c r="I17" s="248">
        <f t="shared" si="0"/>
        <v>43.538300722274641</v>
      </c>
      <c r="J17" s="119"/>
      <c r="P17" s="289"/>
      <c r="Q17" s="289"/>
      <c r="R17" s="289"/>
      <c r="S17" s="289"/>
      <c r="T17" s="289"/>
    </row>
    <row r="18" spans="2:20">
      <c r="B18" s="293" t="e">
        <f>#REF!</f>
        <v>#REF!</v>
      </c>
      <c r="C18" s="162" t="s">
        <v>86</v>
      </c>
      <c r="D18" s="157">
        <v>8866.4553178437</v>
      </c>
      <c r="E18" s="158">
        <v>18538.071</v>
      </c>
      <c r="F18" s="158">
        <v>13213.723010049996</v>
      </c>
      <c r="G18" s="158">
        <v>5542.2838559499978</v>
      </c>
      <c r="H18" s="158">
        <v>9889.1240943879329</v>
      </c>
      <c r="I18" s="248">
        <f t="shared" si="0"/>
        <v>47.828359907801087</v>
      </c>
      <c r="J18" s="119"/>
      <c r="P18" s="289"/>
      <c r="Q18" s="289"/>
      <c r="R18" s="289"/>
      <c r="S18" s="289"/>
      <c r="T18" s="289"/>
    </row>
    <row r="19" spans="2:20">
      <c r="B19" s="293" t="e">
        <f>#REF!</f>
        <v>#REF!</v>
      </c>
      <c r="C19" s="162" t="s">
        <v>87</v>
      </c>
      <c r="D19" s="157">
        <v>8992.1477604144093</v>
      </c>
      <c r="E19" s="158">
        <v>18538.071</v>
      </c>
      <c r="F19" s="158">
        <v>13690.625142599998</v>
      </c>
      <c r="G19" s="158">
        <v>5759.1679040999989</v>
      </c>
      <c r="H19" s="158">
        <v>10570.14772097053</v>
      </c>
      <c r="I19" s="248">
        <f t="shared" si="0"/>
        <v>48.506383217619621</v>
      </c>
      <c r="J19" s="119"/>
      <c r="P19" s="289"/>
      <c r="Q19" s="289"/>
      <c r="R19" s="289"/>
      <c r="S19" s="289"/>
      <c r="T19" s="289"/>
    </row>
    <row r="20" spans="2:20">
      <c r="B20" s="293" t="e">
        <f>#REF!</f>
        <v>#REF!</v>
      </c>
      <c r="C20" s="162" t="s">
        <v>88</v>
      </c>
      <c r="D20" s="157">
        <v>9541.0680132165635</v>
      </c>
      <c r="E20" s="158">
        <v>18538.071</v>
      </c>
      <c r="F20" s="158">
        <v>13853.30312085</v>
      </c>
      <c r="G20" s="158">
        <v>7055.2102049999985</v>
      </c>
      <c r="H20" s="158">
        <v>11183.148309133439</v>
      </c>
      <c r="I20" s="248">
        <f t="shared" si="0"/>
        <v>51.467426212881392</v>
      </c>
      <c r="J20" s="119"/>
      <c r="P20" s="289"/>
      <c r="Q20" s="289"/>
      <c r="R20" s="289"/>
      <c r="S20" s="289"/>
      <c r="T20" s="289"/>
    </row>
    <row r="21" spans="2:20">
      <c r="B21" s="293" t="e">
        <f>#REF!</f>
        <v>#REF!</v>
      </c>
      <c r="C21" s="162" t="s">
        <v>87</v>
      </c>
      <c r="D21" s="157">
        <v>9882.00640542582</v>
      </c>
      <c r="E21" s="158">
        <v>18538.071</v>
      </c>
      <c r="F21" s="158">
        <v>14075.916087449999</v>
      </c>
      <c r="G21" s="158">
        <v>7043.3783189999976</v>
      </c>
      <c r="H21" s="158">
        <v>11397.034267874862</v>
      </c>
      <c r="I21" s="248">
        <f t="shared" si="0"/>
        <v>53.306551719571146</v>
      </c>
      <c r="J21" s="119"/>
      <c r="P21" s="289"/>
      <c r="Q21" s="289"/>
      <c r="R21" s="289"/>
      <c r="S21" s="289"/>
      <c r="T21" s="289"/>
    </row>
    <row r="22" spans="2:20">
      <c r="B22" s="293" t="e">
        <f>#REF!</f>
        <v>#REF!</v>
      </c>
      <c r="C22" s="162" t="s">
        <v>89</v>
      </c>
      <c r="D22" s="157">
        <v>9327.57464738616</v>
      </c>
      <c r="E22" s="158">
        <v>18538.071</v>
      </c>
      <c r="F22" s="158">
        <v>13746.724281450002</v>
      </c>
      <c r="G22" s="158">
        <v>6538.4545967989416</v>
      </c>
      <c r="H22" s="158">
        <v>10842.690741399472</v>
      </c>
      <c r="I22" s="248">
        <f t="shared" si="0"/>
        <v>50.315777986750398</v>
      </c>
      <c r="J22" s="119"/>
      <c r="P22" s="289"/>
      <c r="Q22" s="289"/>
      <c r="R22" s="289"/>
      <c r="S22" s="289"/>
      <c r="T22" s="289"/>
    </row>
    <row r="23" spans="2:20">
      <c r="B23" s="293" t="e">
        <f>#REF!</f>
        <v>#REF!</v>
      </c>
      <c r="C23" s="162" t="s">
        <v>89</v>
      </c>
      <c r="D23" s="157">
        <v>8160.8349135743301</v>
      </c>
      <c r="E23" s="158">
        <v>18538.071</v>
      </c>
      <c r="F23" s="158">
        <v>12260.387398049996</v>
      </c>
      <c r="G23" s="158">
        <v>5677.4335971347564</v>
      </c>
      <c r="H23" s="158">
        <v>9738.8161322836859</v>
      </c>
      <c r="I23" s="248">
        <f t="shared" si="0"/>
        <v>44.022028578778936</v>
      </c>
      <c r="J23" s="119"/>
      <c r="P23" s="289"/>
      <c r="Q23" s="289"/>
      <c r="R23" s="289"/>
      <c r="S23" s="289"/>
      <c r="T23" s="289"/>
    </row>
    <row r="24" spans="2:20">
      <c r="B24" s="293" t="e">
        <f>#REF!</f>
        <v>#REF!</v>
      </c>
      <c r="C24" s="162" t="s">
        <v>88</v>
      </c>
      <c r="D24" s="157">
        <v>7263.6708853984701</v>
      </c>
      <c r="E24" s="158">
        <v>18538.071</v>
      </c>
      <c r="F24" s="158">
        <v>10934.703078450004</v>
      </c>
      <c r="G24" s="158">
        <v>4963.102723832124</v>
      </c>
      <c r="H24" s="158">
        <v>8674.1946441437685</v>
      </c>
      <c r="I24" s="248">
        <f t="shared" si="0"/>
        <v>39.182452615476933</v>
      </c>
      <c r="J24" s="119"/>
      <c r="P24" s="289"/>
      <c r="Q24" s="289"/>
      <c r="R24" s="289"/>
      <c r="S24" s="289"/>
      <c r="T24" s="289"/>
    </row>
    <row r="25" spans="2:20">
      <c r="B25" s="293" t="e">
        <f>#REF!</f>
        <v>#REF!</v>
      </c>
      <c r="C25" s="162" t="s">
        <v>90</v>
      </c>
      <c r="D25" s="157">
        <v>6466.33274064748</v>
      </c>
      <c r="E25" s="158">
        <v>18538.071</v>
      </c>
      <c r="F25" s="158">
        <v>10145.245921199999</v>
      </c>
      <c r="G25" s="158">
        <v>4679.6100847773832</v>
      </c>
      <c r="H25" s="158">
        <v>7914.693031672703</v>
      </c>
      <c r="I25" s="248">
        <f t="shared" si="0"/>
        <v>34.881367865337658</v>
      </c>
      <c r="J25" s="119"/>
      <c r="P25" s="289"/>
      <c r="Q25" s="289"/>
      <c r="R25" s="289"/>
      <c r="S25" s="289"/>
      <c r="T25" s="289"/>
    </row>
    <row r="26" spans="2:20">
      <c r="B26" s="293" t="e">
        <f>#REF!</f>
        <v>#REF!</v>
      </c>
      <c r="C26" s="162" t="s">
        <v>91</v>
      </c>
      <c r="D26" s="157">
        <v>6358.0428308198098</v>
      </c>
      <c r="E26" s="158">
        <v>18538.071</v>
      </c>
      <c r="F26" s="158">
        <v>9771.2920444499996</v>
      </c>
      <c r="G26" s="158">
        <v>4419.3227575624023</v>
      </c>
      <c r="H26" s="158">
        <v>7790.0287429473083</v>
      </c>
      <c r="I26" s="248">
        <f t="shared" si="0"/>
        <v>34.29721911637845</v>
      </c>
      <c r="J26" s="119"/>
      <c r="P26" s="289"/>
      <c r="Q26" s="289"/>
      <c r="R26" s="289"/>
      <c r="S26" s="289"/>
      <c r="T26" s="289"/>
    </row>
    <row r="27" spans="2:20">
      <c r="B27" s="293" t="e">
        <f>#REF!</f>
        <v>#REF!</v>
      </c>
      <c r="C27" s="162" t="s">
        <v>92</v>
      </c>
      <c r="D27" s="157">
        <v>7808.1870513850999</v>
      </c>
      <c r="E27" s="158">
        <v>18538.071</v>
      </c>
      <c r="F27" s="158">
        <v>11172.260412899997</v>
      </c>
      <c r="G27" s="158">
        <v>4800.2412517000002</v>
      </c>
      <c r="H27" s="158">
        <v>8146.8772984649422</v>
      </c>
      <c r="I27" s="248">
        <f t="shared" si="0"/>
        <v>42.119738625367766</v>
      </c>
      <c r="J27" s="119"/>
      <c r="P27" s="289"/>
      <c r="Q27" s="289"/>
      <c r="R27" s="289"/>
      <c r="S27" s="289"/>
      <c r="T27" s="289"/>
    </row>
    <row r="28" spans="2:20">
      <c r="B28" s="293" t="e">
        <f>#REF!</f>
        <v>#REF!</v>
      </c>
      <c r="C28" s="162" t="s">
        <v>93</v>
      </c>
      <c r="D28" s="157">
        <v>9451.9329261671392</v>
      </c>
      <c r="E28" s="158">
        <v>18538.071</v>
      </c>
      <c r="F28" s="158">
        <v>13395.083468899993</v>
      </c>
      <c r="G28" s="158">
        <v>5326.3089624999975</v>
      </c>
      <c r="H28" s="158">
        <v>8613.6806204130498</v>
      </c>
      <c r="I28" s="248">
        <f t="shared" si="0"/>
        <v>50.986604410821059</v>
      </c>
      <c r="J28" s="119"/>
      <c r="P28" s="289"/>
      <c r="Q28" s="289"/>
      <c r="R28" s="289"/>
      <c r="S28" s="289"/>
      <c r="T28" s="289"/>
    </row>
    <row r="29" spans="2:20">
      <c r="B29" s="291">
        <v>2020</v>
      </c>
      <c r="C29" s="162" t="s">
        <v>94</v>
      </c>
      <c r="D29" s="157">
        <v>10203.8438416341</v>
      </c>
      <c r="E29" s="158">
        <v>18538.071</v>
      </c>
      <c r="F29" s="158">
        <v>13025.278086900002</v>
      </c>
      <c r="G29" s="158">
        <v>5458.8831046999985</v>
      </c>
      <c r="H29" s="158">
        <v>9322.7080025003343</v>
      </c>
      <c r="I29" s="248">
        <f t="shared" si="0"/>
        <v>55.042640853161586</v>
      </c>
      <c r="J29" s="119"/>
      <c r="P29" s="289"/>
      <c r="Q29" s="289"/>
      <c r="R29" s="289"/>
      <c r="S29" s="289"/>
      <c r="T29" s="289"/>
    </row>
    <row r="30" spans="2:20">
      <c r="B30" s="293" t="e">
        <f>#REF!</f>
        <v>#REF!</v>
      </c>
      <c r="C30" s="162" t="s">
        <v>86</v>
      </c>
      <c r="D30" s="157">
        <v>10293.721620606701</v>
      </c>
      <c r="E30" s="158">
        <v>18538.071</v>
      </c>
      <c r="F30" s="158">
        <v>13282.205454749997</v>
      </c>
      <c r="G30" s="158">
        <v>5560.4723572999983</v>
      </c>
      <c r="H30" s="158">
        <v>9851.4627672801198</v>
      </c>
      <c r="I30" s="248">
        <f t="shared" si="0"/>
        <v>55.52746896161257</v>
      </c>
      <c r="J30" s="119"/>
      <c r="P30" s="289"/>
      <c r="Q30" s="289"/>
      <c r="R30" s="289"/>
      <c r="S30" s="289"/>
      <c r="T30" s="289"/>
    </row>
    <row r="31" spans="2:20">
      <c r="B31" s="293" t="e">
        <f>#REF!</f>
        <v>#REF!</v>
      </c>
      <c r="C31" s="162" t="s">
        <v>87</v>
      </c>
      <c r="D31" s="157">
        <v>10922.4629058602</v>
      </c>
      <c r="E31" s="158">
        <v>18538.071</v>
      </c>
      <c r="F31" s="158">
        <v>13779.121679499998</v>
      </c>
      <c r="G31" s="158">
        <v>5822.9730064499981</v>
      </c>
      <c r="H31" s="158">
        <v>10516.451776491249</v>
      </c>
      <c r="I31" s="248">
        <f t="shared" si="0"/>
        <v>58.919090912210883</v>
      </c>
      <c r="J31" s="119"/>
      <c r="P31" s="289"/>
      <c r="Q31" s="289"/>
      <c r="R31" s="289"/>
      <c r="S31" s="289"/>
      <c r="T31" s="289"/>
    </row>
    <row r="32" spans="2:20">
      <c r="B32" s="293" t="e">
        <f>#REF!</f>
        <v>#REF!</v>
      </c>
      <c r="C32" s="162" t="s">
        <v>88</v>
      </c>
      <c r="D32" s="157">
        <v>12482.965359777099</v>
      </c>
      <c r="E32" s="158">
        <v>18538.071</v>
      </c>
      <c r="F32" s="158">
        <v>13901.975652950001</v>
      </c>
      <c r="G32" s="158">
        <v>7108.0951499999992</v>
      </c>
      <c r="H32" s="158">
        <v>11159.497806794267</v>
      </c>
      <c r="I32" s="248">
        <f t="shared" si="0"/>
        <v>67.336916337072509</v>
      </c>
      <c r="J32" s="119"/>
      <c r="P32" s="289"/>
      <c r="Q32" s="289"/>
      <c r="R32" s="289"/>
      <c r="S32" s="289"/>
      <c r="T32" s="289"/>
    </row>
    <row r="33" spans="2:20">
      <c r="B33" s="293" t="e">
        <f>#REF!</f>
        <v>#REF!</v>
      </c>
      <c r="C33" s="162" t="s">
        <v>87</v>
      </c>
      <c r="D33" s="157">
        <v>12968.344471210001</v>
      </c>
      <c r="E33" s="158">
        <v>18538.071</v>
      </c>
      <c r="F33" s="158">
        <v>14115.337503700002</v>
      </c>
      <c r="G33" s="158">
        <v>7120.6441199999972</v>
      </c>
      <c r="H33" s="158">
        <v>11373.399940146151</v>
      </c>
      <c r="I33" s="248">
        <f t="shared" si="0"/>
        <v>69.955199066882429</v>
      </c>
      <c r="J33" s="119"/>
      <c r="P33" s="289"/>
      <c r="Q33" s="289"/>
      <c r="R33" s="289"/>
      <c r="S33" s="289"/>
      <c r="T33" s="289"/>
    </row>
    <row r="34" spans="2:20">
      <c r="B34" s="293" t="e">
        <f>#REF!</f>
        <v>#REF!</v>
      </c>
      <c r="C34" s="162" t="s">
        <v>89</v>
      </c>
      <c r="D34" s="157">
        <v>12284.2351167291</v>
      </c>
      <c r="E34" s="158">
        <v>18538.071</v>
      </c>
      <c r="F34" s="158">
        <v>13804.115890500001</v>
      </c>
      <c r="G34" s="158">
        <v>6599.0676786489421</v>
      </c>
      <c r="H34" s="158">
        <v>10842.247789768779</v>
      </c>
      <c r="I34" s="248">
        <f t="shared" si="0"/>
        <v>66.26490489074672</v>
      </c>
      <c r="J34" s="119"/>
      <c r="P34" s="289"/>
      <c r="Q34" s="289"/>
      <c r="R34" s="289"/>
      <c r="S34" s="289"/>
      <c r="T34" s="289"/>
    </row>
    <row r="35" spans="2:20">
      <c r="B35" s="293" t="e">
        <f>#REF!</f>
        <v>#REF!</v>
      </c>
      <c r="C35" s="162" t="s">
        <v>89</v>
      </c>
      <c r="D35" s="157">
        <v>11078.2673362971</v>
      </c>
      <c r="E35" s="158">
        <v>18538.071</v>
      </c>
      <c r="F35" s="158">
        <v>12335.885264499995</v>
      </c>
      <c r="G35" s="158">
        <v>5738.8141714184449</v>
      </c>
      <c r="H35" s="158">
        <v>9747.2628189624047</v>
      </c>
      <c r="I35" s="248">
        <f t="shared" si="0"/>
        <v>59.75954745397781</v>
      </c>
      <c r="J35" s="119"/>
      <c r="P35" s="289"/>
      <c r="Q35" s="289"/>
      <c r="R35" s="289"/>
      <c r="S35" s="289"/>
      <c r="T35" s="289"/>
    </row>
    <row r="36" spans="2:20">
      <c r="B36" s="293" t="e">
        <f>#REF!</f>
        <v>#REF!</v>
      </c>
      <c r="C36" s="162" t="s">
        <v>88</v>
      </c>
      <c r="D36" s="157">
        <v>9493.5710276489899</v>
      </c>
      <c r="E36" s="158">
        <v>18538.071</v>
      </c>
      <c r="F36" s="158">
        <v>11008.379514400005</v>
      </c>
      <c r="G36" s="158">
        <v>5016.2080297901548</v>
      </c>
      <c r="H36" s="158">
        <v>8682.152701913692</v>
      </c>
      <c r="I36" s="248">
        <f t="shared" si="0"/>
        <v>51.211213009427951</v>
      </c>
      <c r="J36" s="119"/>
      <c r="P36" s="289"/>
      <c r="Q36" s="289"/>
      <c r="R36" s="289"/>
      <c r="S36" s="289"/>
      <c r="T36" s="289"/>
    </row>
    <row r="37" spans="2:20">
      <c r="B37" s="293" t="e">
        <f>#REF!</f>
        <v>#REF!</v>
      </c>
      <c r="C37" s="162" t="s">
        <v>90</v>
      </c>
      <c r="D37" s="157">
        <v>8414.2036093792703</v>
      </c>
      <c r="E37" s="158">
        <v>18538.071</v>
      </c>
      <c r="F37" s="158">
        <v>10216.987657999998</v>
      </c>
      <c r="G37" s="158">
        <v>4709.6077613773832</v>
      </c>
      <c r="H37" s="158">
        <v>7899.635656205076</v>
      </c>
      <c r="I37" s="248">
        <f t="shared" si="0"/>
        <v>45.388776477225008</v>
      </c>
      <c r="J37" s="119"/>
      <c r="P37" s="289"/>
      <c r="Q37" s="289"/>
      <c r="R37" s="289"/>
      <c r="S37" s="289"/>
      <c r="T37" s="289"/>
    </row>
    <row r="38" spans="2:20">
      <c r="B38" s="293" t="e">
        <f>#REF!</f>
        <v>#REF!</v>
      </c>
      <c r="C38" s="162" t="s">
        <v>91</v>
      </c>
      <c r="D38" s="157">
        <v>8468.7189392685304</v>
      </c>
      <c r="E38" s="158">
        <v>18538.071</v>
      </c>
      <c r="F38" s="158">
        <v>9860.0850484999992</v>
      </c>
      <c r="G38" s="158">
        <v>4443.1848832624037</v>
      </c>
      <c r="H38" s="158">
        <v>7706.6327509883004</v>
      </c>
      <c r="I38" s="248">
        <f t="shared" si="0"/>
        <v>45.6828487671049</v>
      </c>
      <c r="J38" s="119"/>
      <c r="P38" s="289"/>
      <c r="Q38" s="289"/>
      <c r="R38" s="289"/>
      <c r="S38" s="289"/>
      <c r="T38" s="289"/>
    </row>
    <row r="39" spans="2:20">
      <c r="B39" s="293" t="e">
        <f>#REF!</f>
        <v>#REF!</v>
      </c>
      <c r="C39" s="162" t="s">
        <v>92</v>
      </c>
      <c r="D39" s="157">
        <v>8407.9337983359892</v>
      </c>
      <c r="E39" s="158">
        <v>18538.071</v>
      </c>
      <c r="F39" s="158">
        <v>11197.565775799998</v>
      </c>
      <c r="G39" s="158">
        <v>4806.2059127499997</v>
      </c>
      <c r="H39" s="158">
        <v>8149.1649360341953</v>
      </c>
      <c r="I39" s="248">
        <f t="shared" si="0"/>
        <v>45.354955207238064</v>
      </c>
      <c r="J39" s="119"/>
      <c r="P39" s="289"/>
      <c r="Q39" s="289"/>
      <c r="R39" s="289"/>
      <c r="S39" s="289"/>
      <c r="T39" s="289"/>
    </row>
    <row r="40" spans="2:20">
      <c r="B40" s="293" t="e">
        <f>#REF!</f>
        <v>#REF!</v>
      </c>
      <c r="C40" s="162" t="s">
        <v>93</v>
      </c>
      <c r="D40" s="157">
        <v>9418.9304168690905</v>
      </c>
      <c r="E40" s="158">
        <v>18538.071</v>
      </c>
      <c r="F40" s="158">
        <v>13334.108503349993</v>
      </c>
      <c r="G40" s="158">
        <v>5321.2928717999985</v>
      </c>
      <c r="H40" s="158">
        <v>8688.9230952214075</v>
      </c>
      <c r="I40" s="248">
        <f t="shared" si="0"/>
        <v>50.808578826076833</v>
      </c>
      <c r="J40" s="119"/>
      <c r="P40" s="289"/>
      <c r="Q40" s="289"/>
      <c r="R40" s="289"/>
      <c r="S40" s="289"/>
      <c r="T40" s="289"/>
    </row>
    <row r="41" spans="2:20">
      <c r="B41" s="291">
        <v>2021</v>
      </c>
      <c r="C41" s="162" t="s">
        <v>94</v>
      </c>
      <c r="D41" s="157">
        <v>9758.5157368181899</v>
      </c>
      <c r="E41" s="158">
        <v>18538.071</v>
      </c>
      <c r="F41" s="158">
        <v>13030.265303050002</v>
      </c>
      <c r="G41" s="158">
        <v>5467.9549016999981</v>
      </c>
      <c r="H41" s="158">
        <v>9460.7335985820428</v>
      </c>
      <c r="I41" s="248">
        <f t="shared" si="0"/>
        <v>52.640405448971414</v>
      </c>
      <c r="J41" s="119"/>
      <c r="P41" s="289"/>
      <c r="Q41" s="289"/>
      <c r="R41" s="289"/>
      <c r="S41" s="289"/>
      <c r="T41" s="289"/>
    </row>
    <row r="42" spans="2:20">
      <c r="B42" s="293" t="e">
        <f>#REF!</f>
        <v>#REF!</v>
      </c>
      <c r="C42" s="162" t="s">
        <v>86</v>
      </c>
      <c r="D42" s="157">
        <v>12661.5058106672</v>
      </c>
      <c r="E42" s="158">
        <v>18538.071</v>
      </c>
      <c r="F42" s="158">
        <v>13350.687899449997</v>
      </c>
      <c r="G42" s="158">
        <v>5578.6608586499988</v>
      </c>
      <c r="H42" s="158">
        <v>10003.035437810451</v>
      </c>
      <c r="I42" s="248">
        <f t="shared" si="0"/>
        <v>68.300017896507143</v>
      </c>
      <c r="J42" s="119"/>
      <c r="P42" s="289"/>
      <c r="Q42" s="289"/>
      <c r="R42" s="289"/>
      <c r="S42" s="289"/>
      <c r="T42" s="289"/>
    </row>
    <row r="43" spans="2:20">
      <c r="B43" s="293" t="e">
        <f>#REF!</f>
        <v>#REF!</v>
      </c>
      <c r="C43" s="162" t="s">
        <v>87</v>
      </c>
      <c r="D43" s="157">
        <v>12144.926731958538</v>
      </c>
      <c r="E43" s="158">
        <v>18538.071</v>
      </c>
      <c r="F43" s="158">
        <v>13867.618216399997</v>
      </c>
      <c r="G43" s="158">
        <v>5886.7781087999983</v>
      </c>
      <c r="H43" s="158">
        <v>10720.346582784256</v>
      </c>
      <c r="I43" s="248">
        <f t="shared" si="0"/>
        <v>65.513433042513086</v>
      </c>
      <c r="J43" s="119"/>
      <c r="P43" s="289"/>
      <c r="Q43" s="289"/>
      <c r="R43" s="289"/>
      <c r="S43" s="289"/>
      <c r="T43" s="289"/>
    </row>
    <row r="44" spans="2:20">
      <c r="B44" s="293" t="e">
        <f>#REF!</f>
        <v>#REF!</v>
      </c>
      <c r="C44" s="162" t="s">
        <v>88</v>
      </c>
      <c r="D44" s="157">
        <v>11299.1892331082</v>
      </c>
      <c r="E44" s="158">
        <v>18538.071</v>
      </c>
      <c r="F44" s="158">
        <v>13950.648185050002</v>
      </c>
      <c r="G44" s="158">
        <v>7160.980094999999</v>
      </c>
      <c r="H44" s="158">
        <v>11307.143756783118</v>
      </c>
      <c r="I44" s="248">
        <f t="shared" si="0"/>
        <v>60.951267438279856</v>
      </c>
      <c r="J44" s="119"/>
      <c r="P44" s="289"/>
      <c r="Q44" s="289"/>
      <c r="R44" s="289"/>
      <c r="S44" s="289"/>
      <c r="T44" s="289"/>
    </row>
    <row r="45" spans="2:20">
      <c r="B45" s="293" t="e">
        <f>#REF!</f>
        <v>#REF!</v>
      </c>
      <c r="C45" s="162" t="s">
        <v>87</v>
      </c>
      <c r="D45" s="157">
        <v>11113.845787991901</v>
      </c>
      <c r="E45" s="158">
        <v>18538.071</v>
      </c>
      <c r="F45" s="158">
        <v>14154.758919950002</v>
      </c>
      <c r="G45" s="158">
        <v>7197.9099209999968</v>
      </c>
      <c r="H45" s="158">
        <v>11468.407586706651</v>
      </c>
      <c r="I45" s="248">
        <f t="shared" si="0"/>
        <v>59.951468456410062</v>
      </c>
      <c r="J45" s="119"/>
      <c r="P45" s="289"/>
      <c r="Q45" s="289"/>
      <c r="R45" s="289"/>
      <c r="S45" s="289"/>
      <c r="T45" s="289"/>
    </row>
    <row r="46" spans="2:20">
      <c r="B46" s="293" t="e">
        <f>#REF!</f>
        <v>#REF!</v>
      </c>
      <c r="C46" s="162" t="s">
        <v>89</v>
      </c>
      <c r="D46" s="157">
        <v>10415.710777083699</v>
      </c>
      <c r="E46" s="158">
        <v>18538.071</v>
      </c>
      <c r="F46" s="158">
        <v>13861.50749955</v>
      </c>
      <c r="G46" s="158">
        <v>6659.6807604989417</v>
      </c>
      <c r="H46" s="158">
        <v>10927.520460105234</v>
      </c>
      <c r="I46" s="248">
        <f t="shared" si="0"/>
        <v>56.185515618554369</v>
      </c>
      <c r="J46" s="119"/>
      <c r="P46" s="289"/>
      <c r="Q46" s="289"/>
      <c r="R46" s="289"/>
      <c r="S46" s="289"/>
      <c r="T46" s="289"/>
    </row>
    <row r="47" spans="2:20">
      <c r="B47" s="293" t="e">
        <f>#REF!</f>
        <v>#REF!</v>
      </c>
      <c r="C47" s="162" t="s">
        <v>89</v>
      </c>
      <c r="D47" s="157">
        <v>8744.6750995529528</v>
      </c>
      <c r="E47" s="158">
        <v>18538.071</v>
      </c>
      <c r="F47" s="158">
        <v>12411.383130949995</v>
      </c>
      <c r="G47" s="158">
        <v>5800.1947457021333</v>
      </c>
      <c r="H47" s="158">
        <v>9824.1360547772583</v>
      </c>
      <c r="I47" s="248">
        <f t="shared" si="0"/>
        <v>47.171440327059663</v>
      </c>
      <c r="J47" s="119"/>
      <c r="P47" s="289"/>
      <c r="Q47" s="289"/>
      <c r="R47" s="289"/>
      <c r="S47" s="289"/>
      <c r="T47" s="289"/>
    </row>
    <row r="48" spans="2:20">
      <c r="B48" s="293" t="e">
        <f>#REF!</f>
        <v>#REF!</v>
      </c>
      <c r="C48" s="162" t="s">
        <v>88</v>
      </c>
      <c r="D48" s="157">
        <v>7124.7383119369397</v>
      </c>
      <c r="E48" s="158">
        <v>18538.071</v>
      </c>
      <c r="F48" s="158">
        <v>11082.055950350004</v>
      </c>
      <c r="G48" s="158">
        <v>5069.3133357481856</v>
      </c>
      <c r="H48" s="158">
        <v>8745.5835792961407</v>
      </c>
      <c r="I48" s="248">
        <f t="shared" si="0"/>
        <v>38.433008007882478</v>
      </c>
      <c r="J48" s="119"/>
      <c r="P48" s="289"/>
      <c r="Q48" s="289"/>
      <c r="R48" s="289"/>
      <c r="S48" s="289"/>
      <c r="T48" s="289"/>
    </row>
    <row r="49" spans="2:20">
      <c r="B49" s="293" t="e">
        <f>#REF!</f>
        <v>#REF!</v>
      </c>
      <c r="C49" s="162" t="s">
        <v>90</v>
      </c>
      <c r="D49" s="157">
        <v>6314.3165171768396</v>
      </c>
      <c r="E49" s="158">
        <v>18538.071</v>
      </c>
      <c r="F49" s="158">
        <v>10288.729394799997</v>
      </c>
      <c r="G49" s="158">
        <v>4739.6054379773832</v>
      </c>
      <c r="H49" s="158">
        <v>7973.9046291740378</v>
      </c>
      <c r="I49" s="248">
        <f t="shared" si="0"/>
        <v>34.061346065493218</v>
      </c>
      <c r="J49" s="119"/>
      <c r="P49" s="289"/>
      <c r="Q49" s="289"/>
      <c r="R49" s="289"/>
      <c r="S49" s="289"/>
      <c r="T49" s="289"/>
    </row>
    <row r="50" spans="2:20">
      <c r="B50" s="293" t="e">
        <f>#REF!</f>
        <v>#REF!</v>
      </c>
      <c r="C50" s="162" t="s">
        <v>91</v>
      </c>
      <c r="D50" s="157">
        <v>5952.5394311548098</v>
      </c>
      <c r="E50" s="158">
        <v>18538.071</v>
      </c>
      <c r="F50" s="158">
        <v>9948.8780525499988</v>
      </c>
      <c r="G50" s="158">
        <v>4467.0470089624023</v>
      </c>
      <c r="H50" s="158">
        <v>7820.7365874517254</v>
      </c>
      <c r="I50" s="248">
        <f t="shared" si="0"/>
        <v>32.109810298788958</v>
      </c>
      <c r="J50" s="119"/>
      <c r="P50" s="289"/>
      <c r="Q50" s="289"/>
      <c r="R50" s="289"/>
      <c r="S50" s="289"/>
      <c r="T50" s="289"/>
    </row>
    <row r="51" spans="2:20">
      <c r="B51" s="293" t="e">
        <f>#REF!</f>
        <v>#REF!</v>
      </c>
      <c r="C51" s="162" t="s">
        <v>92</v>
      </c>
      <c r="D51" s="157">
        <v>5955.5060306251098</v>
      </c>
      <c r="E51" s="158">
        <v>18538.071</v>
      </c>
      <c r="F51" s="158">
        <v>11222.871138699997</v>
      </c>
      <c r="G51" s="158">
        <v>4812.1705738000001</v>
      </c>
      <c r="H51" s="158">
        <v>8187.5351249509931</v>
      </c>
      <c r="I51" s="248">
        <f t="shared" si="0"/>
        <v>32.125813039690641</v>
      </c>
      <c r="J51" s="119"/>
      <c r="P51" s="289"/>
      <c r="Q51" s="289"/>
      <c r="R51" s="289"/>
      <c r="S51" s="289"/>
      <c r="T51" s="289"/>
    </row>
    <row r="52" spans="2:20">
      <c r="B52" s="293" t="e">
        <f>#REF!</f>
        <v>#REF!</v>
      </c>
      <c r="C52" s="162" t="s">
        <v>93</v>
      </c>
      <c r="D52" s="157">
        <v>6678.5636735501203</v>
      </c>
      <c r="E52" s="158">
        <v>18538.071</v>
      </c>
      <c r="F52" s="158">
        <v>13273.133537799993</v>
      </c>
      <c r="G52" s="158">
        <v>5316.2767810999994</v>
      </c>
      <c r="H52" s="158">
        <v>8633.7092310648623</v>
      </c>
      <c r="I52" s="248">
        <f t="shared" si="0"/>
        <v>36.026206143832987</v>
      </c>
      <c r="J52" s="292"/>
      <c r="P52" s="289"/>
      <c r="Q52" s="289"/>
      <c r="R52" s="289"/>
      <c r="S52" s="289"/>
      <c r="T52" s="289"/>
    </row>
    <row r="53" spans="2:20">
      <c r="B53" s="291">
        <v>2022</v>
      </c>
      <c r="C53" s="162" t="s">
        <v>94</v>
      </c>
      <c r="D53" s="157">
        <v>7030.3147235812303</v>
      </c>
      <c r="E53" s="158">
        <v>18538.071</v>
      </c>
      <c r="F53" s="158">
        <v>13035.252519200001</v>
      </c>
      <c r="G53" s="158">
        <v>5477.0266986999977</v>
      </c>
      <c r="H53" s="158">
        <v>9325.0652119229526</v>
      </c>
      <c r="I53" s="248">
        <f>D53/E53*100</f>
        <v>37.923658419375087</v>
      </c>
      <c r="J53" s="292"/>
      <c r="K53" s="272"/>
    </row>
    <row r="54" spans="2:20">
      <c r="B54" s="293" t="e">
        <f>#REF!</f>
        <v>#REF!</v>
      </c>
      <c r="C54" s="162" t="s">
        <v>86</v>
      </c>
      <c r="D54" s="157">
        <v>6849.7365063100897</v>
      </c>
      <c r="E54" s="158">
        <v>18538.071</v>
      </c>
      <c r="F54" s="158">
        <v>13419.170344149999</v>
      </c>
      <c r="G54" s="158">
        <v>5596.8493599999993</v>
      </c>
      <c r="H54" s="158">
        <v>10034.297981343811</v>
      </c>
      <c r="I54" s="248">
        <f t="shared" ref="I54:I64" si="1">D54/E54*100</f>
        <v>36.949564527561094</v>
      </c>
      <c r="J54" s="292"/>
    </row>
    <row r="55" spans="2:20">
      <c r="B55" s="293" t="e">
        <f>#REF!</f>
        <v>#REF!</v>
      </c>
      <c r="C55" s="162" t="s">
        <v>87</v>
      </c>
      <c r="D55" s="157">
        <v>7242.5224796164302</v>
      </c>
      <c r="E55" s="158">
        <v>18538.071</v>
      </c>
      <c r="F55" s="158">
        <v>13898.837668799999</v>
      </c>
      <c r="G55" s="158">
        <v>5950.5832111499976</v>
      </c>
      <c r="H55" s="158">
        <v>10651.382707382183</v>
      </c>
      <c r="I55" s="248">
        <f t="shared" si="1"/>
        <v>39.068371674789844</v>
      </c>
      <c r="J55" s="292"/>
    </row>
    <row r="56" spans="2:20">
      <c r="B56" s="293" t="e">
        <f>#REF!</f>
        <v>#REF!</v>
      </c>
      <c r="C56" s="162" t="s">
        <v>88</v>
      </c>
      <c r="D56" s="157">
        <v>7896.3920571419603</v>
      </c>
      <c r="E56" s="158">
        <v>18538.071</v>
      </c>
      <c r="F56" s="158">
        <v>13999.32071715</v>
      </c>
      <c r="G56" s="158">
        <v>7213.8650399999988</v>
      </c>
      <c r="H56" s="158">
        <v>11224.845272938524</v>
      </c>
      <c r="I56" s="248">
        <f t="shared" si="1"/>
        <v>42.595543285717049</v>
      </c>
      <c r="J56" s="292"/>
    </row>
    <row r="57" spans="2:20">
      <c r="B57" s="293" t="e">
        <f>#REF!</f>
        <v>#REF!</v>
      </c>
      <c r="C57" s="162" t="s">
        <v>87</v>
      </c>
      <c r="D57" s="157">
        <v>7862.6649207238397</v>
      </c>
      <c r="E57" s="158">
        <v>18538.071</v>
      </c>
      <c r="F57" s="158">
        <v>14194.180336200001</v>
      </c>
      <c r="G57" s="158">
        <v>7275.1757219999972</v>
      </c>
      <c r="H57" s="158">
        <v>11376.573024106245</v>
      </c>
      <c r="I57" s="248">
        <f t="shared" si="1"/>
        <v>42.413608841631039</v>
      </c>
      <c r="J57" s="292"/>
    </row>
    <row r="58" spans="2:20">
      <c r="B58" s="293" t="e">
        <f>#REF!</f>
        <v>#REF!</v>
      </c>
      <c r="C58" s="162" t="s">
        <v>89</v>
      </c>
      <c r="D58" s="157">
        <v>7336.6756913938698</v>
      </c>
      <c r="E58" s="158">
        <v>18538.071</v>
      </c>
      <c r="F58" s="158">
        <v>13918.899108600002</v>
      </c>
      <c r="G58" s="158">
        <v>6720.2938423489422</v>
      </c>
      <c r="H58" s="158">
        <v>10871.053378959414</v>
      </c>
      <c r="I58" s="248">
        <f t="shared" si="1"/>
        <v>39.576262769701714</v>
      </c>
      <c r="J58" s="292">
        <f>I59-I47</f>
        <v>-12.088322400800777</v>
      </c>
    </row>
    <row r="59" spans="2:20">
      <c r="B59" s="293" t="e">
        <f>#REF!</f>
        <v>#REF!</v>
      </c>
      <c r="C59" s="162" t="s">
        <v>89</v>
      </c>
      <c r="D59" s="157">
        <v>6503.7333101836002</v>
      </c>
      <c r="E59" s="158">
        <v>18538.071</v>
      </c>
      <c r="F59" s="158">
        <v>12486.880997399992</v>
      </c>
      <c r="G59" s="158">
        <v>5861.5753199858218</v>
      </c>
      <c r="H59" s="158">
        <v>9714.3243532549059</v>
      </c>
      <c r="I59" s="248">
        <f t="shared" si="1"/>
        <v>35.083117926258886</v>
      </c>
      <c r="J59" s="292">
        <f>I59-I58</f>
        <v>-4.4931448434428276</v>
      </c>
    </row>
    <row r="60" spans="2:20">
      <c r="B60" s="293" t="e">
        <f>#REF!</f>
        <v>#REF!</v>
      </c>
      <c r="C60" s="162" t="s">
        <v>88</v>
      </c>
      <c r="D60" s="157"/>
      <c r="E60" s="158">
        <v>18538.071</v>
      </c>
      <c r="F60" s="158">
        <v>11155.732386300004</v>
      </c>
      <c r="G60" s="158">
        <v>5122.4186417062165</v>
      </c>
      <c r="H60" s="158">
        <v>8618.9540563929877</v>
      </c>
      <c r="I60" s="248">
        <f t="shared" si="1"/>
        <v>0</v>
      </c>
      <c r="J60" s="292"/>
    </row>
    <row r="61" spans="2:20">
      <c r="B61" s="293" t="e">
        <f>#REF!</f>
        <v>#REF!</v>
      </c>
      <c r="C61" s="162" t="s">
        <v>90</v>
      </c>
      <c r="D61" s="157"/>
      <c r="E61" s="158">
        <v>18538.071</v>
      </c>
      <c r="F61" s="158">
        <v>10360.471131599998</v>
      </c>
      <c r="G61" s="158">
        <v>4769.6031145773832</v>
      </c>
      <c r="H61" s="158">
        <v>7853.1852055328782</v>
      </c>
      <c r="I61" s="248">
        <f t="shared" si="1"/>
        <v>0</v>
      </c>
      <c r="J61" s="292"/>
    </row>
    <row r="62" spans="2:20">
      <c r="B62" s="293" t="e">
        <f>#REF!</f>
        <v>#REF!</v>
      </c>
      <c r="C62" s="162" t="s">
        <v>91</v>
      </c>
      <c r="D62" s="157"/>
      <c r="E62" s="158">
        <v>18538.071</v>
      </c>
      <c r="F62" s="158">
        <v>10037.671056599998</v>
      </c>
      <c r="G62" s="158">
        <v>4490.9091346624027</v>
      </c>
      <c r="H62" s="158">
        <v>7700.931035509464</v>
      </c>
      <c r="I62" s="248">
        <f t="shared" si="1"/>
        <v>0</v>
      </c>
      <c r="J62" s="292"/>
    </row>
    <row r="63" spans="2:20">
      <c r="B63" s="293" t="e">
        <f>#REF!</f>
        <v>#REF!</v>
      </c>
      <c r="C63" s="162" t="s">
        <v>92</v>
      </c>
      <c r="D63" s="157"/>
      <c r="E63" s="158">
        <v>18538.071</v>
      </c>
      <c r="F63" s="158">
        <v>11248.176501599997</v>
      </c>
      <c r="G63" s="158">
        <v>4818.1352348499995</v>
      </c>
      <c r="H63" s="158">
        <v>8119.3286799822454</v>
      </c>
      <c r="I63" s="248">
        <f t="shared" si="1"/>
        <v>0</v>
      </c>
      <c r="J63" s="292"/>
    </row>
    <row r="64" spans="2:20">
      <c r="B64" s="293" t="e">
        <f>#REF!</f>
        <v>#REF!</v>
      </c>
      <c r="C64" s="162" t="s">
        <v>93</v>
      </c>
      <c r="D64" s="157"/>
      <c r="E64" s="158">
        <v>18538.071</v>
      </c>
      <c r="F64" s="158">
        <v>13212.158572249993</v>
      </c>
      <c r="G64" s="158">
        <v>5311.2606904000004</v>
      </c>
      <c r="H64" s="158">
        <v>8643.2465402423641</v>
      </c>
      <c r="I64" s="248">
        <f t="shared" si="1"/>
        <v>0</v>
      </c>
      <c r="J64" s="292"/>
    </row>
    <row r="65" spans="2:11">
      <c r="B65" s="160"/>
      <c r="C65" s="162"/>
      <c r="D65" s="158"/>
      <c r="E65" s="158"/>
      <c r="F65" s="158"/>
      <c r="G65" s="158"/>
      <c r="H65" s="158"/>
      <c r="I65" s="159"/>
      <c r="J65" s="292"/>
    </row>
    <row r="67" spans="2:11">
      <c r="B67" s="256" t="str">
        <f>CONCATENATE("Reservas hidroeléctricas a ",TEXT(DATEVALUE(MID(Dat_01!B2,1,10)),"dd")," de ",TEXT(DATEVALUE(MID(Dat_01!B2,1,10)),"mmmm")," de ",TEXT(DATEVALUE(MID(Dat_01!B2,1,10)),"aaaa")," por cuencas")</f>
        <v>Reservas hidroeléctricas a 31 de julio de 2022 por cuencas</v>
      </c>
      <c r="C67" s="257"/>
      <c r="D67" s="257"/>
      <c r="E67" s="257"/>
      <c r="F67" s="257"/>
      <c r="G67" s="118"/>
      <c r="H67" s="118"/>
      <c r="I67" s="119"/>
      <c r="J67" s="119"/>
    </row>
    <row r="68" spans="2:11">
      <c r="B68" s="120"/>
      <c r="C68" s="354" t="s">
        <v>53</v>
      </c>
      <c r="D68" s="354" t="s">
        <v>53</v>
      </c>
      <c r="E68" s="120"/>
      <c r="F68" s="354" t="s">
        <v>42</v>
      </c>
      <c r="G68" s="354"/>
      <c r="H68" s="354" t="s">
        <v>43</v>
      </c>
      <c r="I68" s="354"/>
      <c r="J68" s="354" t="s">
        <v>44</v>
      </c>
      <c r="K68" s="354"/>
    </row>
    <row r="69" spans="2:11">
      <c r="B69" s="121"/>
      <c r="C69" s="122" t="s">
        <v>42</v>
      </c>
      <c r="D69" s="122" t="s">
        <v>43</v>
      </c>
      <c r="E69" s="122" t="s">
        <v>80</v>
      </c>
      <c r="F69" s="123" t="s">
        <v>40</v>
      </c>
      <c r="G69" s="122" t="s">
        <v>45</v>
      </c>
      <c r="H69" s="123" t="s">
        <v>40</v>
      </c>
      <c r="I69" s="122" t="s">
        <v>45</v>
      </c>
      <c r="J69" s="123" t="s">
        <v>40</v>
      </c>
      <c r="K69" s="122" t="s">
        <v>45</v>
      </c>
    </row>
    <row r="70" spans="2:11">
      <c r="B70" s="124" t="s">
        <v>46</v>
      </c>
      <c r="C70" s="125">
        <v>2546.8180000000002</v>
      </c>
      <c r="D70" s="125">
        <v>909.476</v>
      </c>
      <c r="E70" s="258">
        <v>5249.5645566666662</v>
      </c>
      <c r="F70" s="259">
        <f>G70/C70</f>
        <v>0.4720146551164483</v>
      </c>
      <c r="G70" s="125">
        <v>1202.1354199143627</v>
      </c>
      <c r="H70" s="259">
        <f>I70/D70</f>
        <v>0.12698412698413059</v>
      </c>
      <c r="I70" s="125">
        <v>115.48901587301916</v>
      </c>
      <c r="J70" s="150">
        <f>K70/SUM(C70:D70)</f>
        <v>0.3812246399719994</v>
      </c>
      <c r="K70" s="125">
        <f t="shared" ref="K70:K75" si="2">SUM(G70,I70)</f>
        <v>1317.6244357873818</v>
      </c>
    </row>
    <row r="71" spans="2:11">
      <c r="B71" s="124" t="s">
        <v>47</v>
      </c>
      <c r="C71" s="125">
        <v>1681</v>
      </c>
      <c r="D71" s="125">
        <v>3120.6</v>
      </c>
      <c r="E71" s="258">
        <v>4077.7992333333332</v>
      </c>
      <c r="F71" s="259">
        <f>G71/C71</f>
        <v>0.42604053499755035</v>
      </c>
      <c r="G71" s="125">
        <v>716.1741393308821</v>
      </c>
      <c r="H71" s="259">
        <f t="shared" ref="H71:H75" si="3">I71/D71</f>
        <v>0.32633504325211521</v>
      </c>
      <c r="I71" s="125">
        <v>1018.3611359725508</v>
      </c>
      <c r="J71" s="150">
        <f t="shared" ref="J71:J76" si="4">K71/SUM(C71:D71)</f>
        <v>0.36124110198755266</v>
      </c>
      <c r="K71" s="125">
        <f t="shared" si="2"/>
        <v>1734.5352753034329</v>
      </c>
    </row>
    <row r="72" spans="2:11">
      <c r="B72" s="124" t="s">
        <v>48</v>
      </c>
      <c r="C72" s="125">
        <v>2424.9229999999998</v>
      </c>
      <c r="D72" s="125">
        <v>3791.8719999999998</v>
      </c>
      <c r="E72" s="258">
        <v>3557.6004000000003</v>
      </c>
      <c r="F72" s="259">
        <f>G72/C72</f>
        <v>0.35157094060979227</v>
      </c>
      <c r="G72" s="125">
        <v>852.53246001631919</v>
      </c>
      <c r="H72" s="259">
        <f t="shared" si="3"/>
        <v>0.32016956461141738</v>
      </c>
      <c r="I72" s="125">
        <v>1214.0420073022244</v>
      </c>
      <c r="J72" s="150">
        <f t="shared" si="4"/>
        <v>0.33241798504189757</v>
      </c>
      <c r="K72" s="125">
        <f t="shared" si="2"/>
        <v>2066.5744673185436</v>
      </c>
    </row>
    <row r="73" spans="2:11">
      <c r="B73" s="124" t="s">
        <v>49</v>
      </c>
      <c r="C73" s="125"/>
      <c r="D73" s="125">
        <v>835.14400000000001</v>
      </c>
      <c r="E73" s="258">
        <v>195.78800000000001</v>
      </c>
      <c r="F73" s="259" t="s">
        <v>18</v>
      </c>
      <c r="G73" s="125" t="s">
        <v>18</v>
      </c>
      <c r="H73" s="259">
        <f t="shared" si="3"/>
        <v>1.235257697744893E-2</v>
      </c>
      <c r="I73" s="125">
        <v>10.316180547254609</v>
      </c>
      <c r="J73" s="150">
        <f t="shared" si="4"/>
        <v>1.235257697744893E-2</v>
      </c>
      <c r="K73" s="125">
        <f t="shared" si="2"/>
        <v>10.316180547254609</v>
      </c>
    </row>
    <row r="74" spans="2:11">
      <c r="B74" s="124" t="s">
        <v>50</v>
      </c>
      <c r="C74" s="125">
        <v>180.3</v>
      </c>
      <c r="D74" s="125">
        <v>669.1</v>
      </c>
      <c r="E74" s="258">
        <v>609.78800000000001</v>
      </c>
      <c r="F74" s="259">
        <f>G74/C74</f>
        <v>0.55366178284187495</v>
      </c>
      <c r="G74" s="125">
        <v>99.825219446390051</v>
      </c>
      <c r="H74" s="259">
        <f t="shared" si="3"/>
        <v>0.10795281663329613</v>
      </c>
      <c r="I74" s="125">
        <v>72.231229609338442</v>
      </c>
      <c r="J74" s="150">
        <f t="shared" si="4"/>
        <v>0.20256233700933418</v>
      </c>
      <c r="K74" s="125">
        <f t="shared" si="2"/>
        <v>172.05644905572848</v>
      </c>
    </row>
    <row r="75" spans="2:11">
      <c r="B75" s="124" t="s">
        <v>51</v>
      </c>
      <c r="C75" s="125">
        <v>2133.8380000000002</v>
      </c>
      <c r="D75" s="125">
        <v>245</v>
      </c>
      <c r="E75" s="258">
        <v>3402.0628400000001</v>
      </c>
      <c r="F75" s="259">
        <f>G75/C75</f>
        <v>0.49927494940171496</v>
      </c>
      <c r="G75" s="125">
        <v>1065.3718594814568</v>
      </c>
      <c r="H75" s="259">
        <f t="shared" si="3"/>
        <v>0.5602230313869635</v>
      </c>
      <c r="I75" s="125">
        <v>137.25464268980605</v>
      </c>
      <c r="J75" s="150">
        <f t="shared" si="4"/>
        <v>0.50555208138228114</v>
      </c>
      <c r="K75" s="125">
        <f t="shared" si="2"/>
        <v>1202.6265021712629</v>
      </c>
    </row>
    <row r="76" spans="2:11">
      <c r="B76" s="121" t="s">
        <v>52</v>
      </c>
      <c r="C76" s="126">
        <f>SUM(C70:C75)</f>
        <v>8966.8790000000008</v>
      </c>
      <c r="D76" s="126">
        <f>SUM(D70:D75)</f>
        <v>9571.1920000000009</v>
      </c>
      <c r="E76" s="126">
        <f>SUM(E70:E75)</f>
        <v>17092.603029999998</v>
      </c>
      <c r="F76" s="260">
        <f>G76/C76</f>
        <v>0.43895307366023456</v>
      </c>
      <c r="G76" s="126">
        <f>SUM(G70:G75)</f>
        <v>3936.0390981894107</v>
      </c>
      <c r="H76" s="260">
        <f>I76/D76</f>
        <v>0.26827319021436336</v>
      </c>
      <c r="I76" s="126">
        <f>SUM(I70:I75)</f>
        <v>2567.6942119941932</v>
      </c>
      <c r="J76" s="151">
        <f t="shared" si="4"/>
        <v>0.35083117926258905</v>
      </c>
      <c r="K76" s="126">
        <f>SUM(K70:K75)</f>
        <v>6503.7333101836048</v>
      </c>
    </row>
    <row r="79" spans="2:11">
      <c r="B79" s="165" t="str">
        <f>TEXT(CONCATENATE(TEXT(Dat_01!B2,"dd de mm de aaaa")),"@")</f>
        <v>31 312022 07 312022 2022</v>
      </c>
    </row>
    <row r="80" spans="2:11">
      <c r="B80" s="230" t="str">
        <f>CONCATENATE("Reservas hidroeléctricas a ",TEXT(DATEVALUE(MID(Dat_01!B2,1,10)),"dd")," de ",TEXT(DATEVALUE(MID(Dat_01!B2,1,10)),"mmmm")," de ",TEXT(DATEVALUE(MID(Dat_01!B2,1,10)),"aaaa")," por cuencas")</f>
        <v>Reservas hidroeléctricas a 31 de julio de 2022 por cuencas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  <ignoredError sqref="F76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488"/>
  <sheetViews>
    <sheetView showGridLines="0" zoomScale="77" zoomScaleNormal="77" workbookViewId="0">
      <selection activeCell="F216" sqref="F216"/>
    </sheetView>
  </sheetViews>
  <sheetFormatPr baseColWidth="10" defaultColWidth="11.42578125" defaultRowHeight="15"/>
  <cols>
    <col min="1" max="1" width="11.42578125" style="283"/>
    <col min="2" max="2" width="12.7109375" style="283" bestFit="1" customWidth="1"/>
    <col min="3" max="7" width="11.42578125" style="283"/>
    <col min="8" max="8" width="11.7109375" style="283" bestFit="1" customWidth="1"/>
    <col min="9" max="21" width="11.42578125" style="283"/>
    <col min="22" max="22" width="11.42578125" style="283" customWidth="1"/>
    <col min="23" max="28" width="11.42578125" style="283"/>
    <col min="29" max="29" width="11.7109375" style="283" bestFit="1" customWidth="1"/>
    <col min="30" max="16384" width="11.42578125" style="283"/>
  </cols>
  <sheetData>
    <row r="1" spans="1:9" ht="60">
      <c r="B1" s="282" t="s">
        <v>142</v>
      </c>
      <c r="C1" s="282" t="s">
        <v>172</v>
      </c>
      <c r="D1" s="282" t="s">
        <v>173</v>
      </c>
    </row>
    <row r="2" spans="1:9">
      <c r="A2" s="283">
        <v>0</v>
      </c>
      <c r="B2" s="284">
        <v>44378</v>
      </c>
      <c r="C2" s="285">
        <v>53.853722000000005</v>
      </c>
      <c r="D2" s="286">
        <v>123.30366529599279</v>
      </c>
      <c r="E2" s="285">
        <f>IF(C2&gt;D2,D2,C2)</f>
        <v>53.853722000000005</v>
      </c>
      <c r="F2" s="288">
        <f>YEAR(B2)</f>
        <v>2021</v>
      </c>
      <c r="G2" s="199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287" t="str">
        <f>IF(DAY($B2)=15,TEXT(D2,"#,0"),"")</f>
        <v/>
      </c>
      <c r="I2" s="288"/>
    </row>
    <row r="3" spans="1:9">
      <c r="A3" s="283">
        <v>1</v>
      </c>
      <c r="B3" s="284">
        <v>44379</v>
      </c>
      <c r="C3" s="285">
        <v>81.504232000000002</v>
      </c>
      <c r="D3" s="286">
        <v>123.30366529599279</v>
      </c>
      <c r="E3" s="285">
        <f t="shared" ref="E3:E66" si="0">IF(C3&gt;D3,D3,C3)</f>
        <v>81.504232000000002</v>
      </c>
      <c r="F3" s="295"/>
      <c r="G3" s="199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87" t="str">
        <f t="shared" ref="H3:H66" si="2">IF(DAY($B3)=15,TEXT(D3,"#,0"),"")</f>
        <v/>
      </c>
      <c r="I3" s="288"/>
    </row>
    <row r="4" spans="1:9">
      <c r="A4" s="283">
        <v>2</v>
      </c>
      <c r="B4" s="284">
        <v>44380</v>
      </c>
      <c r="C4" s="285">
        <v>108.750077</v>
      </c>
      <c r="D4" s="286">
        <v>123.30366529599279</v>
      </c>
      <c r="E4" s="285">
        <f t="shared" si="0"/>
        <v>108.750077</v>
      </c>
      <c r="F4" s="295"/>
      <c r="G4" s="199" t="str">
        <f t="shared" si="1"/>
        <v/>
      </c>
      <c r="H4" s="287" t="str">
        <f t="shared" si="2"/>
        <v/>
      </c>
      <c r="I4" s="288"/>
    </row>
    <row r="5" spans="1:9">
      <c r="A5" s="283">
        <v>3</v>
      </c>
      <c r="B5" s="284">
        <v>44381</v>
      </c>
      <c r="C5" s="285">
        <v>175.47572</v>
      </c>
      <c r="D5" s="286">
        <v>123.30366529599279</v>
      </c>
      <c r="E5" s="285">
        <f t="shared" si="0"/>
        <v>123.30366529599279</v>
      </c>
      <c r="F5" s="295"/>
      <c r="G5" s="199" t="str">
        <f t="shared" si="1"/>
        <v/>
      </c>
      <c r="H5" s="287" t="str">
        <f t="shared" si="2"/>
        <v/>
      </c>
      <c r="I5" s="288"/>
    </row>
    <row r="6" spans="1:9">
      <c r="A6" s="283">
        <v>4</v>
      </c>
      <c r="B6" s="284">
        <v>44382</v>
      </c>
      <c r="C6" s="285">
        <v>185.84592800000001</v>
      </c>
      <c r="D6" s="286">
        <v>123.30366529599279</v>
      </c>
      <c r="E6" s="285">
        <f t="shared" si="0"/>
        <v>123.30366529599279</v>
      </c>
      <c r="F6" s="295"/>
      <c r="G6" s="199" t="str">
        <f t="shared" si="1"/>
        <v/>
      </c>
      <c r="H6" s="287" t="str">
        <f t="shared" si="2"/>
        <v/>
      </c>
      <c r="I6" s="288"/>
    </row>
    <row r="7" spans="1:9">
      <c r="A7" s="283">
        <v>5</v>
      </c>
      <c r="B7" s="284">
        <v>44383</v>
      </c>
      <c r="C7" s="285">
        <v>170.28628600000002</v>
      </c>
      <c r="D7" s="286">
        <v>123.30366529599279</v>
      </c>
      <c r="E7" s="285">
        <f t="shared" si="0"/>
        <v>123.30366529599279</v>
      </c>
      <c r="F7" s="295"/>
      <c r="G7" s="199" t="str">
        <f t="shared" si="1"/>
        <v/>
      </c>
      <c r="H7" s="287" t="str">
        <f t="shared" si="2"/>
        <v/>
      </c>
      <c r="I7" s="288"/>
    </row>
    <row r="8" spans="1:9">
      <c r="A8" s="283">
        <v>6</v>
      </c>
      <c r="B8" s="284">
        <v>44384</v>
      </c>
      <c r="C8" s="285">
        <v>100.12591</v>
      </c>
      <c r="D8" s="286">
        <v>123.30366529599279</v>
      </c>
      <c r="E8" s="285">
        <f t="shared" si="0"/>
        <v>100.12591</v>
      </c>
      <c r="F8" s="295"/>
      <c r="G8" s="199" t="str">
        <f t="shared" si="1"/>
        <v/>
      </c>
      <c r="H8" s="287" t="str">
        <f t="shared" si="2"/>
        <v/>
      </c>
      <c r="I8" s="288"/>
    </row>
    <row r="9" spans="1:9">
      <c r="A9" s="283">
        <v>7</v>
      </c>
      <c r="B9" s="284">
        <v>44385</v>
      </c>
      <c r="C9" s="285">
        <v>118.72372800000001</v>
      </c>
      <c r="D9" s="286">
        <v>123.30366529599279</v>
      </c>
      <c r="E9" s="285">
        <f t="shared" si="0"/>
        <v>118.72372800000001</v>
      </c>
      <c r="F9" s="295"/>
      <c r="G9" s="199" t="str">
        <f t="shared" si="1"/>
        <v/>
      </c>
      <c r="H9" s="287" t="str">
        <f t="shared" si="2"/>
        <v/>
      </c>
      <c r="I9" s="288"/>
    </row>
    <row r="10" spans="1:9">
      <c r="A10" s="283">
        <v>8</v>
      </c>
      <c r="B10" s="284">
        <v>44386</v>
      </c>
      <c r="C10" s="285">
        <v>106.79435099999999</v>
      </c>
      <c r="D10" s="286">
        <v>123.30366529599279</v>
      </c>
      <c r="E10" s="285">
        <f t="shared" si="0"/>
        <v>106.79435099999999</v>
      </c>
      <c r="F10" s="295"/>
      <c r="G10" s="199" t="str">
        <f t="shared" si="1"/>
        <v/>
      </c>
      <c r="H10" s="287" t="str">
        <f t="shared" si="2"/>
        <v/>
      </c>
      <c r="I10" s="288"/>
    </row>
    <row r="11" spans="1:9">
      <c r="A11" s="283">
        <v>9</v>
      </c>
      <c r="B11" s="284">
        <v>44387</v>
      </c>
      <c r="C11" s="285">
        <v>101.930645</v>
      </c>
      <c r="D11" s="286">
        <v>123.30366529599279</v>
      </c>
      <c r="E11" s="285">
        <f t="shared" si="0"/>
        <v>101.930645</v>
      </c>
      <c r="F11" s="295"/>
      <c r="G11" s="199" t="str">
        <f t="shared" si="1"/>
        <v/>
      </c>
      <c r="H11" s="287" t="str">
        <f t="shared" si="2"/>
        <v/>
      </c>
      <c r="I11" s="288"/>
    </row>
    <row r="12" spans="1:9">
      <c r="A12" s="283">
        <v>10</v>
      </c>
      <c r="B12" s="284">
        <v>44388</v>
      </c>
      <c r="C12" s="285">
        <v>129.881685</v>
      </c>
      <c r="D12" s="286">
        <v>123.30366529599279</v>
      </c>
      <c r="E12" s="285">
        <f t="shared" si="0"/>
        <v>123.30366529599279</v>
      </c>
      <c r="F12" s="295"/>
      <c r="G12" s="199" t="str">
        <f t="shared" si="1"/>
        <v/>
      </c>
      <c r="H12" s="287" t="str">
        <f t="shared" si="2"/>
        <v/>
      </c>
      <c r="I12" s="288"/>
    </row>
    <row r="13" spans="1:9">
      <c r="A13" s="283">
        <v>11</v>
      </c>
      <c r="B13" s="284">
        <v>44389</v>
      </c>
      <c r="C13" s="285">
        <v>268.85704100000004</v>
      </c>
      <c r="D13" s="286">
        <v>123.30366529599279</v>
      </c>
      <c r="E13" s="285">
        <f t="shared" si="0"/>
        <v>123.30366529599279</v>
      </c>
      <c r="F13" s="295"/>
      <c r="G13" s="199" t="str">
        <f t="shared" si="1"/>
        <v/>
      </c>
      <c r="H13" s="287" t="str">
        <f t="shared" si="2"/>
        <v/>
      </c>
      <c r="I13" s="288"/>
    </row>
    <row r="14" spans="1:9">
      <c r="A14" s="283">
        <v>12</v>
      </c>
      <c r="B14" s="284">
        <v>44390</v>
      </c>
      <c r="C14" s="285">
        <v>180.85459999999998</v>
      </c>
      <c r="D14" s="286">
        <v>123.30366529599279</v>
      </c>
      <c r="E14" s="285">
        <f t="shared" si="0"/>
        <v>123.30366529599279</v>
      </c>
      <c r="F14" s="295"/>
      <c r="G14" s="199" t="str">
        <f t="shared" si="1"/>
        <v/>
      </c>
      <c r="H14" s="287" t="str">
        <f t="shared" si="2"/>
        <v/>
      </c>
      <c r="I14" s="288"/>
    </row>
    <row r="15" spans="1:9">
      <c r="A15" s="283">
        <v>13</v>
      </c>
      <c r="B15" s="284">
        <v>44391</v>
      </c>
      <c r="C15" s="285">
        <v>192.08371</v>
      </c>
      <c r="D15" s="286">
        <v>123.30366529599279</v>
      </c>
      <c r="E15" s="285">
        <f t="shared" si="0"/>
        <v>123.30366529599279</v>
      </c>
      <c r="F15" s="295"/>
      <c r="G15" s="199" t="str">
        <f t="shared" si="1"/>
        <v/>
      </c>
      <c r="H15" s="287" t="str">
        <f t="shared" si="2"/>
        <v/>
      </c>
      <c r="I15" s="288"/>
    </row>
    <row r="16" spans="1:9">
      <c r="A16" s="283">
        <v>14</v>
      </c>
      <c r="B16" s="284">
        <v>44392</v>
      </c>
      <c r="C16" s="285">
        <v>191.56914</v>
      </c>
      <c r="D16" s="286">
        <v>123.30366529599279</v>
      </c>
      <c r="E16" s="285">
        <f t="shared" si="0"/>
        <v>123.30366529599279</v>
      </c>
      <c r="F16" s="295"/>
      <c r="G16" s="199" t="str">
        <f>IF(DAY(B16)=15,IF(MONTH(B16)=1,"E",IF(MONTH(B16)=2,"F",IF(MONTH(B16)=3,"M",IF(MONTH(B16)=4,"A",IF(MONTH(B16)=5,"M",IF(MONTH(B16)=6,"J",IF(MONTH(B16)=7,"J",IF(MONTH(B16)=8,"A",IF(MONTH(B16)=9,"S",IF(MONTH(B16)=10,"O",IF(MONTH(B16)=11,"N",IF(MONTH(B16)=12,"D","")))))))))))),"")</f>
        <v>J</v>
      </c>
      <c r="H16" s="287" t="str">
        <f t="shared" si="2"/>
        <v>123,3</v>
      </c>
      <c r="I16" s="288"/>
    </row>
    <row r="17" spans="1:9">
      <c r="A17" s="283">
        <v>15</v>
      </c>
      <c r="B17" s="284">
        <v>44393</v>
      </c>
      <c r="C17" s="285">
        <v>169.40151399999999</v>
      </c>
      <c r="D17" s="286">
        <v>123.30366529599279</v>
      </c>
      <c r="E17" s="285">
        <f t="shared" si="0"/>
        <v>123.30366529599279</v>
      </c>
      <c r="F17" s="295"/>
      <c r="G17" s="199" t="str">
        <f t="shared" si="1"/>
        <v/>
      </c>
      <c r="H17" s="287" t="str">
        <f t="shared" si="2"/>
        <v/>
      </c>
      <c r="I17" s="199"/>
    </row>
    <row r="18" spans="1:9">
      <c r="A18" s="283">
        <v>16</v>
      </c>
      <c r="B18" s="284">
        <v>44394</v>
      </c>
      <c r="C18" s="285">
        <v>110.355237</v>
      </c>
      <c r="D18" s="286">
        <v>123.30366529599279</v>
      </c>
      <c r="E18" s="285">
        <f t="shared" si="0"/>
        <v>110.355237</v>
      </c>
      <c r="F18" s="295"/>
      <c r="G18" s="199" t="str">
        <f t="shared" si="1"/>
        <v/>
      </c>
      <c r="H18" s="287" t="str">
        <f t="shared" si="2"/>
        <v/>
      </c>
      <c r="I18" s="288"/>
    </row>
    <row r="19" spans="1:9">
      <c r="A19" s="283">
        <v>17</v>
      </c>
      <c r="B19" s="284">
        <v>44395</v>
      </c>
      <c r="C19" s="285">
        <v>164.72239999999999</v>
      </c>
      <c r="D19" s="286">
        <v>123.30366529599279</v>
      </c>
      <c r="E19" s="285">
        <f t="shared" si="0"/>
        <v>123.30366529599279</v>
      </c>
      <c r="F19" s="295"/>
      <c r="G19" s="199" t="str">
        <f t="shared" si="1"/>
        <v/>
      </c>
      <c r="H19" s="287" t="str">
        <f t="shared" si="2"/>
        <v/>
      </c>
      <c r="I19" s="288"/>
    </row>
    <row r="20" spans="1:9">
      <c r="A20" s="283">
        <v>18</v>
      </c>
      <c r="B20" s="284">
        <v>44396</v>
      </c>
      <c r="C20" s="285">
        <v>90.316156000000007</v>
      </c>
      <c r="D20" s="286">
        <v>123.30366529599279</v>
      </c>
      <c r="E20" s="285">
        <f t="shared" si="0"/>
        <v>90.316156000000007</v>
      </c>
      <c r="F20" s="295"/>
      <c r="G20" s="199" t="str">
        <f t="shared" si="1"/>
        <v/>
      </c>
      <c r="H20" s="287" t="str">
        <f t="shared" si="2"/>
        <v/>
      </c>
      <c r="I20" s="288"/>
    </row>
    <row r="21" spans="1:9">
      <c r="A21" s="283">
        <v>19</v>
      </c>
      <c r="B21" s="284">
        <v>44397</v>
      </c>
      <c r="C21" s="285">
        <v>60.916510000000002</v>
      </c>
      <c r="D21" s="286">
        <v>123.30366529599279</v>
      </c>
      <c r="E21" s="285">
        <f t="shared" si="0"/>
        <v>60.916510000000002</v>
      </c>
      <c r="F21" s="295"/>
      <c r="G21" s="199" t="str">
        <f t="shared" si="1"/>
        <v/>
      </c>
      <c r="H21" s="287" t="str">
        <f t="shared" si="2"/>
        <v/>
      </c>
      <c r="I21" s="288"/>
    </row>
    <row r="22" spans="1:9">
      <c r="A22" s="283">
        <v>20</v>
      </c>
      <c r="B22" s="284">
        <v>44398</v>
      </c>
      <c r="C22" s="285">
        <v>54.754841999999996</v>
      </c>
      <c r="D22" s="286">
        <v>123.30366529599279</v>
      </c>
      <c r="E22" s="285">
        <f t="shared" si="0"/>
        <v>54.754841999999996</v>
      </c>
      <c r="F22" s="295"/>
      <c r="G22" s="199" t="str">
        <f t="shared" si="1"/>
        <v/>
      </c>
      <c r="H22" s="287" t="str">
        <f t="shared" si="2"/>
        <v/>
      </c>
      <c r="I22" s="288"/>
    </row>
    <row r="23" spans="1:9">
      <c r="A23" s="283">
        <v>21</v>
      </c>
      <c r="B23" s="284">
        <v>44399</v>
      </c>
      <c r="C23" s="285">
        <v>107.59925</v>
      </c>
      <c r="D23" s="286">
        <v>123.30366529599279</v>
      </c>
      <c r="E23" s="285">
        <f t="shared" si="0"/>
        <v>107.59925</v>
      </c>
      <c r="F23" s="295"/>
      <c r="G23" s="199" t="str">
        <f t="shared" si="1"/>
        <v/>
      </c>
      <c r="H23" s="287" t="str">
        <f t="shared" si="2"/>
        <v/>
      </c>
      <c r="I23" s="288"/>
    </row>
    <row r="24" spans="1:9">
      <c r="A24" s="283">
        <v>22</v>
      </c>
      <c r="B24" s="284">
        <v>44400</v>
      </c>
      <c r="C24" s="285">
        <v>186.93346700000001</v>
      </c>
      <c r="D24" s="286">
        <v>123.30366529599279</v>
      </c>
      <c r="E24" s="285">
        <f t="shared" si="0"/>
        <v>123.30366529599279</v>
      </c>
      <c r="F24" s="295"/>
      <c r="G24" s="199" t="str">
        <f t="shared" si="1"/>
        <v/>
      </c>
      <c r="H24" s="287" t="str">
        <f t="shared" si="2"/>
        <v/>
      </c>
      <c r="I24" s="288"/>
    </row>
    <row r="25" spans="1:9">
      <c r="A25" s="283">
        <v>23</v>
      </c>
      <c r="B25" s="284">
        <v>44401</v>
      </c>
      <c r="C25" s="285">
        <v>132.45575600000001</v>
      </c>
      <c r="D25" s="286">
        <v>123.30366529599279</v>
      </c>
      <c r="E25" s="285">
        <f t="shared" si="0"/>
        <v>123.30366529599279</v>
      </c>
      <c r="F25" s="295"/>
      <c r="G25" s="199" t="str">
        <f t="shared" si="1"/>
        <v/>
      </c>
      <c r="H25" s="287" t="str">
        <f t="shared" si="2"/>
        <v/>
      </c>
      <c r="I25" s="288"/>
    </row>
    <row r="26" spans="1:9">
      <c r="A26" s="283">
        <v>24</v>
      </c>
      <c r="B26" s="284">
        <v>44402</v>
      </c>
      <c r="C26" s="285">
        <v>99.539763999999991</v>
      </c>
      <c r="D26" s="286">
        <v>123.30366529599279</v>
      </c>
      <c r="E26" s="285">
        <f t="shared" si="0"/>
        <v>99.539763999999991</v>
      </c>
      <c r="F26" s="295"/>
      <c r="G26" s="199" t="str">
        <f t="shared" si="1"/>
        <v/>
      </c>
      <c r="H26" s="287" t="str">
        <f t="shared" si="2"/>
        <v/>
      </c>
      <c r="I26" s="288"/>
    </row>
    <row r="27" spans="1:9">
      <c r="A27" s="283">
        <v>25</v>
      </c>
      <c r="B27" s="284">
        <v>44403</v>
      </c>
      <c r="C27" s="285">
        <v>96.478289999999987</v>
      </c>
      <c r="D27" s="286">
        <v>123.30366529599279</v>
      </c>
      <c r="E27" s="285">
        <f t="shared" si="0"/>
        <v>96.478289999999987</v>
      </c>
      <c r="F27" s="295"/>
      <c r="G27" s="199" t="str">
        <f t="shared" si="1"/>
        <v/>
      </c>
      <c r="H27" s="287" t="str">
        <f t="shared" si="2"/>
        <v/>
      </c>
      <c r="I27" s="288"/>
    </row>
    <row r="28" spans="1:9">
      <c r="A28" s="283">
        <v>26</v>
      </c>
      <c r="B28" s="284">
        <v>44404</v>
      </c>
      <c r="C28" s="285">
        <v>97.796486999999999</v>
      </c>
      <c r="D28" s="286">
        <v>123.30366529599279</v>
      </c>
      <c r="E28" s="285">
        <f t="shared" si="0"/>
        <v>97.796486999999999</v>
      </c>
      <c r="F28" s="295"/>
      <c r="G28" s="199" t="str">
        <f t="shared" si="1"/>
        <v/>
      </c>
      <c r="H28" s="287" t="str">
        <f t="shared" si="2"/>
        <v/>
      </c>
      <c r="I28" s="288"/>
    </row>
    <row r="29" spans="1:9">
      <c r="A29" s="283">
        <v>27</v>
      </c>
      <c r="B29" s="284">
        <v>44405</v>
      </c>
      <c r="C29" s="285">
        <v>141.16972099999998</v>
      </c>
      <c r="D29" s="286">
        <v>123.30366529599279</v>
      </c>
      <c r="E29" s="285">
        <f t="shared" si="0"/>
        <v>123.30366529599279</v>
      </c>
      <c r="F29" s="295"/>
      <c r="G29" s="199" t="str">
        <f t="shared" si="1"/>
        <v/>
      </c>
      <c r="H29" s="287" t="str">
        <f t="shared" si="2"/>
        <v/>
      </c>
      <c r="I29" s="288"/>
    </row>
    <row r="30" spans="1:9">
      <c r="A30" s="283">
        <v>28</v>
      </c>
      <c r="B30" s="284">
        <v>44406</v>
      </c>
      <c r="C30" s="285">
        <v>126.49287799999999</v>
      </c>
      <c r="D30" s="286">
        <v>123.30366529599279</v>
      </c>
      <c r="E30" s="285">
        <f t="shared" si="0"/>
        <v>123.30366529599279</v>
      </c>
      <c r="F30" s="295"/>
      <c r="G30" s="199" t="str">
        <f t="shared" si="1"/>
        <v/>
      </c>
      <c r="H30" s="287" t="str">
        <f t="shared" si="2"/>
        <v/>
      </c>
      <c r="I30" s="288"/>
    </row>
    <row r="31" spans="1:9">
      <c r="A31" s="283">
        <v>29</v>
      </c>
      <c r="B31" s="284">
        <v>44407</v>
      </c>
      <c r="C31" s="285">
        <v>139.68551700000003</v>
      </c>
      <c r="D31" s="286">
        <v>123.30366529599279</v>
      </c>
      <c r="E31" s="285">
        <f t="shared" si="0"/>
        <v>123.30366529599279</v>
      </c>
      <c r="F31" s="295"/>
      <c r="G31" s="199" t="str">
        <f t="shared" si="1"/>
        <v/>
      </c>
      <c r="H31" s="287" t="str">
        <f t="shared" si="2"/>
        <v/>
      </c>
      <c r="I31" s="288"/>
    </row>
    <row r="32" spans="1:9">
      <c r="A32" s="283">
        <v>30</v>
      </c>
      <c r="B32" s="284">
        <v>44408</v>
      </c>
      <c r="C32" s="285">
        <v>231.39542799999998</v>
      </c>
      <c r="D32" s="286">
        <v>123.30366529599279</v>
      </c>
      <c r="E32" s="285">
        <f t="shared" si="0"/>
        <v>123.30366529599279</v>
      </c>
      <c r="F32" s="295"/>
      <c r="G32" s="199" t="str">
        <f t="shared" si="1"/>
        <v/>
      </c>
      <c r="H32" s="287" t="str">
        <f t="shared" si="2"/>
        <v/>
      </c>
      <c r="I32" s="288"/>
    </row>
    <row r="33" spans="1:9">
      <c r="A33" s="283">
        <v>31</v>
      </c>
      <c r="B33" s="284">
        <v>44409</v>
      </c>
      <c r="C33" s="285">
        <v>105.184585</v>
      </c>
      <c r="D33" s="286">
        <v>119.88721554736063</v>
      </c>
      <c r="E33" s="285">
        <f t="shared" si="0"/>
        <v>105.184585</v>
      </c>
      <c r="F33" s="288"/>
      <c r="G33" s="199" t="str">
        <f t="shared" si="1"/>
        <v/>
      </c>
      <c r="H33" s="287" t="str">
        <f t="shared" si="2"/>
        <v/>
      </c>
      <c r="I33" s="288"/>
    </row>
    <row r="34" spans="1:9">
      <c r="A34" s="283">
        <v>32</v>
      </c>
      <c r="B34" s="284">
        <v>44410</v>
      </c>
      <c r="C34" s="285">
        <v>65.451475000000002</v>
      </c>
      <c r="D34" s="286">
        <v>119.88721554736063</v>
      </c>
      <c r="E34" s="285">
        <f t="shared" si="0"/>
        <v>65.451475000000002</v>
      </c>
      <c r="F34" s="295"/>
      <c r="G34" s="199" t="str">
        <f t="shared" si="1"/>
        <v/>
      </c>
      <c r="H34" s="287" t="str">
        <f t="shared" si="2"/>
        <v/>
      </c>
      <c r="I34" s="288"/>
    </row>
    <row r="35" spans="1:9">
      <c r="A35" s="283">
        <v>33</v>
      </c>
      <c r="B35" s="284">
        <v>44411</v>
      </c>
      <c r="C35" s="285">
        <v>81.196016</v>
      </c>
      <c r="D35" s="286">
        <v>119.88721554736063</v>
      </c>
      <c r="E35" s="285">
        <f t="shared" si="0"/>
        <v>81.196016</v>
      </c>
      <c r="F35" s="295"/>
      <c r="G35" s="199" t="str">
        <f t="shared" si="1"/>
        <v/>
      </c>
      <c r="H35" s="287" t="str">
        <f t="shared" si="2"/>
        <v/>
      </c>
      <c r="I35" s="288"/>
    </row>
    <row r="36" spans="1:9">
      <c r="A36" s="283">
        <v>34</v>
      </c>
      <c r="B36" s="284">
        <v>44412</v>
      </c>
      <c r="C36" s="285">
        <v>117.95353299999999</v>
      </c>
      <c r="D36" s="286">
        <v>119.88721554736063</v>
      </c>
      <c r="E36" s="285">
        <f t="shared" si="0"/>
        <v>117.95353299999999</v>
      </c>
      <c r="F36" s="295"/>
      <c r="G36" s="199" t="str">
        <f t="shared" si="1"/>
        <v/>
      </c>
      <c r="H36" s="287" t="str">
        <f t="shared" si="2"/>
        <v/>
      </c>
      <c r="I36" s="288"/>
    </row>
    <row r="37" spans="1:9">
      <c r="A37" s="283">
        <v>35</v>
      </c>
      <c r="B37" s="284">
        <v>44413</v>
      </c>
      <c r="C37" s="285">
        <v>126.27573600000001</v>
      </c>
      <c r="D37" s="286">
        <v>119.88721554736063</v>
      </c>
      <c r="E37" s="285">
        <f t="shared" si="0"/>
        <v>119.88721554736063</v>
      </c>
      <c r="F37" s="295"/>
      <c r="G37" s="199" t="str">
        <f t="shared" si="1"/>
        <v/>
      </c>
      <c r="H37" s="287" t="str">
        <f t="shared" si="2"/>
        <v/>
      </c>
      <c r="I37" s="288"/>
    </row>
    <row r="38" spans="1:9">
      <c r="A38" s="283">
        <v>36</v>
      </c>
      <c r="B38" s="284">
        <v>44414</v>
      </c>
      <c r="C38" s="285">
        <v>136.36306099999999</v>
      </c>
      <c r="D38" s="286">
        <v>119.88721554736063</v>
      </c>
      <c r="E38" s="285">
        <f t="shared" si="0"/>
        <v>119.88721554736063</v>
      </c>
      <c r="F38" s="295"/>
      <c r="G38" s="199" t="str">
        <f t="shared" si="1"/>
        <v/>
      </c>
      <c r="H38" s="287" t="str">
        <f t="shared" si="2"/>
        <v/>
      </c>
      <c r="I38" s="288"/>
    </row>
    <row r="39" spans="1:9">
      <c r="A39" s="283">
        <v>37</v>
      </c>
      <c r="B39" s="284">
        <v>44415</v>
      </c>
      <c r="C39" s="285">
        <v>161.55542399999999</v>
      </c>
      <c r="D39" s="286">
        <v>119.88721554736063</v>
      </c>
      <c r="E39" s="285">
        <f t="shared" si="0"/>
        <v>119.88721554736063</v>
      </c>
      <c r="F39" s="295"/>
      <c r="G39" s="199" t="str">
        <f t="shared" si="1"/>
        <v/>
      </c>
      <c r="H39" s="287" t="str">
        <f t="shared" si="2"/>
        <v/>
      </c>
      <c r="I39" s="288"/>
    </row>
    <row r="40" spans="1:9">
      <c r="A40" s="283">
        <v>38</v>
      </c>
      <c r="B40" s="284">
        <v>44416</v>
      </c>
      <c r="C40" s="285">
        <v>90.905316999999997</v>
      </c>
      <c r="D40" s="286">
        <v>119.88721554736063</v>
      </c>
      <c r="E40" s="285">
        <f t="shared" si="0"/>
        <v>90.905316999999997</v>
      </c>
      <c r="F40" s="295"/>
      <c r="G40" s="199" t="str">
        <f t="shared" si="1"/>
        <v/>
      </c>
      <c r="H40" s="287" t="str">
        <f t="shared" si="2"/>
        <v/>
      </c>
      <c r="I40" s="288"/>
    </row>
    <row r="41" spans="1:9">
      <c r="A41" s="283">
        <v>39</v>
      </c>
      <c r="B41" s="284">
        <v>44417</v>
      </c>
      <c r="C41" s="285">
        <v>83.163594000000003</v>
      </c>
      <c r="D41" s="286">
        <v>119.88721554736063</v>
      </c>
      <c r="E41" s="285">
        <f t="shared" si="0"/>
        <v>83.163594000000003</v>
      </c>
      <c r="F41" s="295"/>
      <c r="G41" s="199" t="str">
        <f t="shared" si="1"/>
        <v/>
      </c>
      <c r="H41" s="287" t="str">
        <f t="shared" si="2"/>
        <v/>
      </c>
      <c r="I41" s="288"/>
    </row>
    <row r="42" spans="1:9">
      <c r="A42" s="283">
        <v>40</v>
      </c>
      <c r="B42" s="284">
        <v>44418</v>
      </c>
      <c r="C42" s="285">
        <v>63.677168999999999</v>
      </c>
      <c r="D42" s="286">
        <v>119.88721554736063</v>
      </c>
      <c r="E42" s="285">
        <f t="shared" si="0"/>
        <v>63.677168999999999</v>
      </c>
      <c r="F42" s="295"/>
      <c r="G42" s="199" t="str">
        <f t="shared" si="1"/>
        <v/>
      </c>
      <c r="H42" s="287" t="str">
        <f t="shared" si="2"/>
        <v/>
      </c>
      <c r="I42" s="288"/>
    </row>
    <row r="43" spans="1:9">
      <c r="A43" s="283">
        <v>41</v>
      </c>
      <c r="B43" s="284">
        <v>44419</v>
      </c>
      <c r="C43" s="285">
        <v>70.815585999999996</v>
      </c>
      <c r="D43" s="286">
        <v>119.88721554736063</v>
      </c>
      <c r="E43" s="285">
        <f t="shared" si="0"/>
        <v>70.815585999999996</v>
      </c>
      <c r="F43" s="295"/>
      <c r="G43" s="199" t="str">
        <f t="shared" si="1"/>
        <v/>
      </c>
      <c r="H43" s="287" t="str">
        <f t="shared" si="2"/>
        <v/>
      </c>
      <c r="I43" s="288"/>
    </row>
    <row r="44" spans="1:9">
      <c r="A44" s="283">
        <v>42</v>
      </c>
      <c r="B44" s="284">
        <v>44420</v>
      </c>
      <c r="C44" s="285">
        <v>105.13843500000002</v>
      </c>
      <c r="D44" s="286">
        <v>119.88721554736063</v>
      </c>
      <c r="E44" s="285">
        <f t="shared" si="0"/>
        <v>105.13843500000002</v>
      </c>
      <c r="F44" s="295"/>
      <c r="G44" s="199" t="str">
        <f t="shared" si="1"/>
        <v/>
      </c>
      <c r="H44" s="287" t="str">
        <f t="shared" si="2"/>
        <v/>
      </c>
      <c r="I44" s="288"/>
    </row>
    <row r="45" spans="1:9">
      <c r="A45" s="283">
        <v>43</v>
      </c>
      <c r="B45" s="284">
        <v>44421</v>
      </c>
      <c r="C45" s="285">
        <v>77.891987</v>
      </c>
      <c r="D45" s="286">
        <v>119.88721554736063</v>
      </c>
      <c r="E45" s="285">
        <f t="shared" si="0"/>
        <v>77.891987</v>
      </c>
      <c r="F45" s="295"/>
      <c r="G45" s="199" t="str">
        <f t="shared" si="1"/>
        <v/>
      </c>
      <c r="H45" s="287" t="str">
        <f t="shared" si="2"/>
        <v/>
      </c>
      <c r="I45" s="288"/>
    </row>
    <row r="46" spans="1:9">
      <c r="A46" s="283">
        <v>44</v>
      </c>
      <c r="B46" s="284">
        <v>44422</v>
      </c>
      <c r="C46" s="285">
        <v>88.146130999999997</v>
      </c>
      <c r="D46" s="286">
        <v>119.88721554736063</v>
      </c>
      <c r="E46" s="285">
        <f t="shared" si="0"/>
        <v>88.146130999999997</v>
      </c>
      <c r="F46" s="295"/>
      <c r="G46" s="199" t="str">
        <f t="shared" si="1"/>
        <v/>
      </c>
      <c r="H46" s="287" t="str">
        <f t="shared" si="2"/>
        <v/>
      </c>
      <c r="I46" s="288"/>
    </row>
    <row r="47" spans="1:9">
      <c r="A47" s="283">
        <v>45</v>
      </c>
      <c r="B47" s="284">
        <v>44423</v>
      </c>
      <c r="C47" s="285">
        <v>135.29221699999999</v>
      </c>
      <c r="D47" s="286">
        <v>119.88721554736063</v>
      </c>
      <c r="E47" s="285">
        <f t="shared" si="0"/>
        <v>119.88721554736063</v>
      </c>
      <c r="F47" s="295"/>
      <c r="G47" s="199" t="str">
        <f t="shared" si="1"/>
        <v>A</v>
      </c>
      <c r="H47" s="287" t="str">
        <f t="shared" si="2"/>
        <v>119,9</v>
      </c>
      <c r="I47" s="288"/>
    </row>
    <row r="48" spans="1:9">
      <c r="A48" s="283">
        <v>46</v>
      </c>
      <c r="B48" s="284">
        <v>44424</v>
      </c>
      <c r="C48" s="285">
        <v>245.59370000000001</v>
      </c>
      <c r="D48" s="286">
        <v>119.88721554736063</v>
      </c>
      <c r="E48" s="285">
        <f t="shared" si="0"/>
        <v>119.88721554736063</v>
      </c>
      <c r="F48" s="295"/>
      <c r="G48" s="199" t="str">
        <f t="shared" si="1"/>
        <v/>
      </c>
      <c r="H48" s="287" t="str">
        <f t="shared" si="2"/>
        <v/>
      </c>
      <c r="I48" s="288"/>
    </row>
    <row r="49" spans="1:9">
      <c r="A49" s="283">
        <v>47</v>
      </c>
      <c r="B49" s="284">
        <v>44425</v>
      </c>
      <c r="C49" s="285">
        <v>264.10150699999997</v>
      </c>
      <c r="D49" s="286">
        <v>119.88721554736063</v>
      </c>
      <c r="E49" s="285">
        <f t="shared" si="0"/>
        <v>119.88721554736063</v>
      </c>
      <c r="F49" s="295"/>
      <c r="G49" s="199" t="str">
        <f t="shared" si="1"/>
        <v/>
      </c>
      <c r="H49" s="287" t="str">
        <f t="shared" si="2"/>
        <v/>
      </c>
      <c r="I49" s="288"/>
    </row>
    <row r="50" spans="1:9">
      <c r="A50" s="283">
        <v>48</v>
      </c>
      <c r="B50" s="284">
        <v>44426</v>
      </c>
      <c r="C50" s="285">
        <v>194.31456600000001</v>
      </c>
      <c r="D50" s="286">
        <v>119.88721554736063</v>
      </c>
      <c r="E50" s="285">
        <f t="shared" si="0"/>
        <v>119.88721554736063</v>
      </c>
      <c r="F50" s="295"/>
      <c r="G50" s="199" t="str">
        <f t="shared" si="1"/>
        <v/>
      </c>
      <c r="H50" s="287" t="str">
        <f t="shared" si="2"/>
        <v/>
      </c>
      <c r="I50" s="288"/>
    </row>
    <row r="51" spans="1:9">
      <c r="A51" s="283">
        <v>49</v>
      </c>
      <c r="B51" s="284">
        <v>44427</v>
      </c>
      <c r="C51" s="285">
        <v>100.869519</v>
      </c>
      <c r="D51" s="286">
        <v>119.88721554736063</v>
      </c>
      <c r="E51" s="285">
        <f t="shared" si="0"/>
        <v>100.869519</v>
      </c>
      <c r="F51" s="295"/>
      <c r="G51" s="199" t="str">
        <f t="shared" si="1"/>
        <v/>
      </c>
      <c r="H51" s="287" t="str">
        <f t="shared" si="2"/>
        <v/>
      </c>
      <c r="I51" s="288"/>
    </row>
    <row r="52" spans="1:9">
      <c r="A52" s="283">
        <v>50</v>
      </c>
      <c r="B52" s="284">
        <v>44428</v>
      </c>
      <c r="C52" s="285">
        <v>70.188290999999992</v>
      </c>
      <c r="D52" s="286">
        <v>119.88721554736063</v>
      </c>
      <c r="E52" s="285">
        <f t="shared" si="0"/>
        <v>70.188290999999992</v>
      </c>
      <c r="F52" s="295"/>
      <c r="G52" s="199" t="str">
        <f t="shared" si="1"/>
        <v/>
      </c>
      <c r="H52" s="287" t="str">
        <f t="shared" si="2"/>
        <v/>
      </c>
      <c r="I52" s="288"/>
    </row>
    <row r="53" spans="1:9">
      <c r="A53" s="283">
        <v>51</v>
      </c>
      <c r="B53" s="284">
        <v>44429</v>
      </c>
      <c r="C53" s="285">
        <v>75.149498000000008</v>
      </c>
      <c r="D53" s="286">
        <v>119.88721554736063</v>
      </c>
      <c r="E53" s="285">
        <f t="shared" si="0"/>
        <v>75.149498000000008</v>
      </c>
      <c r="F53" s="295"/>
      <c r="G53" s="199" t="str">
        <f t="shared" si="1"/>
        <v/>
      </c>
      <c r="H53" s="287" t="str">
        <f t="shared" si="2"/>
        <v/>
      </c>
      <c r="I53" s="288"/>
    </row>
    <row r="54" spans="1:9">
      <c r="A54" s="283">
        <v>52</v>
      </c>
      <c r="B54" s="284">
        <v>44430</v>
      </c>
      <c r="C54" s="285">
        <v>136.277231</v>
      </c>
      <c r="D54" s="286">
        <v>119.88721554736063</v>
      </c>
      <c r="E54" s="285">
        <f t="shared" si="0"/>
        <v>119.88721554736063</v>
      </c>
      <c r="F54" s="295"/>
      <c r="G54" s="199" t="str">
        <f t="shared" si="1"/>
        <v/>
      </c>
      <c r="H54" s="287" t="str">
        <f t="shared" si="2"/>
        <v/>
      </c>
      <c r="I54" s="288"/>
    </row>
    <row r="55" spans="1:9">
      <c r="A55" s="283">
        <v>53</v>
      </c>
      <c r="B55" s="284">
        <v>44431</v>
      </c>
      <c r="C55" s="285">
        <v>225.98200699999998</v>
      </c>
      <c r="D55" s="286">
        <v>119.88721554736063</v>
      </c>
      <c r="E55" s="285">
        <f t="shared" si="0"/>
        <v>119.88721554736063</v>
      </c>
      <c r="F55" s="295"/>
      <c r="G55" s="199" t="str">
        <f t="shared" si="1"/>
        <v/>
      </c>
      <c r="H55" s="287" t="str">
        <f t="shared" si="2"/>
        <v/>
      </c>
      <c r="I55" s="288"/>
    </row>
    <row r="56" spans="1:9">
      <c r="A56" s="283">
        <v>54</v>
      </c>
      <c r="B56" s="284">
        <v>44432</v>
      </c>
      <c r="C56" s="285">
        <v>200.105333</v>
      </c>
      <c r="D56" s="286">
        <v>119.88721554736063</v>
      </c>
      <c r="E56" s="285">
        <f t="shared" si="0"/>
        <v>119.88721554736063</v>
      </c>
      <c r="F56" s="295"/>
      <c r="G56" s="199" t="str">
        <f t="shared" si="1"/>
        <v/>
      </c>
      <c r="H56" s="287" t="str">
        <f t="shared" si="2"/>
        <v/>
      </c>
      <c r="I56" s="288"/>
    </row>
    <row r="57" spans="1:9">
      <c r="A57" s="283">
        <v>55</v>
      </c>
      <c r="B57" s="284">
        <v>44433</v>
      </c>
      <c r="C57" s="285">
        <v>84.59216099999999</v>
      </c>
      <c r="D57" s="286">
        <v>119.88721554736063</v>
      </c>
      <c r="E57" s="285">
        <f t="shared" si="0"/>
        <v>84.59216099999999</v>
      </c>
      <c r="F57" s="295"/>
      <c r="G57" s="199" t="str">
        <f t="shared" si="1"/>
        <v/>
      </c>
      <c r="H57" s="287" t="str">
        <f t="shared" si="2"/>
        <v/>
      </c>
      <c r="I57" s="288"/>
    </row>
    <row r="58" spans="1:9">
      <c r="A58" s="283">
        <v>56</v>
      </c>
      <c r="B58" s="284">
        <v>44434</v>
      </c>
      <c r="C58" s="285">
        <v>43.372470999999997</v>
      </c>
      <c r="D58" s="286">
        <v>119.88721554736063</v>
      </c>
      <c r="E58" s="285">
        <f t="shared" si="0"/>
        <v>43.372470999999997</v>
      </c>
      <c r="F58" s="295"/>
      <c r="G58" s="199" t="str">
        <f t="shared" si="1"/>
        <v/>
      </c>
      <c r="H58" s="287" t="str">
        <f t="shared" si="2"/>
        <v/>
      </c>
      <c r="I58" s="288"/>
    </row>
    <row r="59" spans="1:9">
      <c r="A59" s="283">
        <v>57</v>
      </c>
      <c r="B59" s="284">
        <v>44435</v>
      </c>
      <c r="C59" s="285">
        <v>80.783937999999992</v>
      </c>
      <c r="D59" s="286">
        <v>119.88721554736063</v>
      </c>
      <c r="E59" s="285">
        <f t="shared" si="0"/>
        <v>80.783937999999992</v>
      </c>
      <c r="F59" s="295"/>
      <c r="G59" s="199" t="str">
        <f t="shared" si="1"/>
        <v/>
      </c>
      <c r="H59" s="287" t="str">
        <f t="shared" si="2"/>
        <v/>
      </c>
      <c r="I59" s="288"/>
    </row>
    <row r="60" spans="1:9">
      <c r="A60" s="283">
        <v>58</v>
      </c>
      <c r="B60" s="284">
        <v>44436</v>
      </c>
      <c r="C60" s="285">
        <v>164.18552199999999</v>
      </c>
      <c r="D60" s="286">
        <v>119.88721554736063</v>
      </c>
      <c r="E60" s="285">
        <f t="shared" si="0"/>
        <v>119.88721554736063</v>
      </c>
      <c r="F60" s="295"/>
      <c r="G60" s="199" t="str">
        <f t="shared" si="1"/>
        <v/>
      </c>
      <c r="H60" s="287" t="str">
        <f t="shared" si="2"/>
        <v/>
      </c>
      <c r="I60" s="288"/>
    </row>
    <row r="61" spans="1:9">
      <c r="A61" s="283">
        <v>59</v>
      </c>
      <c r="B61" s="284">
        <v>44437</v>
      </c>
      <c r="C61" s="285">
        <v>107.689087</v>
      </c>
      <c r="D61" s="286">
        <v>119.88721554736063</v>
      </c>
      <c r="E61" s="285">
        <f t="shared" si="0"/>
        <v>107.689087</v>
      </c>
      <c r="F61" s="295"/>
      <c r="G61" s="199" t="str">
        <f t="shared" si="1"/>
        <v/>
      </c>
      <c r="H61" s="287" t="str">
        <f t="shared" si="2"/>
        <v/>
      </c>
      <c r="I61" s="288"/>
    </row>
    <row r="62" spans="1:9">
      <c r="A62" s="283">
        <v>60</v>
      </c>
      <c r="B62" s="284">
        <v>44438</v>
      </c>
      <c r="C62" s="285">
        <v>70.608243999999999</v>
      </c>
      <c r="D62" s="286">
        <v>119.88721554736063</v>
      </c>
      <c r="E62" s="285">
        <f t="shared" si="0"/>
        <v>70.608243999999999</v>
      </c>
      <c r="F62" s="295"/>
      <c r="G62" s="199" t="str">
        <f t="shared" si="1"/>
        <v/>
      </c>
      <c r="H62" s="287" t="str">
        <f t="shared" si="2"/>
        <v/>
      </c>
      <c r="I62" s="288"/>
    </row>
    <row r="63" spans="1:9">
      <c r="A63" s="283">
        <v>61</v>
      </c>
      <c r="B63" s="284">
        <v>44439</v>
      </c>
      <c r="C63" s="285">
        <v>79.501566000000011</v>
      </c>
      <c r="D63" s="286">
        <v>119.88721554736063</v>
      </c>
      <c r="E63" s="285">
        <f t="shared" si="0"/>
        <v>79.501566000000011</v>
      </c>
      <c r="F63" s="288"/>
      <c r="G63" s="199" t="str">
        <f t="shared" si="1"/>
        <v/>
      </c>
      <c r="H63" s="287" t="str">
        <f t="shared" si="2"/>
        <v/>
      </c>
      <c r="I63" s="288"/>
    </row>
    <row r="64" spans="1:9">
      <c r="A64" s="283">
        <v>62</v>
      </c>
      <c r="B64" s="284">
        <v>44440</v>
      </c>
      <c r="C64" s="285">
        <v>106.17876099999999</v>
      </c>
      <c r="D64" s="286">
        <v>117.97935252465646</v>
      </c>
      <c r="E64" s="285">
        <f t="shared" si="0"/>
        <v>106.17876099999999</v>
      </c>
      <c r="F64" s="295"/>
      <c r="G64" s="199" t="str">
        <f t="shared" si="1"/>
        <v/>
      </c>
      <c r="H64" s="287" t="str">
        <f t="shared" si="2"/>
        <v/>
      </c>
      <c r="I64" s="288"/>
    </row>
    <row r="65" spans="1:9">
      <c r="A65" s="283">
        <v>63</v>
      </c>
      <c r="B65" s="284">
        <v>44441</v>
      </c>
      <c r="C65" s="285">
        <v>31.283776000000003</v>
      </c>
      <c r="D65" s="286">
        <v>117.97935252465646</v>
      </c>
      <c r="E65" s="285">
        <f t="shared" si="0"/>
        <v>31.283776000000003</v>
      </c>
      <c r="F65" s="295"/>
      <c r="G65" s="199" t="str">
        <f t="shared" si="1"/>
        <v/>
      </c>
      <c r="H65" s="287" t="str">
        <f t="shared" si="2"/>
        <v/>
      </c>
      <c r="I65" s="288"/>
    </row>
    <row r="66" spans="1:9">
      <c r="A66" s="283">
        <v>64</v>
      </c>
      <c r="B66" s="284">
        <v>44442</v>
      </c>
      <c r="C66" s="285">
        <v>18.009798</v>
      </c>
      <c r="D66" s="286">
        <v>117.97935252465646</v>
      </c>
      <c r="E66" s="285">
        <f t="shared" si="0"/>
        <v>18.009798</v>
      </c>
      <c r="F66" s="295"/>
      <c r="G66" s="199" t="str">
        <f t="shared" si="1"/>
        <v/>
      </c>
      <c r="H66" s="287" t="str">
        <f t="shared" si="2"/>
        <v/>
      </c>
      <c r="I66" s="288"/>
    </row>
    <row r="67" spans="1:9">
      <c r="A67" s="283">
        <v>65</v>
      </c>
      <c r="B67" s="284">
        <v>44443</v>
      </c>
      <c r="C67" s="285">
        <v>30.801286000000001</v>
      </c>
      <c r="D67" s="286">
        <v>117.97935252465646</v>
      </c>
      <c r="E67" s="285">
        <f t="shared" ref="E67:E130" si="3">IF(C67&gt;D67,D67,C67)</f>
        <v>30.801286000000001</v>
      </c>
      <c r="F67" s="295"/>
      <c r="G67" s="199" t="str">
        <f t="shared" ref="G67:G130" si="4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287" t="str">
        <f t="shared" ref="H67:H130" si="5">IF(DAY($B67)=15,TEXT(D67,"#,0"),"")</f>
        <v/>
      </c>
      <c r="I67" s="288"/>
    </row>
    <row r="68" spans="1:9">
      <c r="A68" s="283">
        <v>66</v>
      </c>
      <c r="B68" s="284">
        <v>44444</v>
      </c>
      <c r="C68" s="285">
        <v>76.818422999999996</v>
      </c>
      <c r="D68" s="286">
        <v>117.97935252465646</v>
      </c>
      <c r="E68" s="285">
        <f t="shared" si="3"/>
        <v>76.818422999999996</v>
      </c>
      <c r="F68" s="295"/>
      <c r="G68" s="199" t="str">
        <f t="shared" si="4"/>
        <v/>
      </c>
      <c r="H68" s="287" t="str">
        <f t="shared" si="5"/>
        <v/>
      </c>
      <c r="I68" s="288"/>
    </row>
    <row r="69" spans="1:9">
      <c r="A69" s="283">
        <v>67</v>
      </c>
      <c r="B69" s="284">
        <v>44445</v>
      </c>
      <c r="C69" s="285">
        <v>139.00310899999999</v>
      </c>
      <c r="D69" s="286">
        <v>117.97935252465646</v>
      </c>
      <c r="E69" s="285">
        <f t="shared" si="3"/>
        <v>117.97935252465646</v>
      </c>
      <c r="F69" s="295"/>
      <c r="G69" s="199" t="str">
        <f t="shared" si="4"/>
        <v/>
      </c>
      <c r="H69" s="287" t="str">
        <f t="shared" si="5"/>
        <v/>
      </c>
      <c r="I69" s="288"/>
    </row>
    <row r="70" spans="1:9">
      <c r="A70" s="283">
        <v>68</v>
      </c>
      <c r="B70" s="284">
        <v>44446</v>
      </c>
      <c r="C70" s="285">
        <v>224.04742100000001</v>
      </c>
      <c r="D70" s="286">
        <v>117.97935252465646</v>
      </c>
      <c r="E70" s="285">
        <f t="shared" si="3"/>
        <v>117.97935252465646</v>
      </c>
      <c r="F70" s="295"/>
      <c r="G70" s="199" t="str">
        <f t="shared" si="4"/>
        <v/>
      </c>
      <c r="H70" s="287" t="str">
        <f t="shared" si="5"/>
        <v/>
      </c>
      <c r="I70" s="288"/>
    </row>
    <row r="71" spans="1:9">
      <c r="A71" s="283">
        <v>69</v>
      </c>
      <c r="B71" s="284">
        <v>44447</v>
      </c>
      <c r="C71" s="285">
        <v>131.33592899999999</v>
      </c>
      <c r="D71" s="286">
        <v>117.97935252465646</v>
      </c>
      <c r="E71" s="285">
        <f t="shared" si="3"/>
        <v>117.97935252465646</v>
      </c>
      <c r="F71" s="295"/>
      <c r="G71" s="199" t="str">
        <f t="shared" si="4"/>
        <v/>
      </c>
      <c r="H71" s="287" t="str">
        <f t="shared" si="5"/>
        <v/>
      </c>
      <c r="I71" s="288"/>
    </row>
    <row r="72" spans="1:9">
      <c r="A72" s="283">
        <v>70</v>
      </c>
      <c r="B72" s="284">
        <v>44448</v>
      </c>
      <c r="C72" s="285">
        <v>116.04786800000001</v>
      </c>
      <c r="D72" s="286">
        <v>117.97935252465646</v>
      </c>
      <c r="E72" s="285">
        <f t="shared" si="3"/>
        <v>116.04786800000001</v>
      </c>
      <c r="F72" s="295"/>
      <c r="G72" s="199" t="str">
        <f t="shared" si="4"/>
        <v/>
      </c>
      <c r="H72" s="287" t="str">
        <f t="shared" si="5"/>
        <v/>
      </c>
      <c r="I72" s="288"/>
    </row>
    <row r="73" spans="1:9">
      <c r="A73" s="283">
        <v>71</v>
      </c>
      <c r="B73" s="284">
        <v>44449</v>
      </c>
      <c r="C73" s="285">
        <v>65.756388000000001</v>
      </c>
      <c r="D73" s="286">
        <v>117.97935252465646</v>
      </c>
      <c r="E73" s="285">
        <f t="shared" si="3"/>
        <v>65.756388000000001</v>
      </c>
      <c r="F73" s="295"/>
      <c r="G73" s="199" t="str">
        <f t="shared" si="4"/>
        <v/>
      </c>
      <c r="H73" s="287" t="str">
        <f t="shared" si="5"/>
        <v/>
      </c>
      <c r="I73" s="288"/>
    </row>
    <row r="74" spans="1:9">
      <c r="A74" s="283">
        <v>72</v>
      </c>
      <c r="B74" s="284">
        <v>44450</v>
      </c>
      <c r="C74" s="285">
        <v>33.642375999999999</v>
      </c>
      <c r="D74" s="286">
        <v>117.97935252465646</v>
      </c>
      <c r="E74" s="285">
        <f t="shared" si="3"/>
        <v>33.642375999999999</v>
      </c>
      <c r="F74" s="295"/>
      <c r="G74" s="199" t="str">
        <f t="shared" si="4"/>
        <v/>
      </c>
      <c r="H74" s="287" t="str">
        <f t="shared" si="5"/>
        <v/>
      </c>
      <c r="I74" s="288"/>
    </row>
    <row r="75" spans="1:9">
      <c r="A75" s="283">
        <v>73</v>
      </c>
      <c r="B75" s="284">
        <v>44451</v>
      </c>
      <c r="C75" s="285">
        <v>46.564877000000003</v>
      </c>
      <c r="D75" s="286">
        <v>117.97935252465646</v>
      </c>
      <c r="E75" s="285">
        <f t="shared" si="3"/>
        <v>46.564877000000003</v>
      </c>
      <c r="F75" s="295"/>
      <c r="G75" s="199" t="str">
        <f t="shared" si="4"/>
        <v/>
      </c>
      <c r="H75" s="287" t="str">
        <f t="shared" si="5"/>
        <v/>
      </c>
      <c r="I75" s="288"/>
    </row>
    <row r="76" spans="1:9">
      <c r="A76" s="283">
        <v>74</v>
      </c>
      <c r="B76" s="284">
        <v>44452</v>
      </c>
      <c r="C76" s="285">
        <v>152.68408700000001</v>
      </c>
      <c r="D76" s="286">
        <v>117.97935252465646</v>
      </c>
      <c r="E76" s="285">
        <f t="shared" si="3"/>
        <v>117.97935252465646</v>
      </c>
      <c r="F76" s="295"/>
      <c r="G76" s="199" t="str">
        <f t="shared" si="4"/>
        <v/>
      </c>
      <c r="H76" s="287" t="str">
        <f t="shared" si="5"/>
        <v/>
      </c>
      <c r="I76" s="288"/>
    </row>
    <row r="77" spans="1:9">
      <c r="A77" s="283">
        <v>75</v>
      </c>
      <c r="B77" s="284">
        <v>44453</v>
      </c>
      <c r="C77" s="285">
        <v>117.793465</v>
      </c>
      <c r="D77" s="286">
        <v>117.97935252465646</v>
      </c>
      <c r="E77" s="285">
        <f t="shared" si="3"/>
        <v>117.793465</v>
      </c>
      <c r="F77" s="295"/>
      <c r="G77" s="199" t="str">
        <f t="shared" si="4"/>
        <v/>
      </c>
      <c r="H77" s="287" t="str">
        <f t="shared" si="5"/>
        <v/>
      </c>
      <c r="I77" s="288"/>
    </row>
    <row r="78" spans="1:9">
      <c r="A78" s="283">
        <v>76</v>
      </c>
      <c r="B78" s="284">
        <v>44454</v>
      </c>
      <c r="C78" s="285">
        <v>45.131029000000005</v>
      </c>
      <c r="D78" s="286">
        <v>117.97935252465646</v>
      </c>
      <c r="E78" s="285">
        <f t="shared" si="3"/>
        <v>45.131029000000005</v>
      </c>
      <c r="F78" s="295"/>
      <c r="G78" s="199" t="str">
        <f t="shared" si="4"/>
        <v>S</v>
      </c>
      <c r="H78" s="287" t="str">
        <f t="shared" si="5"/>
        <v>118,0</v>
      </c>
      <c r="I78" s="288"/>
    </row>
    <row r="79" spans="1:9">
      <c r="A79" s="283">
        <v>77</v>
      </c>
      <c r="B79" s="284">
        <v>44455</v>
      </c>
      <c r="C79" s="285">
        <v>82.342123000000001</v>
      </c>
      <c r="D79" s="286">
        <v>117.97935252465646</v>
      </c>
      <c r="E79" s="285">
        <f t="shared" si="3"/>
        <v>82.342123000000001</v>
      </c>
      <c r="F79" s="295"/>
      <c r="G79" s="199" t="str">
        <f t="shared" si="4"/>
        <v/>
      </c>
      <c r="H79" s="287" t="str">
        <f t="shared" si="5"/>
        <v/>
      </c>
      <c r="I79" s="288"/>
    </row>
    <row r="80" spans="1:9">
      <c r="A80" s="283">
        <v>78</v>
      </c>
      <c r="B80" s="284">
        <v>44456</v>
      </c>
      <c r="C80" s="285">
        <v>51.168244000000008</v>
      </c>
      <c r="D80" s="286">
        <v>117.97935252465646</v>
      </c>
      <c r="E80" s="285">
        <f t="shared" si="3"/>
        <v>51.168244000000008</v>
      </c>
      <c r="F80" s="295"/>
      <c r="G80" s="199" t="str">
        <f t="shared" si="4"/>
        <v/>
      </c>
      <c r="H80" s="287" t="str">
        <f t="shared" si="5"/>
        <v/>
      </c>
      <c r="I80" s="288"/>
    </row>
    <row r="81" spans="1:9">
      <c r="A81" s="283">
        <v>79</v>
      </c>
      <c r="B81" s="284">
        <v>44457</v>
      </c>
      <c r="C81" s="285">
        <v>108.26396200000001</v>
      </c>
      <c r="D81" s="286">
        <v>117.97935252465646</v>
      </c>
      <c r="E81" s="285">
        <f t="shared" si="3"/>
        <v>108.26396200000001</v>
      </c>
      <c r="F81" s="295"/>
      <c r="G81" s="199" t="str">
        <f t="shared" si="4"/>
        <v/>
      </c>
      <c r="H81" s="287" t="str">
        <f t="shared" si="5"/>
        <v/>
      </c>
      <c r="I81" s="288"/>
    </row>
    <row r="82" spans="1:9">
      <c r="A82" s="283">
        <v>80</v>
      </c>
      <c r="B82" s="284">
        <v>44458</v>
      </c>
      <c r="C82" s="285">
        <v>91.990882999999997</v>
      </c>
      <c r="D82" s="286">
        <v>117.97935252465646</v>
      </c>
      <c r="E82" s="285">
        <f t="shared" si="3"/>
        <v>91.990882999999997</v>
      </c>
      <c r="F82" s="295"/>
      <c r="G82" s="199" t="str">
        <f t="shared" si="4"/>
        <v/>
      </c>
      <c r="H82" s="287" t="str">
        <f t="shared" si="5"/>
        <v/>
      </c>
      <c r="I82" s="288"/>
    </row>
    <row r="83" spans="1:9">
      <c r="A83" s="283">
        <v>81</v>
      </c>
      <c r="B83" s="284">
        <v>44459</v>
      </c>
      <c r="C83" s="285">
        <v>196.96962100000002</v>
      </c>
      <c r="D83" s="286">
        <v>117.97935252465646</v>
      </c>
      <c r="E83" s="285">
        <f t="shared" si="3"/>
        <v>117.97935252465646</v>
      </c>
      <c r="F83" s="295"/>
      <c r="G83" s="199" t="str">
        <f t="shared" si="4"/>
        <v/>
      </c>
      <c r="H83" s="287" t="str">
        <f t="shared" si="5"/>
        <v/>
      </c>
      <c r="I83" s="288"/>
    </row>
    <row r="84" spans="1:9">
      <c r="A84" s="283">
        <v>82</v>
      </c>
      <c r="B84" s="284">
        <v>44460</v>
      </c>
      <c r="C84" s="285">
        <v>221.25798699999999</v>
      </c>
      <c r="D84" s="286">
        <v>117.97935252465646</v>
      </c>
      <c r="E84" s="285">
        <f t="shared" si="3"/>
        <v>117.97935252465646</v>
      </c>
      <c r="F84" s="295"/>
      <c r="G84" s="199" t="str">
        <f t="shared" si="4"/>
        <v/>
      </c>
      <c r="H84" s="287" t="str">
        <f t="shared" si="5"/>
        <v/>
      </c>
      <c r="I84" s="288"/>
    </row>
    <row r="85" spans="1:9">
      <c r="A85" s="283">
        <v>83</v>
      </c>
      <c r="B85" s="284">
        <v>44461</v>
      </c>
      <c r="C85" s="285">
        <v>154.246115</v>
      </c>
      <c r="D85" s="286">
        <v>117.97935252465646</v>
      </c>
      <c r="E85" s="285">
        <f t="shared" si="3"/>
        <v>117.97935252465646</v>
      </c>
      <c r="F85" s="295"/>
      <c r="G85" s="199" t="str">
        <f t="shared" si="4"/>
        <v/>
      </c>
      <c r="H85" s="287" t="str">
        <f t="shared" si="5"/>
        <v/>
      </c>
      <c r="I85" s="288"/>
    </row>
    <row r="86" spans="1:9">
      <c r="A86" s="283">
        <v>84</v>
      </c>
      <c r="B86" s="284">
        <v>44462</v>
      </c>
      <c r="C86" s="285">
        <v>208.75555300000002</v>
      </c>
      <c r="D86" s="286">
        <v>117.97935252465646</v>
      </c>
      <c r="E86" s="285">
        <f t="shared" si="3"/>
        <v>117.97935252465646</v>
      </c>
      <c r="F86" s="295"/>
      <c r="G86" s="199" t="str">
        <f t="shared" si="4"/>
        <v/>
      </c>
      <c r="H86" s="287" t="str">
        <f t="shared" si="5"/>
        <v/>
      </c>
      <c r="I86" s="288"/>
    </row>
    <row r="87" spans="1:9">
      <c r="A87" s="283">
        <v>85</v>
      </c>
      <c r="B87" s="284">
        <v>44463</v>
      </c>
      <c r="C87" s="285">
        <v>120.70046499999999</v>
      </c>
      <c r="D87" s="286">
        <v>117.97935252465646</v>
      </c>
      <c r="E87" s="285">
        <f t="shared" si="3"/>
        <v>117.97935252465646</v>
      </c>
      <c r="F87" s="295"/>
      <c r="G87" s="199" t="str">
        <f t="shared" si="4"/>
        <v/>
      </c>
      <c r="H87" s="287" t="str">
        <f t="shared" si="5"/>
        <v/>
      </c>
      <c r="I87" s="288"/>
    </row>
    <row r="88" spans="1:9">
      <c r="A88" s="283">
        <v>86</v>
      </c>
      <c r="B88" s="284">
        <v>44464</v>
      </c>
      <c r="C88" s="285">
        <v>118.211063</v>
      </c>
      <c r="D88" s="286">
        <v>117.97935252465646</v>
      </c>
      <c r="E88" s="285">
        <f t="shared" si="3"/>
        <v>117.97935252465646</v>
      </c>
      <c r="F88" s="295"/>
      <c r="G88" s="199" t="str">
        <f t="shared" si="4"/>
        <v/>
      </c>
      <c r="H88" s="287" t="str">
        <f t="shared" si="5"/>
        <v/>
      </c>
      <c r="I88" s="288"/>
    </row>
    <row r="89" spans="1:9">
      <c r="A89" s="283">
        <v>87</v>
      </c>
      <c r="B89" s="284">
        <v>44465</v>
      </c>
      <c r="C89" s="285">
        <v>100.70335300000001</v>
      </c>
      <c r="D89" s="286">
        <v>117.97935252465646</v>
      </c>
      <c r="E89" s="285">
        <f t="shared" si="3"/>
        <v>100.70335300000001</v>
      </c>
      <c r="F89" s="295"/>
      <c r="G89" s="199" t="str">
        <f t="shared" si="4"/>
        <v/>
      </c>
      <c r="H89" s="287" t="str">
        <f t="shared" si="5"/>
        <v/>
      </c>
      <c r="I89" s="288"/>
    </row>
    <row r="90" spans="1:9">
      <c r="A90" s="283">
        <v>88</v>
      </c>
      <c r="B90" s="284">
        <v>44466</v>
      </c>
      <c r="C90" s="285">
        <v>77.789228000000008</v>
      </c>
      <c r="D90" s="286">
        <v>117.97935252465646</v>
      </c>
      <c r="E90" s="285">
        <f t="shared" si="3"/>
        <v>77.789228000000008</v>
      </c>
      <c r="F90" s="295"/>
      <c r="G90" s="199" t="str">
        <f t="shared" si="4"/>
        <v/>
      </c>
      <c r="H90" s="287" t="str">
        <f t="shared" si="5"/>
        <v/>
      </c>
      <c r="I90" s="288"/>
    </row>
    <row r="91" spans="1:9">
      <c r="A91" s="283">
        <v>89</v>
      </c>
      <c r="B91" s="284">
        <v>44467</v>
      </c>
      <c r="C91" s="285">
        <v>58.146766000000007</v>
      </c>
      <c r="D91" s="286">
        <v>117.97935252465646</v>
      </c>
      <c r="E91" s="285">
        <f t="shared" si="3"/>
        <v>58.146766000000007</v>
      </c>
      <c r="F91" s="295"/>
      <c r="G91" s="199" t="str">
        <f t="shared" si="4"/>
        <v/>
      </c>
      <c r="H91" s="287" t="str">
        <f t="shared" si="5"/>
        <v/>
      </c>
      <c r="I91" s="288"/>
    </row>
    <row r="92" spans="1:9">
      <c r="A92" s="283">
        <v>90</v>
      </c>
      <c r="B92" s="284">
        <v>44468</v>
      </c>
      <c r="C92" s="285">
        <v>121.07462099999999</v>
      </c>
      <c r="D92" s="286">
        <v>117.97935252465646</v>
      </c>
      <c r="E92" s="285">
        <f t="shared" si="3"/>
        <v>117.97935252465646</v>
      </c>
      <c r="F92" s="295"/>
      <c r="G92" s="199" t="str">
        <f t="shared" si="4"/>
        <v/>
      </c>
      <c r="H92" s="287" t="str">
        <f t="shared" si="5"/>
        <v/>
      </c>
      <c r="I92" s="288"/>
    </row>
    <row r="93" spans="1:9">
      <c r="A93" s="283">
        <v>91</v>
      </c>
      <c r="B93" s="284">
        <v>44469</v>
      </c>
      <c r="C93" s="285">
        <v>83.121623999999997</v>
      </c>
      <c r="D93" s="286">
        <v>117.97935252465646</v>
      </c>
      <c r="E93" s="285">
        <f t="shared" si="3"/>
        <v>83.121623999999997</v>
      </c>
      <c r="F93" s="295"/>
      <c r="G93" s="199" t="str">
        <f t="shared" si="4"/>
        <v/>
      </c>
      <c r="H93" s="287" t="str">
        <f t="shared" si="5"/>
        <v/>
      </c>
      <c r="I93" s="288"/>
    </row>
    <row r="94" spans="1:9">
      <c r="A94" s="283">
        <v>92</v>
      </c>
      <c r="B94" s="284">
        <v>44470</v>
      </c>
      <c r="C94" s="285">
        <v>38.888199</v>
      </c>
      <c r="D94" s="286">
        <v>137.65858028005749</v>
      </c>
      <c r="E94" s="285">
        <f t="shared" si="3"/>
        <v>38.888199</v>
      </c>
      <c r="F94" s="288"/>
      <c r="G94" s="199" t="str">
        <f t="shared" si="4"/>
        <v/>
      </c>
      <c r="H94" s="287" t="str">
        <f t="shared" si="5"/>
        <v/>
      </c>
      <c r="I94" s="288"/>
    </row>
    <row r="95" spans="1:9">
      <c r="A95" s="283">
        <v>93</v>
      </c>
      <c r="B95" s="284">
        <v>44471</v>
      </c>
      <c r="C95" s="285">
        <v>179.964888</v>
      </c>
      <c r="D95" s="286">
        <v>137.65858028005749</v>
      </c>
      <c r="E95" s="285">
        <f t="shared" si="3"/>
        <v>137.65858028005749</v>
      </c>
      <c r="F95" s="295"/>
      <c r="G95" s="199" t="str">
        <f t="shared" si="4"/>
        <v/>
      </c>
      <c r="H95" s="287" t="str">
        <f t="shared" si="5"/>
        <v/>
      </c>
      <c r="I95" s="288"/>
    </row>
    <row r="96" spans="1:9">
      <c r="A96" s="283">
        <v>94</v>
      </c>
      <c r="B96" s="284">
        <v>44472</v>
      </c>
      <c r="C96" s="285">
        <v>246.533998</v>
      </c>
      <c r="D96" s="286">
        <v>137.65858028005749</v>
      </c>
      <c r="E96" s="285">
        <f t="shared" si="3"/>
        <v>137.65858028005749</v>
      </c>
      <c r="F96" s="295"/>
      <c r="G96" s="199" t="str">
        <f t="shared" si="4"/>
        <v/>
      </c>
      <c r="H96" s="287" t="str">
        <f t="shared" si="5"/>
        <v/>
      </c>
      <c r="I96" s="288"/>
    </row>
    <row r="97" spans="1:9">
      <c r="A97" s="283">
        <v>95</v>
      </c>
      <c r="B97" s="284">
        <v>44473</v>
      </c>
      <c r="C97" s="285">
        <v>215.238437</v>
      </c>
      <c r="D97" s="286">
        <v>137.65858028005749</v>
      </c>
      <c r="E97" s="285">
        <f t="shared" si="3"/>
        <v>137.65858028005749</v>
      </c>
      <c r="F97" s="295"/>
      <c r="G97" s="199" t="str">
        <f t="shared" si="4"/>
        <v/>
      </c>
      <c r="H97" s="287" t="str">
        <f t="shared" si="5"/>
        <v/>
      </c>
      <c r="I97" s="288"/>
    </row>
    <row r="98" spans="1:9">
      <c r="A98" s="283">
        <v>96</v>
      </c>
      <c r="B98" s="284">
        <v>44474</v>
      </c>
      <c r="C98" s="285">
        <v>168.73938099999998</v>
      </c>
      <c r="D98" s="286">
        <v>137.65858028005749</v>
      </c>
      <c r="E98" s="285">
        <f t="shared" si="3"/>
        <v>137.65858028005749</v>
      </c>
      <c r="F98" s="295"/>
      <c r="G98" s="199" t="str">
        <f t="shared" si="4"/>
        <v/>
      </c>
      <c r="H98" s="287" t="str">
        <f t="shared" si="5"/>
        <v/>
      </c>
      <c r="I98" s="288"/>
    </row>
    <row r="99" spans="1:9">
      <c r="A99" s="283">
        <v>97</v>
      </c>
      <c r="B99" s="284">
        <v>44475</v>
      </c>
      <c r="C99" s="285">
        <v>125.47463</v>
      </c>
      <c r="D99" s="286">
        <v>137.65858028005749</v>
      </c>
      <c r="E99" s="285">
        <f t="shared" si="3"/>
        <v>125.47463</v>
      </c>
      <c r="F99" s="295"/>
      <c r="G99" s="199" t="str">
        <f t="shared" si="4"/>
        <v/>
      </c>
      <c r="H99" s="287" t="str">
        <f t="shared" si="5"/>
        <v/>
      </c>
      <c r="I99" s="288"/>
    </row>
    <row r="100" spans="1:9">
      <c r="A100" s="283">
        <v>98</v>
      </c>
      <c r="B100" s="284">
        <v>44476</v>
      </c>
      <c r="C100" s="285">
        <v>105.89893099999999</v>
      </c>
      <c r="D100" s="286">
        <v>137.65858028005749</v>
      </c>
      <c r="E100" s="285">
        <f t="shared" si="3"/>
        <v>105.89893099999999</v>
      </c>
      <c r="F100" s="295"/>
      <c r="G100" s="199" t="str">
        <f t="shared" si="4"/>
        <v/>
      </c>
      <c r="H100" s="287" t="str">
        <f t="shared" si="5"/>
        <v/>
      </c>
      <c r="I100" s="288"/>
    </row>
    <row r="101" spans="1:9">
      <c r="A101" s="283">
        <v>99</v>
      </c>
      <c r="B101" s="284">
        <v>44477</v>
      </c>
      <c r="C101" s="285">
        <v>90.848475000000008</v>
      </c>
      <c r="D101" s="286">
        <v>137.65858028005749</v>
      </c>
      <c r="E101" s="285">
        <f t="shared" si="3"/>
        <v>90.848475000000008</v>
      </c>
      <c r="F101" s="295"/>
      <c r="G101" s="199" t="str">
        <f t="shared" si="4"/>
        <v/>
      </c>
      <c r="H101" s="287" t="str">
        <f t="shared" si="5"/>
        <v/>
      </c>
      <c r="I101" s="288"/>
    </row>
    <row r="102" spans="1:9">
      <c r="A102" s="283">
        <v>100</v>
      </c>
      <c r="B102" s="284">
        <v>44478</v>
      </c>
      <c r="C102" s="285">
        <v>122.08157700000001</v>
      </c>
      <c r="D102" s="286">
        <v>137.65858028005749</v>
      </c>
      <c r="E102" s="285">
        <f t="shared" si="3"/>
        <v>122.08157700000001</v>
      </c>
      <c r="F102" s="295"/>
      <c r="G102" s="199" t="str">
        <f t="shared" si="4"/>
        <v/>
      </c>
      <c r="H102" s="287" t="str">
        <f t="shared" si="5"/>
        <v/>
      </c>
      <c r="I102" s="288"/>
    </row>
    <row r="103" spans="1:9">
      <c r="A103" s="283">
        <v>101</v>
      </c>
      <c r="B103" s="284">
        <v>44479</v>
      </c>
      <c r="C103" s="285">
        <v>201.98101399999999</v>
      </c>
      <c r="D103" s="286">
        <v>137.65858028005749</v>
      </c>
      <c r="E103" s="285">
        <f t="shared" si="3"/>
        <v>137.65858028005749</v>
      </c>
      <c r="F103" s="295"/>
      <c r="G103" s="199" t="str">
        <f t="shared" si="4"/>
        <v/>
      </c>
      <c r="H103" s="287" t="str">
        <f t="shared" si="5"/>
        <v/>
      </c>
      <c r="I103" s="288"/>
    </row>
    <row r="104" spans="1:9">
      <c r="A104" s="283">
        <v>102</v>
      </c>
      <c r="B104" s="284">
        <v>44480</v>
      </c>
      <c r="C104" s="285">
        <v>170.255595</v>
      </c>
      <c r="D104" s="286">
        <v>137.65858028005749</v>
      </c>
      <c r="E104" s="285">
        <f t="shared" si="3"/>
        <v>137.65858028005749</v>
      </c>
      <c r="F104" s="295"/>
      <c r="G104" s="199" t="str">
        <f t="shared" si="4"/>
        <v/>
      </c>
      <c r="H104" s="287" t="str">
        <f t="shared" si="5"/>
        <v/>
      </c>
      <c r="I104" s="288"/>
    </row>
    <row r="105" spans="1:9">
      <c r="A105" s="283">
        <v>103</v>
      </c>
      <c r="B105" s="284">
        <v>44481</v>
      </c>
      <c r="C105" s="285">
        <v>151.565426</v>
      </c>
      <c r="D105" s="286">
        <v>137.65858028005749</v>
      </c>
      <c r="E105" s="285">
        <f t="shared" si="3"/>
        <v>137.65858028005749</v>
      </c>
      <c r="F105" s="295"/>
      <c r="G105" s="199" t="str">
        <f t="shared" si="4"/>
        <v/>
      </c>
      <c r="H105" s="287" t="str">
        <f t="shared" si="5"/>
        <v/>
      </c>
      <c r="I105" s="288"/>
    </row>
    <row r="106" spans="1:9">
      <c r="A106" s="283">
        <v>104</v>
      </c>
      <c r="B106" s="284">
        <v>44482</v>
      </c>
      <c r="C106" s="285">
        <v>178.06794099999999</v>
      </c>
      <c r="D106" s="286">
        <v>137.65858028005749</v>
      </c>
      <c r="E106" s="285">
        <f t="shared" si="3"/>
        <v>137.65858028005749</v>
      </c>
      <c r="F106" s="295"/>
      <c r="G106" s="199" t="str">
        <f t="shared" si="4"/>
        <v/>
      </c>
      <c r="H106" s="287" t="str">
        <f t="shared" si="5"/>
        <v/>
      </c>
      <c r="I106" s="288"/>
    </row>
    <row r="107" spans="1:9">
      <c r="A107" s="283">
        <v>105</v>
      </c>
      <c r="B107" s="284">
        <v>44483</v>
      </c>
      <c r="C107" s="285">
        <v>76.483199999999997</v>
      </c>
      <c r="D107" s="286">
        <v>137.65858028005749</v>
      </c>
      <c r="E107" s="285">
        <f t="shared" si="3"/>
        <v>76.483199999999997</v>
      </c>
      <c r="F107" s="295"/>
      <c r="G107" s="199" t="str">
        <f t="shared" si="4"/>
        <v/>
      </c>
      <c r="H107" s="287" t="str">
        <f t="shared" si="5"/>
        <v/>
      </c>
      <c r="I107" s="288"/>
    </row>
    <row r="108" spans="1:9">
      <c r="A108" s="283">
        <v>106</v>
      </c>
      <c r="B108" s="284">
        <v>44484</v>
      </c>
      <c r="C108" s="285">
        <v>59.870756</v>
      </c>
      <c r="D108" s="286">
        <v>137.65858028005749</v>
      </c>
      <c r="E108" s="285">
        <f t="shared" si="3"/>
        <v>59.870756</v>
      </c>
      <c r="F108" s="295"/>
      <c r="G108" s="199" t="str">
        <f t="shared" si="4"/>
        <v>O</v>
      </c>
      <c r="H108" s="287" t="str">
        <f t="shared" si="5"/>
        <v>137,7</v>
      </c>
      <c r="I108" s="288"/>
    </row>
    <row r="109" spans="1:9">
      <c r="A109" s="283">
        <v>107</v>
      </c>
      <c r="B109" s="284">
        <v>44485</v>
      </c>
      <c r="C109" s="285">
        <v>51.859968000000002</v>
      </c>
      <c r="D109" s="286">
        <v>137.65858028005749</v>
      </c>
      <c r="E109" s="285">
        <f t="shared" si="3"/>
        <v>51.859968000000002</v>
      </c>
      <c r="F109" s="295"/>
      <c r="G109" s="199" t="str">
        <f t="shared" si="4"/>
        <v/>
      </c>
      <c r="H109" s="287" t="str">
        <f t="shared" si="5"/>
        <v/>
      </c>
      <c r="I109" s="288"/>
    </row>
    <row r="110" spans="1:9">
      <c r="A110" s="283">
        <v>108</v>
      </c>
      <c r="B110" s="284">
        <v>44486</v>
      </c>
      <c r="C110" s="285">
        <v>54.082108999999996</v>
      </c>
      <c r="D110" s="286">
        <v>137.65858028005749</v>
      </c>
      <c r="E110" s="285">
        <f t="shared" si="3"/>
        <v>54.082108999999996</v>
      </c>
      <c r="F110" s="295"/>
      <c r="G110" s="199" t="str">
        <f t="shared" si="4"/>
        <v/>
      </c>
      <c r="H110" s="287" t="str">
        <f t="shared" si="5"/>
        <v/>
      </c>
      <c r="I110" s="288"/>
    </row>
    <row r="111" spans="1:9">
      <c r="A111" s="283">
        <v>109</v>
      </c>
      <c r="B111" s="284">
        <v>44487</v>
      </c>
      <c r="C111" s="285">
        <v>68.709029999999998</v>
      </c>
      <c r="D111" s="286">
        <v>137.65858028005749</v>
      </c>
      <c r="E111" s="285">
        <f t="shared" si="3"/>
        <v>68.709029999999998</v>
      </c>
      <c r="F111" s="295"/>
      <c r="G111" s="199" t="str">
        <f t="shared" si="4"/>
        <v/>
      </c>
      <c r="H111" s="287" t="str">
        <f t="shared" si="5"/>
        <v/>
      </c>
      <c r="I111" s="288"/>
    </row>
    <row r="112" spans="1:9">
      <c r="A112" s="283">
        <v>110</v>
      </c>
      <c r="B112" s="284">
        <v>44488</v>
      </c>
      <c r="C112" s="285">
        <v>183.80328700000001</v>
      </c>
      <c r="D112" s="286">
        <v>137.65858028005749</v>
      </c>
      <c r="E112" s="285">
        <f t="shared" si="3"/>
        <v>137.65858028005749</v>
      </c>
      <c r="F112" s="295"/>
      <c r="G112" s="199" t="str">
        <f t="shared" si="4"/>
        <v/>
      </c>
      <c r="H112" s="287" t="str">
        <f t="shared" si="5"/>
        <v/>
      </c>
      <c r="I112" s="288"/>
    </row>
    <row r="113" spans="1:9">
      <c r="A113" s="283">
        <v>111</v>
      </c>
      <c r="B113" s="284">
        <v>44489</v>
      </c>
      <c r="C113" s="285">
        <v>217.531643</v>
      </c>
      <c r="D113" s="286">
        <v>137.65858028005749</v>
      </c>
      <c r="E113" s="285">
        <f t="shared" si="3"/>
        <v>137.65858028005749</v>
      </c>
      <c r="F113" s="295"/>
      <c r="G113" s="199" t="str">
        <f t="shared" si="4"/>
        <v/>
      </c>
      <c r="H113" s="287" t="str">
        <f t="shared" si="5"/>
        <v/>
      </c>
      <c r="I113" s="288"/>
    </row>
    <row r="114" spans="1:9">
      <c r="A114" s="283">
        <v>112</v>
      </c>
      <c r="B114" s="284">
        <v>44490</v>
      </c>
      <c r="C114" s="285">
        <v>113.222797</v>
      </c>
      <c r="D114" s="286">
        <v>137.65858028005749</v>
      </c>
      <c r="E114" s="285">
        <f t="shared" si="3"/>
        <v>113.222797</v>
      </c>
      <c r="F114" s="295"/>
      <c r="G114" s="199" t="str">
        <f t="shared" si="4"/>
        <v/>
      </c>
      <c r="H114" s="287" t="str">
        <f t="shared" si="5"/>
        <v/>
      </c>
      <c r="I114" s="288"/>
    </row>
    <row r="115" spans="1:9">
      <c r="A115" s="283">
        <v>113</v>
      </c>
      <c r="B115" s="284">
        <v>44491</v>
      </c>
      <c r="C115" s="285">
        <v>168.46372399999998</v>
      </c>
      <c r="D115" s="286">
        <v>137.65858028005749</v>
      </c>
      <c r="E115" s="285">
        <f t="shared" si="3"/>
        <v>137.65858028005749</v>
      </c>
      <c r="F115" s="295"/>
      <c r="G115" s="199" t="str">
        <f t="shared" si="4"/>
        <v/>
      </c>
      <c r="H115" s="287" t="str">
        <f t="shared" si="5"/>
        <v/>
      </c>
      <c r="I115" s="288"/>
    </row>
    <row r="116" spans="1:9">
      <c r="A116" s="283">
        <v>114</v>
      </c>
      <c r="B116" s="284">
        <v>44492</v>
      </c>
      <c r="C116" s="285">
        <v>77.004168000000007</v>
      </c>
      <c r="D116" s="286">
        <v>137.65858028005749</v>
      </c>
      <c r="E116" s="285">
        <f t="shared" si="3"/>
        <v>77.004168000000007</v>
      </c>
      <c r="F116" s="295"/>
      <c r="G116" s="199" t="str">
        <f t="shared" si="4"/>
        <v/>
      </c>
      <c r="H116" s="287" t="str">
        <f t="shared" si="5"/>
        <v/>
      </c>
      <c r="I116" s="288"/>
    </row>
    <row r="117" spans="1:9">
      <c r="A117" s="283">
        <v>115</v>
      </c>
      <c r="B117" s="284">
        <v>44493</v>
      </c>
      <c r="C117" s="285">
        <v>53.185224000000005</v>
      </c>
      <c r="D117" s="286">
        <v>137.65858028005749</v>
      </c>
      <c r="E117" s="285">
        <f t="shared" si="3"/>
        <v>53.185224000000005</v>
      </c>
      <c r="F117" s="295"/>
      <c r="G117" s="199" t="str">
        <f t="shared" si="4"/>
        <v/>
      </c>
      <c r="H117" s="287" t="str">
        <f t="shared" si="5"/>
        <v/>
      </c>
      <c r="I117" s="288"/>
    </row>
    <row r="118" spans="1:9">
      <c r="A118" s="283">
        <v>116</v>
      </c>
      <c r="B118" s="284">
        <v>44494</v>
      </c>
      <c r="C118" s="285">
        <v>37.106322999999996</v>
      </c>
      <c r="D118" s="286">
        <v>137.65858028005749</v>
      </c>
      <c r="E118" s="285">
        <f t="shared" si="3"/>
        <v>37.106322999999996</v>
      </c>
      <c r="F118" s="295"/>
      <c r="G118" s="199" t="str">
        <f t="shared" si="4"/>
        <v/>
      </c>
      <c r="H118" s="287" t="str">
        <f t="shared" si="5"/>
        <v/>
      </c>
      <c r="I118" s="288"/>
    </row>
    <row r="119" spans="1:9">
      <c r="A119" s="283">
        <v>117</v>
      </c>
      <c r="B119" s="284">
        <v>44495</v>
      </c>
      <c r="C119" s="285">
        <v>77.944802999999993</v>
      </c>
      <c r="D119" s="286">
        <v>137.65858028005749</v>
      </c>
      <c r="E119" s="285">
        <f t="shared" si="3"/>
        <v>77.944802999999993</v>
      </c>
      <c r="F119" s="295"/>
      <c r="G119" s="199" t="str">
        <f t="shared" si="4"/>
        <v/>
      </c>
      <c r="H119" s="287" t="str">
        <f t="shared" si="5"/>
        <v/>
      </c>
      <c r="I119" s="288"/>
    </row>
    <row r="120" spans="1:9">
      <c r="A120" s="283">
        <v>118</v>
      </c>
      <c r="B120" s="284">
        <v>44496</v>
      </c>
      <c r="C120" s="285">
        <v>43.982253</v>
      </c>
      <c r="D120" s="286">
        <v>137.65858028005749</v>
      </c>
      <c r="E120" s="285">
        <f t="shared" si="3"/>
        <v>43.982253</v>
      </c>
      <c r="F120" s="295"/>
      <c r="G120" s="199" t="str">
        <f t="shared" si="4"/>
        <v/>
      </c>
      <c r="H120" s="287" t="str">
        <f t="shared" si="5"/>
        <v/>
      </c>
      <c r="I120" s="288"/>
    </row>
    <row r="121" spans="1:9">
      <c r="A121" s="283">
        <v>119</v>
      </c>
      <c r="B121" s="284">
        <v>44497</v>
      </c>
      <c r="C121" s="285">
        <v>159.536011</v>
      </c>
      <c r="D121" s="286">
        <v>137.65858028005749</v>
      </c>
      <c r="E121" s="285">
        <f t="shared" si="3"/>
        <v>137.65858028005749</v>
      </c>
      <c r="F121" s="295"/>
      <c r="G121" s="199" t="str">
        <f t="shared" si="4"/>
        <v/>
      </c>
      <c r="H121" s="287" t="str">
        <f t="shared" si="5"/>
        <v/>
      </c>
      <c r="I121" s="288"/>
    </row>
    <row r="122" spans="1:9">
      <c r="A122" s="283">
        <v>120</v>
      </c>
      <c r="B122" s="284">
        <v>44498</v>
      </c>
      <c r="C122" s="285">
        <v>214.90374</v>
      </c>
      <c r="D122" s="286">
        <v>137.65858028005749</v>
      </c>
      <c r="E122" s="285">
        <f t="shared" si="3"/>
        <v>137.65858028005749</v>
      </c>
      <c r="F122" s="295"/>
      <c r="G122" s="199" t="str">
        <f t="shared" si="4"/>
        <v/>
      </c>
      <c r="H122" s="287" t="str">
        <f t="shared" si="5"/>
        <v/>
      </c>
      <c r="I122" s="288"/>
    </row>
    <row r="123" spans="1:9">
      <c r="A123" s="283">
        <v>121</v>
      </c>
      <c r="B123" s="284">
        <v>44499</v>
      </c>
      <c r="C123" s="285">
        <v>278.104557</v>
      </c>
      <c r="D123" s="286">
        <v>137.65858028005749</v>
      </c>
      <c r="E123" s="285">
        <f t="shared" si="3"/>
        <v>137.65858028005749</v>
      </c>
      <c r="F123" s="295"/>
      <c r="G123" s="199" t="str">
        <f t="shared" si="4"/>
        <v/>
      </c>
      <c r="H123" s="287" t="str">
        <f t="shared" si="5"/>
        <v/>
      </c>
      <c r="I123" s="288"/>
    </row>
    <row r="124" spans="1:9">
      <c r="A124" s="283">
        <v>122</v>
      </c>
      <c r="B124" s="284">
        <v>44500</v>
      </c>
      <c r="C124" s="285">
        <v>321.622816</v>
      </c>
      <c r="D124" s="286">
        <v>137.65858028005749</v>
      </c>
      <c r="E124" s="285">
        <f t="shared" si="3"/>
        <v>137.65858028005749</v>
      </c>
      <c r="F124" s="295"/>
      <c r="G124" s="199" t="str">
        <f t="shared" si="4"/>
        <v/>
      </c>
      <c r="H124" s="287" t="str">
        <f t="shared" si="5"/>
        <v/>
      </c>
      <c r="I124" s="288"/>
    </row>
    <row r="125" spans="1:9">
      <c r="A125" s="283">
        <v>123</v>
      </c>
      <c r="B125" s="284">
        <v>44501</v>
      </c>
      <c r="C125" s="285">
        <v>299.71646100000004</v>
      </c>
      <c r="D125" s="286">
        <v>183.92361341139531</v>
      </c>
      <c r="E125" s="285">
        <f t="shared" si="3"/>
        <v>183.92361341139531</v>
      </c>
      <c r="F125" s="295"/>
      <c r="G125" s="199" t="str">
        <f t="shared" si="4"/>
        <v/>
      </c>
      <c r="H125" s="287" t="str">
        <f t="shared" si="5"/>
        <v/>
      </c>
      <c r="I125" s="288"/>
    </row>
    <row r="126" spans="1:9">
      <c r="A126" s="283">
        <v>124</v>
      </c>
      <c r="B126" s="284">
        <v>44502</v>
      </c>
      <c r="C126" s="285">
        <v>291.50400000000002</v>
      </c>
      <c r="D126" s="286">
        <v>183.92361341139531</v>
      </c>
      <c r="E126" s="285">
        <f t="shared" si="3"/>
        <v>183.92361341139531</v>
      </c>
      <c r="F126" s="295"/>
      <c r="G126" s="199" t="str">
        <f t="shared" si="4"/>
        <v/>
      </c>
      <c r="H126" s="287" t="str">
        <f t="shared" si="5"/>
        <v/>
      </c>
      <c r="I126" s="288"/>
    </row>
    <row r="127" spans="1:9">
      <c r="A127" s="283">
        <v>125</v>
      </c>
      <c r="B127" s="284">
        <v>44503</v>
      </c>
      <c r="C127" s="285">
        <v>238.34883899999997</v>
      </c>
      <c r="D127" s="286">
        <v>183.92361341139531</v>
      </c>
      <c r="E127" s="285">
        <f t="shared" si="3"/>
        <v>183.92361341139531</v>
      </c>
      <c r="F127" s="295"/>
      <c r="G127" s="199" t="str">
        <f t="shared" si="4"/>
        <v/>
      </c>
      <c r="H127" s="287" t="str">
        <f t="shared" si="5"/>
        <v/>
      </c>
      <c r="I127" s="288"/>
    </row>
    <row r="128" spans="1:9">
      <c r="A128" s="283">
        <v>126</v>
      </c>
      <c r="B128" s="284">
        <v>44504</v>
      </c>
      <c r="C128" s="285">
        <v>168.86299299999999</v>
      </c>
      <c r="D128" s="286">
        <v>183.92361341139531</v>
      </c>
      <c r="E128" s="285">
        <f t="shared" si="3"/>
        <v>168.86299299999999</v>
      </c>
      <c r="F128" s="295"/>
      <c r="G128" s="199" t="str">
        <f t="shared" si="4"/>
        <v/>
      </c>
      <c r="H128" s="287" t="str">
        <f t="shared" si="5"/>
        <v/>
      </c>
      <c r="I128" s="288"/>
    </row>
    <row r="129" spans="1:9">
      <c r="A129" s="283">
        <v>127</v>
      </c>
      <c r="B129" s="284">
        <v>44505</v>
      </c>
      <c r="C129" s="285">
        <v>235.93647799999999</v>
      </c>
      <c r="D129" s="286">
        <v>183.92361341139531</v>
      </c>
      <c r="E129" s="285">
        <f t="shared" si="3"/>
        <v>183.92361341139531</v>
      </c>
      <c r="F129" s="295"/>
      <c r="G129" s="199" t="str">
        <f t="shared" si="4"/>
        <v/>
      </c>
      <c r="H129" s="287" t="str">
        <f t="shared" si="5"/>
        <v/>
      </c>
      <c r="I129" s="288"/>
    </row>
    <row r="130" spans="1:9">
      <c r="A130" s="283">
        <v>128</v>
      </c>
      <c r="B130" s="284">
        <v>44506</v>
      </c>
      <c r="C130" s="285">
        <v>274.33406899999994</v>
      </c>
      <c r="D130" s="286">
        <v>183.92361341139531</v>
      </c>
      <c r="E130" s="285">
        <f t="shared" si="3"/>
        <v>183.92361341139531</v>
      </c>
      <c r="F130" s="295"/>
      <c r="G130" s="199" t="str">
        <f t="shared" si="4"/>
        <v/>
      </c>
      <c r="H130" s="287" t="str">
        <f t="shared" si="5"/>
        <v/>
      </c>
      <c r="I130" s="288"/>
    </row>
    <row r="131" spans="1:9">
      <c r="A131" s="283">
        <v>129</v>
      </c>
      <c r="B131" s="284">
        <v>44507</v>
      </c>
      <c r="C131" s="285">
        <v>295.472418</v>
      </c>
      <c r="D131" s="286">
        <v>183.92361341139531</v>
      </c>
      <c r="E131" s="285">
        <f t="shared" ref="E131:E194" si="6">IF(C131&gt;D131,D131,C131)</f>
        <v>183.92361341139531</v>
      </c>
      <c r="F131" s="295"/>
      <c r="G131" s="199" t="str">
        <f t="shared" ref="G131:G194" si="7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287" t="str">
        <f t="shared" ref="H131:H194" si="8">IF(DAY($B131)=15,TEXT(D131,"#,0"),"")</f>
        <v/>
      </c>
      <c r="I131" s="288"/>
    </row>
    <row r="132" spans="1:9">
      <c r="A132" s="283">
        <v>130</v>
      </c>
      <c r="B132" s="284">
        <v>44508</v>
      </c>
      <c r="C132" s="285">
        <v>281.052682</v>
      </c>
      <c r="D132" s="286">
        <v>183.92361341139531</v>
      </c>
      <c r="E132" s="285">
        <f t="shared" si="6"/>
        <v>183.92361341139531</v>
      </c>
      <c r="F132" s="295"/>
      <c r="G132" s="199" t="str">
        <f t="shared" si="7"/>
        <v/>
      </c>
      <c r="H132" s="287" t="str">
        <f t="shared" si="8"/>
        <v/>
      </c>
      <c r="I132" s="288"/>
    </row>
    <row r="133" spans="1:9">
      <c r="A133" s="283">
        <v>131</v>
      </c>
      <c r="B133" s="284">
        <v>44509</v>
      </c>
      <c r="C133" s="285">
        <v>187.24220600000001</v>
      </c>
      <c r="D133" s="286">
        <v>183.92361341139531</v>
      </c>
      <c r="E133" s="285">
        <f t="shared" si="6"/>
        <v>183.92361341139531</v>
      </c>
      <c r="F133" s="295"/>
      <c r="G133" s="199" t="str">
        <f t="shared" si="7"/>
        <v/>
      </c>
      <c r="H133" s="287" t="str">
        <f t="shared" si="8"/>
        <v/>
      </c>
      <c r="I133" s="288"/>
    </row>
    <row r="134" spans="1:9">
      <c r="A134" s="283">
        <v>132</v>
      </c>
      <c r="B134" s="284">
        <v>44510</v>
      </c>
      <c r="C134" s="285">
        <v>90.485464999999991</v>
      </c>
      <c r="D134" s="286">
        <v>183.92361341139531</v>
      </c>
      <c r="E134" s="285">
        <f t="shared" si="6"/>
        <v>90.485464999999991</v>
      </c>
      <c r="F134" s="295"/>
      <c r="G134" s="199" t="str">
        <f t="shared" si="7"/>
        <v/>
      </c>
      <c r="H134" s="287" t="str">
        <f t="shared" si="8"/>
        <v/>
      </c>
      <c r="I134" s="288"/>
    </row>
    <row r="135" spans="1:9">
      <c r="A135" s="283">
        <v>133</v>
      </c>
      <c r="B135" s="284">
        <v>44511</v>
      </c>
      <c r="C135" s="285">
        <v>58.279859999999999</v>
      </c>
      <c r="D135" s="286">
        <v>183.92361341139531</v>
      </c>
      <c r="E135" s="285">
        <f t="shared" si="6"/>
        <v>58.279859999999999</v>
      </c>
      <c r="F135" s="295"/>
      <c r="G135" s="199" t="str">
        <f t="shared" si="7"/>
        <v/>
      </c>
      <c r="H135" s="287" t="str">
        <f t="shared" si="8"/>
        <v/>
      </c>
      <c r="I135" s="288"/>
    </row>
    <row r="136" spans="1:9">
      <c r="A136" s="283">
        <v>134</v>
      </c>
      <c r="B136" s="284">
        <v>44512</v>
      </c>
      <c r="C136" s="285">
        <v>80.061032000000012</v>
      </c>
      <c r="D136" s="286">
        <v>183.92361341139531</v>
      </c>
      <c r="E136" s="285">
        <f t="shared" si="6"/>
        <v>80.061032000000012</v>
      </c>
      <c r="F136" s="295"/>
      <c r="G136" s="199" t="str">
        <f t="shared" si="7"/>
        <v/>
      </c>
      <c r="H136" s="287" t="str">
        <f t="shared" si="8"/>
        <v/>
      </c>
      <c r="I136" s="288"/>
    </row>
    <row r="137" spans="1:9">
      <c r="A137" s="283">
        <v>135</v>
      </c>
      <c r="B137" s="284">
        <v>44513</v>
      </c>
      <c r="C137" s="285">
        <v>127.324252</v>
      </c>
      <c r="D137" s="286">
        <v>183.92361341139531</v>
      </c>
      <c r="E137" s="285">
        <f t="shared" si="6"/>
        <v>127.324252</v>
      </c>
      <c r="F137" s="295"/>
      <c r="G137" s="199" t="str">
        <f t="shared" si="7"/>
        <v/>
      </c>
      <c r="H137" s="287" t="str">
        <f t="shared" si="8"/>
        <v/>
      </c>
      <c r="I137" s="288"/>
    </row>
    <row r="138" spans="1:9">
      <c r="A138" s="283">
        <v>136</v>
      </c>
      <c r="B138" s="284">
        <v>44514</v>
      </c>
      <c r="C138" s="285">
        <v>228.948578</v>
      </c>
      <c r="D138" s="286">
        <v>183.92361341139531</v>
      </c>
      <c r="E138" s="285">
        <f t="shared" si="6"/>
        <v>183.92361341139531</v>
      </c>
      <c r="F138" s="295"/>
      <c r="G138" s="199" t="str">
        <f t="shared" si="7"/>
        <v/>
      </c>
      <c r="H138" s="287" t="str">
        <f t="shared" si="8"/>
        <v/>
      </c>
      <c r="I138" s="288"/>
    </row>
    <row r="139" spans="1:9">
      <c r="A139" s="283">
        <v>137</v>
      </c>
      <c r="B139" s="284">
        <v>44515</v>
      </c>
      <c r="C139" s="285">
        <v>277.06967099999997</v>
      </c>
      <c r="D139" s="286">
        <v>183.92361341139531</v>
      </c>
      <c r="E139" s="285">
        <f t="shared" si="6"/>
        <v>183.92361341139531</v>
      </c>
      <c r="F139" s="295"/>
      <c r="G139" s="199" t="str">
        <f t="shared" si="7"/>
        <v>N</v>
      </c>
      <c r="H139" s="287" t="str">
        <f t="shared" si="8"/>
        <v>183,9</v>
      </c>
      <c r="I139" s="288"/>
    </row>
    <row r="140" spans="1:9">
      <c r="A140" s="283">
        <v>138</v>
      </c>
      <c r="B140" s="284">
        <v>44516</v>
      </c>
      <c r="C140" s="285">
        <v>219.12346399999998</v>
      </c>
      <c r="D140" s="286">
        <v>183.92361341139531</v>
      </c>
      <c r="E140" s="285">
        <f t="shared" si="6"/>
        <v>183.92361341139531</v>
      </c>
      <c r="F140" s="295"/>
      <c r="G140" s="199" t="str">
        <f t="shared" si="7"/>
        <v/>
      </c>
      <c r="H140" s="287" t="str">
        <f t="shared" si="8"/>
        <v/>
      </c>
      <c r="I140" s="288"/>
    </row>
    <row r="141" spans="1:9">
      <c r="A141" s="283">
        <v>139</v>
      </c>
      <c r="B141" s="284">
        <v>44517</v>
      </c>
      <c r="C141" s="285">
        <v>289.04092700000001</v>
      </c>
      <c r="D141" s="286">
        <v>183.92361341139531</v>
      </c>
      <c r="E141" s="285">
        <f t="shared" si="6"/>
        <v>183.92361341139531</v>
      </c>
      <c r="F141" s="295"/>
      <c r="G141" s="199" t="str">
        <f t="shared" si="7"/>
        <v/>
      </c>
      <c r="H141" s="287" t="str">
        <f t="shared" si="8"/>
        <v/>
      </c>
      <c r="I141" s="288"/>
    </row>
    <row r="142" spans="1:9">
      <c r="A142" s="283">
        <v>140</v>
      </c>
      <c r="B142" s="284">
        <v>44518</v>
      </c>
      <c r="C142" s="285">
        <v>219.48891999999998</v>
      </c>
      <c r="D142" s="286">
        <v>183.92361341139531</v>
      </c>
      <c r="E142" s="285">
        <f t="shared" si="6"/>
        <v>183.92361341139531</v>
      </c>
      <c r="F142" s="295"/>
      <c r="G142" s="199" t="str">
        <f t="shared" si="7"/>
        <v/>
      </c>
      <c r="H142" s="287" t="str">
        <f t="shared" si="8"/>
        <v/>
      </c>
      <c r="I142" s="288"/>
    </row>
    <row r="143" spans="1:9">
      <c r="A143" s="283">
        <v>141</v>
      </c>
      <c r="B143" s="284">
        <v>44519</v>
      </c>
      <c r="C143" s="285">
        <v>154.32367099999999</v>
      </c>
      <c r="D143" s="286">
        <v>183.92361341139531</v>
      </c>
      <c r="E143" s="285">
        <f t="shared" si="6"/>
        <v>154.32367099999999</v>
      </c>
      <c r="F143" s="295"/>
      <c r="G143" s="199" t="str">
        <f t="shared" si="7"/>
        <v/>
      </c>
      <c r="H143" s="287" t="str">
        <f t="shared" si="8"/>
        <v/>
      </c>
      <c r="I143" s="288"/>
    </row>
    <row r="144" spans="1:9">
      <c r="A144" s="283">
        <v>142</v>
      </c>
      <c r="B144" s="284">
        <v>44520</v>
      </c>
      <c r="C144" s="285">
        <v>82.706011000000004</v>
      </c>
      <c r="D144" s="286">
        <v>183.92361341139531</v>
      </c>
      <c r="E144" s="285">
        <f t="shared" si="6"/>
        <v>82.706011000000004</v>
      </c>
      <c r="F144" s="295"/>
      <c r="G144" s="199" t="str">
        <f t="shared" si="7"/>
        <v/>
      </c>
      <c r="H144" s="287" t="str">
        <f t="shared" si="8"/>
        <v/>
      </c>
      <c r="I144" s="288"/>
    </row>
    <row r="145" spans="1:9">
      <c r="A145" s="283">
        <v>143</v>
      </c>
      <c r="B145" s="284">
        <v>44521</v>
      </c>
      <c r="C145" s="285">
        <v>82.872039000000001</v>
      </c>
      <c r="D145" s="286">
        <v>183.92361341139531</v>
      </c>
      <c r="E145" s="285">
        <f t="shared" si="6"/>
        <v>82.872039000000001</v>
      </c>
      <c r="F145" s="295"/>
      <c r="G145" s="199" t="str">
        <f t="shared" si="7"/>
        <v/>
      </c>
      <c r="H145" s="287" t="str">
        <f t="shared" si="8"/>
        <v/>
      </c>
      <c r="I145" s="288"/>
    </row>
    <row r="146" spans="1:9">
      <c r="A146" s="283">
        <v>144</v>
      </c>
      <c r="B146" s="284">
        <v>44522</v>
      </c>
      <c r="C146" s="285">
        <v>165.64692600000001</v>
      </c>
      <c r="D146" s="286">
        <v>183.92361341139531</v>
      </c>
      <c r="E146" s="285">
        <f t="shared" si="6"/>
        <v>165.64692600000001</v>
      </c>
      <c r="F146" s="295"/>
      <c r="G146" s="199" t="str">
        <f t="shared" si="7"/>
        <v/>
      </c>
      <c r="H146" s="287" t="str">
        <f t="shared" si="8"/>
        <v/>
      </c>
      <c r="I146" s="288"/>
    </row>
    <row r="147" spans="1:9">
      <c r="A147" s="283">
        <v>145</v>
      </c>
      <c r="B147" s="284">
        <v>44523</v>
      </c>
      <c r="C147" s="285">
        <v>218.25944699999999</v>
      </c>
      <c r="D147" s="286">
        <v>183.92361341139531</v>
      </c>
      <c r="E147" s="285">
        <f t="shared" si="6"/>
        <v>183.92361341139531</v>
      </c>
      <c r="F147" s="295"/>
      <c r="G147" s="199" t="str">
        <f t="shared" si="7"/>
        <v/>
      </c>
      <c r="H147" s="287" t="str">
        <f t="shared" si="8"/>
        <v/>
      </c>
      <c r="I147" s="288"/>
    </row>
    <row r="148" spans="1:9">
      <c r="A148" s="283">
        <v>146</v>
      </c>
      <c r="B148" s="284">
        <v>44524</v>
      </c>
      <c r="C148" s="285">
        <v>184.36218700000001</v>
      </c>
      <c r="D148" s="286">
        <v>183.92361341139531</v>
      </c>
      <c r="E148" s="285">
        <f t="shared" si="6"/>
        <v>183.92361341139531</v>
      </c>
      <c r="F148" s="295"/>
      <c r="G148" s="199" t="str">
        <f t="shared" si="7"/>
        <v/>
      </c>
      <c r="H148" s="287" t="str">
        <f t="shared" si="8"/>
        <v/>
      </c>
      <c r="I148" s="288"/>
    </row>
    <row r="149" spans="1:9">
      <c r="A149" s="283">
        <v>147</v>
      </c>
      <c r="B149" s="284">
        <v>44525</v>
      </c>
      <c r="C149" s="285">
        <v>249.635299</v>
      </c>
      <c r="D149" s="286">
        <v>183.92361341139531</v>
      </c>
      <c r="E149" s="285">
        <f t="shared" si="6"/>
        <v>183.92361341139531</v>
      </c>
      <c r="F149" s="295"/>
      <c r="G149" s="199" t="str">
        <f t="shared" si="7"/>
        <v/>
      </c>
      <c r="H149" s="287" t="str">
        <f t="shared" si="8"/>
        <v/>
      </c>
      <c r="I149" s="288"/>
    </row>
    <row r="150" spans="1:9">
      <c r="A150" s="283">
        <v>148</v>
      </c>
      <c r="B150" s="284">
        <v>44526</v>
      </c>
      <c r="C150" s="285">
        <v>259.46151900000001</v>
      </c>
      <c r="D150" s="286">
        <v>183.92361341139531</v>
      </c>
      <c r="E150" s="285">
        <f t="shared" si="6"/>
        <v>183.92361341139531</v>
      </c>
      <c r="F150" s="295"/>
      <c r="G150" s="199" t="str">
        <f t="shared" si="7"/>
        <v/>
      </c>
      <c r="H150" s="287" t="str">
        <f t="shared" si="8"/>
        <v/>
      </c>
      <c r="I150" s="288"/>
    </row>
    <row r="151" spans="1:9">
      <c r="A151" s="283">
        <v>149</v>
      </c>
      <c r="B151" s="284">
        <v>44527</v>
      </c>
      <c r="C151" s="285">
        <v>368.92908699999998</v>
      </c>
      <c r="D151" s="286">
        <v>183.92361341139531</v>
      </c>
      <c r="E151" s="285">
        <f t="shared" si="6"/>
        <v>183.92361341139531</v>
      </c>
      <c r="F151" s="295"/>
      <c r="G151" s="199" t="str">
        <f t="shared" si="7"/>
        <v/>
      </c>
      <c r="H151" s="287" t="str">
        <f t="shared" si="8"/>
        <v/>
      </c>
      <c r="I151" s="288"/>
    </row>
    <row r="152" spans="1:9">
      <c r="A152" s="283">
        <v>150</v>
      </c>
      <c r="B152" s="284">
        <v>44528</v>
      </c>
      <c r="C152" s="285">
        <v>350.87088900000003</v>
      </c>
      <c r="D152" s="286">
        <v>183.92361341139531</v>
      </c>
      <c r="E152" s="285">
        <f t="shared" si="6"/>
        <v>183.92361341139531</v>
      </c>
      <c r="F152" s="295"/>
      <c r="G152" s="199" t="str">
        <f t="shared" si="7"/>
        <v/>
      </c>
      <c r="H152" s="287" t="str">
        <f t="shared" si="8"/>
        <v/>
      </c>
      <c r="I152" s="288"/>
    </row>
    <row r="153" spans="1:9">
      <c r="A153" s="283">
        <v>151</v>
      </c>
      <c r="B153" s="284">
        <v>44529</v>
      </c>
      <c r="C153" s="285">
        <v>309.36996700000003</v>
      </c>
      <c r="D153" s="286">
        <v>183.92361341139531</v>
      </c>
      <c r="E153" s="285">
        <f t="shared" si="6"/>
        <v>183.92361341139531</v>
      </c>
      <c r="F153" s="295"/>
      <c r="G153" s="199" t="str">
        <f t="shared" si="7"/>
        <v/>
      </c>
      <c r="H153" s="287" t="str">
        <f t="shared" si="8"/>
        <v/>
      </c>
      <c r="I153" s="288"/>
    </row>
    <row r="154" spans="1:9">
      <c r="A154" s="283">
        <v>152</v>
      </c>
      <c r="B154" s="284">
        <v>44530</v>
      </c>
      <c r="C154" s="285">
        <v>81.182106000000005</v>
      </c>
      <c r="D154" s="286">
        <v>183.92361341139531</v>
      </c>
      <c r="E154" s="285">
        <f t="shared" si="6"/>
        <v>81.182106000000005</v>
      </c>
      <c r="F154" s="295"/>
      <c r="G154" s="199" t="str">
        <f t="shared" si="7"/>
        <v/>
      </c>
      <c r="H154" s="287" t="str">
        <f t="shared" si="8"/>
        <v/>
      </c>
      <c r="I154" s="288"/>
    </row>
    <row r="155" spans="1:9">
      <c r="A155" s="283">
        <v>153</v>
      </c>
      <c r="B155" s="284">
        <v>44531</v>
      </c>
      <c r="C155" s="285">
        <v>232.54872</v>
      </c>
      <c r="D155" s="286">
        <v>181.49597011806557</v>
      </c>
      <c r="E155" s="285">
        <f t="shared" si="6"/>
        <v>181.49597011806557</v>
      </c>
      <c r="F155" s="295"/>
      <c r="G155" s="199" t="str">
        <f t="shared" si="7"/>
        <v/>
      </c>
      <c r="H155" s="287" t="str">
        <f t="shared" si="8"/>
        <v/>
      </c>
      <c r="I155" s="288"/>
    </row>
    <row r="156" spans="1:9">
      <c r="A156" s="283">
        <v>154</v>
      </c>
      <c r="B156" s="284">
        <v>44532</v>
      </c>
      <c r="C156" s="285">
        <v>335.91356800000005</v>
      </c>
      <c r="D156" s="286">
        <v>181.49597011806557</v>
      </c>
      <c r="E156" s="285">
        <f t="shared" si="6"/>
        <v>181.49597011806557</v>
      </c>
      <c r="F156" s="295"/>
      <c r="G156" s="199" t="str">
        <f t="shared" si="7"/>
        <v/>
      </c>
      <c r="H156" s="287" t="str">
        <f t="shared" si="8"/>
        <v/>
      </c>
      <c r="I156" s="288"/>
    </row>
    <row r="157" spans="1:9">
      <c r="A157" s="283">
        <v>155</v>
      </c>
      <c r="B157" s="284">
        <v>44533</v>
      </c>
      <c r="C157" s="285">
        <v>294.551716</v>
      </c>
      <c r="D157" s="286">
        <v>181.49597011806557</v>
      </c>
      <c r="E157" s="285">
        <f t="shared" si="6"/>
        <v>181.49597011806557</v>
      </c>
      <c r="F157" s="295"/>
      <c r="G157" s="199" t="str">
        <f t="shared" si="7"/>
        <v/>
      </c>
      <c r="H157" s="287" t="str">
        <f t="shared" si="8"/>
        <v/>
      </c>
      <c r="I157" s="288"/>
    </row>
    <row r="158" spans="1:9">
      <c r="A158" s="283">
        <v>156</v>
      </c>
      <c r="B158" s="284">
        <v>44534</v>
      </c>
      <c r="C158" s="285">
        <v>319.35013800000002</v>
      </c>
      <c r="D158" s="286">
        <v>181.49597011806557</v>
      </c>
      <c r="E158" s="285">
        <f t="shared" si="6"/>
        <v>181.49597011806557</v>
      </c>
      <c r="F158" s="295"/>
      <c r="G158" s="199" t="str">
        <f t="shared" si="7"/>
        <v/>
      </c>
      <c r="H158" s="287" t="str">
        <f t="shared" si="8"/>
        <v/>
      </c>
      <c r="I158" s="288"/>
    </row>
    <row r="159" spans="1:9">
      <c r="A159" s="283">
        <v>157</v>
      </c>
      <c r="B159" s="284">
        <v>44535</v>
      </c>
      <c r="C159" s="285">
        <v>390.46231300000005</v>
      </c>
      <c r="D159" s="286">
        <v>181.49597011806557</v>
      </c>
      <c r="E159" s="285">
        <f t="shared" si="6"/>
        <v>181.49597011806557</v>
      </c>
      <c r="F159" s="295"/>
      <c r="G159" s="199" t="str">
        <f t="shared" si="7"/>
        <v/>
      </c>
      <c r="H159" s="287" t="str">
        <f t="shared" si="8"/>
        <v/>
      </c>
      <c r="I159" s="288"/>
    </row>
    <row r="160" spans="1:9">
      <c r="A160" s="283">
        <v>158</v>
      </c>
      <c r="B160" s="284">
        <v>44536</v>
      </c>
      <c r="C160" s="285">
        <v>282.725908</v>
      </c>
      <c r="D160" s="286">
        <v>181.49597011806557</v>
      </c>
      <c r="E160" s="285">
        <f t="shared" si="6"/>
        <v>181.49597011806557</v>
      </c>
      <c r="F160" s="295"/>
      <c r="G160" s="199" t="str">
        <f t="shared" si="7"/>
        <v/>
      </c>
      <c r="H160" s="287" t="str">
        <f t="shared" si="8"/>
        <v/>
      </c>
      <c r="I160" s="288"/>
    </row>
    <row r="161" spans="1:9">
      <c r="A161" s="283">
        <v>159</v>
      </c>
      <c r="B161" s="284">
        <v>44537</v>
      </c>
      <c r="C161" s="285">
        <v>301.45201200000002</v>
      </c>
      <c r="D161" s="286">
        <v>181.49597011806557</v>
      </c>
      <c r="E161" s="285">
        <f t="shared" si="6"/>
        <v>181.49597011806557</v>
      </c>
      <c r="F161" s="295"/>
      <c r="G161" s="199" t="str">
        <f t="shared" si="7"/>
        <v/>
      </c>
      <c r="H161" s="287" t="str">
        <f t="shared" si="8"/>
        <v/>
      </c>
      <c r="I161" s="288"/>
    </row>
    <row r="162" spans="1:9">
      <c r="A162" s="283">
        <v>160</v>
      </c>
      <c r="B162" s="284">
        <v>44538</v>
      </c>
      <c r="C162" s="285">
        <v>423.30775200000005</v>
      </c>
      <c r="D162" s="286">
        <v>181.49597011806557</v>
      </c>
      <c r="E162" s="285">
        <f t="shared" si="6"/>
        <v>181.49597011806557</v>
      </c>
      <c r="F162" s="295"/>
      <c r="G162" s="199" t="str">
        <f t="shared" si="7"/>
        <v/>
      </c>
      <c r="H162" s="287" t="str">
        <f t="shared" si="8"/>
        <v/>
      </c>
      <c r="I162" s="288"/>
    </row>
    <row r="163" spans="1:9">
      <c r="A163" s="283">
        <v>161</v>
      </c>
      <c r="B163" s="284">
        <v>44539</v>
      </c>
      <c r="C163" s="285">
        <v>386.485388</v>
      </c>
      <c r="D163" s="286">
        <v>181.49597011806557</v>
      </c>
      <c r="E163" s="285">
        <f t="shared" si="6"/>
        <v>181.49597011806557</v>
      </c>
      <c r="F163" s="295"/>
      <c r="G163" s="199" t="str">
        <f t="shared" si="7"/>
        <v/>
      </c>
      <c r="H163" s="287" t="str">
        <f t="shared" si="8"/>
        <v/>
      </c>
      <c r="I163" s="288"/>
    </row>
    <row r="164" spans="1:9">
      <c r="A164" s="283">
        <v>162</v>
      </c>
      <c r="B164" s="284">
        <v>44540</v>
      </c>
      <c r="C164" s="285">
        <v>417.07023799999996</v>
      </c>
      <c r="D164" s="286">
        <v>181.49597011806557</v>
      </c>
      <c r="E164" s="285">
        <f t="shared" si="6"/>
        <v>181.49597011806557</v>
      </c>
      <c r="F164" s="295"/>
      <c r="G164" s="199" t="str">
        <f t="shared" si="7"/>
        <v/>
      </c>
      <c r="H164" s="287" t="str">
        <f t="shared" si="8"/>
        <v/>
      </c>
      <c r="I164" s="288"/>
    </row>
    <row r="165" spans="1:9">
      <c r="A165" s="283">
        <v>163</v>
      </c>
      <c r="B165" s="284">
        <v>44541</v>
      </c>
      <c r="C165" s="285">
        <v>260.28360699999996</v>
      </c>
      <c r="D165" s="286">
        <v>181.49597011806557</v>
      </c>
      <c r="E165" s="285">
        <f t="shared" si="6"/>
        <v>181.49597011806557</v>
      </c>
      <c r="F165" s="295"/>
      <c r="G165" s="199" t="str">
        <f t="shared" si="7"/>
        <v/>
      </c>
      <c r="H165" s="287" t="str">
        <f t="shared" si="8"/>
        <v/>
      </c>
      <c r="I165" s="288"/>
    </row>
    <row r="166" spans="1:9">
      <c r="A166" s="283">
        <v>164</v>
      </c>
      <c r="B166" s="284">
        <v>44542</v>
      </c>
      <c r="C166" s="285">
        <v>99.346322000000001</v>
      </c>
      <c r="D166" s="286">
        <v>181.49597011806557</v>
      </c>
      <c r="E166" s="285">
        <f t="shared" si="6"/>
        <v>99.346322000000001</v>
      </c>
      <c r="F166" s="295"/>
      <c r="G166" s="199" t="str">
        <f t="shared" si="7"/>
        <v/>
      </c>
      <c r="H166" s="287" t="str">
        <f t="shared" si="8"/>
        <v/>
      </c>
      <c r="I166" s="288"/>
    </row>
    <row r="167" spans="1:9">
      <c r="A167" s="283">
        <v>165</v>
      </c>
      <c r="B167" s="284">
        <v>44543</v>
      </c>
      <c r="C167" s="285">
        <v>92.523330000000001</v>
      </c>
      <c r="D167" s="286">
        <v>181.49597011806557</v>
      </c>
      <c r="E167" s="285">
        <f t="shared" si="6"/>
        <v>92.523330000000001</v>
      </c>
      <c r="F167" s="295"/>
      <c r="G167" s="199" t="str">
        <f t="shared" si="7"/>
        <v/>
      </c>
      <c r="H167" s="287" t="str">
        <f t="shared" si="8"/>
        <v/>
      </c>
      <c r="I167" s="288"/>
    </row>
    <row r="168" spans="1:9">
      <c r="A168" s="283">
        <v>166</v>
      </c>
      <c r="B168" s="284">
        <v>44544</v>
      </c>
      <c r="C168" s="285">
        <v>60.152150999999996</v>
      </c>
      <c r="D168" s="286">
        <v>181.49597011806557</v>
      </c>
      <c r="E168" s="285">
        <f t="shared" si="6"/>
        <v>60.152150999999996</v>
      </c>
      <c r="F168" s="295"/>
      <c r="G168" s="199" t="str">
        <f t="shared" si="7"/>
        <v/>
      </c>
      <c r="H168" s="287" t="str">
        <f t="shared" si="8"/>
        <v/>
      </c>
      <c r="I168" s="288"/>
    </row>
    <row r="169" spans="1:9">
      <c r="A169" s="283">
        <v>167</v>
      </c>
      <c r="B169" s="284">
        <v>44545</v>
      </c>
      <c r="C169" s="285">
        <v>107.20201300000001</v>
      </c>
      <c r="D169" s="286">
        <v>181.49597011806557</v>
      </c>
      <c r="E169" s="285">
        <f t="shared" si="6"/>
        <v>107.20201300000001</v>
      </c>
      <c r="F169" s="295"/>
      <c r="G169" s="199" t="str">
        <f t="shared" si="7"/>
        <v>D</v>
      </c>
      <c r="H169" s="287" t="str">
        <f t="shared" si="8"/>
        <v>181,5</v>
      </c>
      <c r="I169" s="288"/>
    </row>
    <row r="170" spans="1:9">
      <c r="A170" s="283">
        <v>168</v>
      </c>
      <c r="B170" s="284">
        <v>44546</v>
      </c>
      <c r="C170" s="285">
        <v>147.840676</v>
      </c>
      <c r="D170" s="286">
        <v>181.49597011806557</v>
      </c>
      <c r="E170" s="285">
        <f t="shared" si="6"/>
        <v>147.840676</v>
      </c>
      <c r="F170" s="295"/>
      <c r="G170" s="199" t="str">
        <f t="shared" si="7"/>
        <v/>
      </c>
      <c r="H170" s="287" t="str">
        <f t="shared" si="8"/>
        <v/>
      </c>
      <c r="I170" s="288"/>
    </row>
    <row r="171" spans="1:9">
      <c r="A171" s="283">
        <v>169</v>
      </c>
      <c r="B171" s="284">
        <v>44547</v>
      </c>
      <c r="C171" s="285">
        <v>113.43718</v>
      </c>
      <c r="D171" s="286">
        <v>181.49597011806557</v>
      </c>
      <c r="E171" s="285">
        <f t="shared" si="6"/>
        <v>113.43718</v>
      </c>
      <c r="F171" s="295"/>
      <c r="G171" s="199" t="str">
        <f t="shared" si="7"/>
        <v/>
      </c>
      <c r="H171" s="287" t="str">
        <f t="shared" si="8"/>
        <v/>
      </c>
      <c r="I171" s="288"/>
    </row>
    <row r="172" spans="1:9">
      <c r="A172" s="283">
        <v>170</v>
      </c>
      <c r="B172" s="284">
        <v>44548</v>
      </c>
      <c r="C172" s="285">
        <v>83.451227000000003</v>
      </c>
      <c r="D172" s="286">
        <v>181.49597011806557</v>
      </c>
      <c r="E172" s="285">
        <f t="shared" si="6"/>
        <v>83.451227000000003</v>
      </c>
      <c r="F172" s="295"/>
      <c r="G172" s="199" t="str">
        <f t="shared" si="7"/>
        <v/>
      </c>
      <c r="H172" s="287" t="str">
        <f t="shared" si="8"/>
        <v/>
      </c>
      <c r="I172" s="288"/>
    </row>
    <row r="173" spans="1:9">
      <c r="A173" s="283">
        <v>171</v>
      </c>
      <c r="B173" s="284">
        <v>44549</v>
      </c>
      <c r="C173" s="285">
        <v>122.51447400000001</v>
      </c>
      <c r="D173" s="286">
        <v>181.49597011806557</v>
      </c>
      <c r="E173" s="285">
        <f t="shared" si="6"/>
        <v>122.51447400000001</v>
      </c>
      <c r="F173" s="295"/>
      <c r="G173" s="199" t="str">
        <f t="shared" si="7"/>
        <v/>
      </c>
      <c r="H173" s="287" t="str">
        <f t="shared" si="8"/>
        <v/>
      </c>
      <c r="I173" s="288"/>
    </row>
    <row r="174" spans="1:9">
      <c r="A174" s="283">
        <v>172</v>
      </c>
      <c r="B174" s="284">
        <v>44550</v>
      </c>
      <c r="C174" s="285">
        <v>119.96771099999999</v>
      </c>
      <c r="D174" s="286">
        <v>181.49597011806557</v>
      </c>
      <c r="E174" s="285">
        <f t="shared" si="6"/>
        <v>119.96771099999999</v>
      </c>
      <c r="F174" s="295"/>
      <c r="G174" s="199" t="str">
        <f t="shared" si="7"/>
        <v/>
      </c>
      <c r="H174" s="287" t="str">
        <f t="shared" si="8"/>
        <v/>
      </c>
      <c r="I174" s="288"/>
    </row>
    <row r="175" spans="1:9">
      <c r="A175" s="283">
        <v>173</v>
      </c>
      <c r="B175" s="284">
        <v>44551</v>
      </c>
      <c r="C175" s="285">
        <v>131.450579</v>
      </c>
      <c r="D175" s="286">
        <v>181.49597011806557</v>
      </c>
      <c r="E175" s="285">
        <f t="shared" si="6"/>
        <v>131.450579</v>
      </c>
      <c r="F175" s="295"/>
      <c r="G175" s="199" t="str">
        <f t="shared" si="7"/>
        <v/>
      </c>
      <c r="H175" s="287" t="str">
        <f t="shared" si="8"/>
        <v/>
      </c>
      <c r="I175" s="288"/>
    </row>
    <row r="176" spans="1:9">
      <c r="A176" s="283">
        <v>174</v>
      </c>
      <c r="B176" s="284">
        <v>44552</v>
      </c>
      <c r="C176" s="285">
        <v>141.59109799999999</v>
      </c>
      <c r="D176" s="286">
        <v>181.49597011806557</v>
      </c>
      <c r="E176" s="285">
        <f t="shared" si="6"/>
        <v>141.59109799999999</v>
      </c>
      <c r="F176" s="295"/>
      <c r="G176" s="199" t="str">
        <f t="shared" si="7"/>
        <v/>
      </c>
      <c r="H176" s="287" t="str">
        <f t="shared" si="8"/>
        <v/>
      </c>
      <c r="I176" s="288"/>
    </row>
    <row r="177" spans="1:9">
      <c r="A177" s="283">
        <v>175</v>
      </c>
      <c r="B177" s="284">
        <v>44553</v>
      </c>
      <c r="C177" s="285">
        <v>162.03058199999998</v>
      </c>
      <c r="D177" s="286">
        <v>181.49597011806557</v>
      </c>
      <c r="E177" s="285">
        <f t="shared" si="6"/>
        <v>162.03058199999998</v>
      </c>
      <c r="F177" s="295"/>
      <c r="G177" s="199" t="str">
        <f t="shared" si="7"/>
        <v/>
      </c>
      <c r="H177" s="287" t="str">
        <f t="shared" si="8"/>
        <v/>
      </c>
      <c r="I177" s="288"/>
    </row>
    <row r="178" spans="1:9">
      <c r="A178" s="283">
        <v>176</v>
      </c>
      <c r="B178" s="284">
        <v>44554</v>
      </c>
      <c r="C178" s="285">
        <v>198.19411799999997</v>
      </c>
      <c r="D178" s="286">
        <v>181.49597011806557</v>
      </c>
      <c r="E178" s="285">
        <f t="shared" si="6"/>
        <v>181.49597011806557</v>
      </c>
      <c r="F178" s="295"/>
      <c r="G178" s="199" t="str">
        <f t="shared" si="7"/>
        <v/>
      </c>
      <c r="H178" s="287" t="str">
        <f t="shared" si="8"/>
        <v/>
      </c>
      <c r="I178" s="288"/>
    </row>
    <row r="179" spans="1:9">
      <c r="A179" s="283">
        <v>177</v>
      </c>
      <c r="B179" s="284">
        <v>44555</v>
      </c>
      <c r="C179" s="285">
        <v>160.13869</v>
      </c>
      <c r="D179" s="286">
        <v>181.49597011806557</v>
      </c>
      <c r="E179" s="285">
        <f t="shared" si="6"/>
        <v>160.13869</v>
      </c>
      <c r="F179" s="295"/>
      <c r="G179" s="199" t="str">
        <f t="shared" si="7"/>
        <v/>
      </c>
      <c r="H179" s="287" t="str">
        <f t="shared" si="8"/>
        <v/>
      </c>
      <c r="I179" s="288"/>
    </row>
    <row r="180" spans="1:9">
      <c r="A180" s="283">
        <v>178</v>
      </c>
      <c r="B180" s="284">
        <v>44556</v>
      </c>
      <c r="C180" s="285">
        <v>235.758375</v>
      </c>
      <c r="D180" s="286">
        <v>181.49597011806557</v>
      </c>
      <c r="E180" s="285">
        <f t="shared" si="6"/>
        <v>181.49597011806557</v>
      </c>
      <c r="F180" s="295"/>
      <c r="G180" s="199" t="str">
        <f t="shared" si="7"/>
        <v/>
      </c>
      <c r="H180" s="287" t="str">
        <f t="shared" si="8"/>
        <v/>
      </c>
      <c r="I180" s="288"/>
    </row>
    <row r="181" spans="1:9">
      <c r="A181" s="283">
        <v>179</v>
      </c>
      <c r="B181" s="284">
        <v>44557</v>
      </c>
      <c r="C181" s="285">
        <v>391.16411900000003</v>
      </c>
      <c r="D181" s="286">
        <v>181.49597011806557</v>
      </c>
      <c r="E181" s="285">
        <f t="shared" si="6"/>
        <v>181.49597011806557</v>
      </c>
      <c r="F181" s="295"/>
      <c r="G181" s="199" t="str">
        <f t="shared" si="7"/>
        <v/>
      </c>
      <c r="H181" s="287" t="str">
        <f t="shared" si="8"/>
        <v/>
      </c>
      <c r="I181" s="288"/>
    </row>
    <row r="182" spans="1:9">
      <c r="A182" s="283">
        <v>180</v>
      </c>
      <c r="B182" s="284">
        <v>44558</v>
      </c>
      <c r="C182" s="285">
        <v>378.94098299999996</v>
      </c>
      <c r="D182" s="286">
        <v>181.49597011806557</v>
      </c>
      <c r="E182" s="285">
        <f t="shared" si="6"/>
        <v>181.49597011806557</v>
      </c>
      <c r="F182" s="295"/>
      <c r="G182" s="199" t="str">
        <f t="shared" si="7"/>
        <v/>
      </c>
      <c r="H182" s="287" t="str">
        <f t="shared" si="8"/>
        <v/>
      </c>
      <c r="I182" s="288"/>
    </row>
    <row r="183" spans="1:9">
      <c r="A183" s="283">
        <v>181</v>
      </c>
      <c r="B183" s="284">
        <v>44559</v>
      </c>
      <c r="C183" s="285">
        <v>214.961682</v>
      </c>
      <c r="D183" s="286">
        <v>181.49597011806557</v>
      </c>
      <c r="E183" s="285">
        <f t="shared" si="6"/>
        <v>181.49597011806557</v>
      </c>
      <c r="F183" s="295"/>
      <c r="G183" s="199" t="str">
        <f t="shared" si="7"/>
        <v/>
      </c>
      <c r="H183" s="287" t="str">
        <f t="shared" si="8"/>
        <v/>
      </c>
      <c r="I183" s="288"/>
    </row>
    <row r="184" spans="1:9">
      <c r="A184" s="283">
        <v>182</v>
      </c>
      <c r="B184" s="284">
        <v>44560</v>
      </c>
      <c r="C184" s="285">
        <v>93.666549000000003</v>
      </c>
      <c r="D184" s="286">
        <v>181.49597011806557</v>
      </c>
      <c r="E184" s="285">
        <f t="shared" si="6"/>
        <v>93.666549000000003</v>
      </c>
      <c r="F184" s="295"/>
      <c r="G184" s="199" t="str">
        <f t="shared" si="7"/>
        <v/>
      </c>
      <c r="H184" s="287" t="str">
        <f t="shared" si="8"/>
        <v/>
      </c>
      <c r="I184" s="288"/>
    </row>
    <row r="185" spans="1:9">
      <c r="A185" s="283">
        <v>183</v>
      </c>
      <c r="B185" s="284">
        <v>44561</v>
      </c>
      <c r="C185" s="285">
        <v>120.18132399999999</v>
      </c>
      <c r="D185" s="286">
        <v>181.49597011806557</v>
      </c>
      <c r="E185" s="285">
        <f t="shared" si="6"/>
        <v>120.18132399999999</v>
      </c>
      <c r="F185" s="295"/>
      <c r="G185" s="199" t="str">
        <f t="shared" si="7"/>
        <v/>
      </c>
      <c r="H185" s="287" t="str">
        <f t="shared" si="8"/>
        <v/>
      </c>
      <c r="I185" s="288"/>
    </row>
    <row r="186" spans="1:9">
      <c r="A186" s="283">
        <v>184</v>
      </c>
      <c r="B186" s="284">
        <v>44562</v>
      </c>
      <c r="C186" s="285">
        <v>139.46714299999999</v>
      </c>
      <c r="D186" s="286">
        <v>211.72655948372767</v>
      </c>
      <c r="E186" s="285">
        <f t="shared" si="6"/>
        <v>139.46714299999999</v>
      </c>
      <c r="F186" s="288">
        <f>YEAR(B186)</f>
        <v>2022</v>
      </c>
      <c r="G186" s="199" t="str">
        <f t="shared" si="7"/>
        <v/>
      </c>
      <c r="H186" s="287" t="str">
        <f t="shared" si="8"/>
        <v/>
      </c>
      <c r="I186" s="288"/>
    </row>
    <row r="187" spans="1:9">
      <c r="A187" s="283">
        <v>185</v>
      </c>
      <c r="B187" s="284">
        <v>44563</v>
      </c>
      <c r="C187" s="285">
        <v>103.22421899999999</v>
      </c>
      <c r="D187" s="286">
        <v>211.72655948372767</v>
      </c>
      <c r="E187" s="285">
        <f t="shared" si="6"/>
        <v>103.22421899999999</v>
      </c>
      <c r="F187" s="295"/>
      <c r="G187" s="199" t="str">
        <f t="shared" si="7"/>
        <v/>
      </c>
      <c r="H187" s="287" t="str">
        <f t="shared" si="8"/>
        <v/>
      </c>
      <c r="I187" s="288"/>
    </row>
    <row r="188" spans="1:9">
      <c r="A188" s="283">
        <v>186</v>
      </c>
      <c r="B188" s="284">
        <v>44564</v>
      </c>
      <c r="C188" s="285">
        <v>151.54802099999998</v>
      </c>
      <c r="D188" s="286">
        <v>211.72655948372767</v>
      </c>
      <c r="E188" s="285">
        <f t="shared" si="6"/>
        <v>151.54802099999998</v>
      </c>
      <c r="F188" s="295"/>
      <c r="G188" s="199" t="str">
        <f t="shared" si="7"/>
        <v/>
      </c>
      <c r="H188" s="287" t="str">
        <f t="shared" si="8"/>
        <v/>
      </c>
      <c r="I188" s="288"/>
    </row>
    <row r="189" spans="1:9">
      <c r="A189" s="283">
        <v>187</v>
      </c>
      <c r="B189" s="284">
        <v>44565</v>
      </c>
      <c r="C189" s="285">
        <v>303.58201500000001</v>
      </c>
      <c r="D189" s="286">
        <v>211.72655948372767</v>
      </c>
      <c r="E189" s="285">
        <f t="shared" si="6"/>
        <v>211.72655948372767</v>
      </c>
      <c r="F189" s="295"/>
      <c r="G189" s="199" t="str">
        <f t="shared" si="7"/>
        <v/>
      </c>
      <c r="H189" s="287" t="str">
        <f t="shared" si="8"/>
        <v/>
      </c>
      <c r="I189" s="288"/>
    </row>
    <row r="190" spans="1:9">
      <c r="A190" s="283">
        <v>188</v>
      </c>
      <c r="B190" s="284">
        <v>44566</v>
      </c>
      <c r="C190" s="285">
        <v>291.232482</v>
      </c>
      <c r="D190" s="286">
        <v>211.72655948372767</v>
      </c>
      <c r="E190" s="285">
        <f t="shared" si="6"/>
        <v>211.72655948372767</v>
      </c>
      <c r="F190" s="295"/>
      <c r="G190" s="199" t="str">
        <f t="shared" si="7"/>
        <v/>
      </c>
      <c r="H190" s="287" t="str">
        <f t="shared" si="8"/>
        <v/>
      </c>
      <c r="I190" s="288"/>
    </row>
    <row r="191" spans="1:9">
      <c r="A191" s="283">
        <v>189</v>
      </c>
      <c r="B191" s="284">
        <v>44567</v>
      </c>
      <c r="C191" s="285">
        <v>206.08566300000001</v>
      </c>
      <c r="D191" s="286">
        <v>211.72655948372767</v>
      </c>
      <c r="E191" s="285">
        <f t="shared" si="6"/>
        <v>206.08566300000001</v>
      </c>
      <c r="F191" s="295"/>
      <c r="G191" s="199" t="str">
        <f t="shared" si="7"/>
        <v/>
      </c>
      <c r="H191" s="287" t="str">
        <f t="shared" si="8"/>
        <v/>
      </c>
      <c r="I191" s="288"/>
    </row>
    <row r="192" spans="1:9">
      <c r="A192" s="283">
        <v>190</v>
      </c>
      <c r="B192" s="284">
        <v>44568</v>
      </c>
      <c r="C192" s="285">
        <v>208.517426</v>
      </c>
      <c r="D192" s="286">
        <v>211.72655948372767</v>
      </c>
      <c r="E192" s="285">
        <f t="shared" si="6"/>
        <v>208.517426</v>
      </c>
      <c r="F192" s="295"/>
      <c r="G192" s="199" t="str">
        <f t="shared" si="7"/>
        <v/>
      </c>
      <c r="H192" s="287" t="str">
        <f t="shared" si="8"/>
        <v/>
      </c>
      <c r="I192" s="288"/>
    </row>
    <row r="193" spans="1:9">
      <c r="A193" s="283">
        <v>191</v>
      </c>
      <c r="B193" s="284">
        <v>44569</v>
      </c>
      <c r="C193" s="285">
        <v>261.85432700000001</v>
      </c>
      <c r="D193" s="286">
        <v>211.72655948372767</v>
      </c>
      <c r="E193" s="285">
        <f t="shared" si="6"/>
        <v>211.72655948372767</v>
      </c>
      <c r="F193" s="295"/>
      <c r="G193" s="199" t="str">
        <f t="shared" si="7"/>
        <v/>
      </c>
      <c r="H193" s="287" t="str">
        <f t="shared" si="8"/>
        <v/>
      </c>
      <c r="I193" s="288"/>
    </row>
    <row r="194" spans="1:9">
      <c r="A194" s="283">
        <v>192</v>
      </c>
      <c r="B194" s="284">
        <v>44570</v>
      </c>
      <c r="C194" s="285">
        <v>392.63695100000001</v>
      </c>
      <c r="D194" s="286">
        <v>211.72655948372767</v>
      </c>
      <c r="E194" s="285">
        <f t="shared" si="6"/>
        <v>211.72655948372767</v>
      </c>
      <c r="F194" s="295"/>
      <c r="G194" s="199" t="str">
        <f t="shared" si="7"/>
        <v/>
      </c>
      <c r="H194" s="287" t="str">
        <f t="shared" si="8"/>
        <v/>
      </c>
      <c r="I194" s="288"/>
    </row>
    <row r="195" spans="1:9">
      <c r="A195" s="283">
        <v>193</v>
      </c>
      <c r="B195" s="284">
        <v>44571</v>
      </c>
      <c r="C195" s="285">
        <v>307.09090900000001</v>
      </c>
      <c r="D195" s="286">
        <v>211.72655948372767</v>
      </c>
      <c r="E195" s="285">
        <f t="shared" ref="E195:E258" si="9">IF(C195&gt;D195,D195,C195)</f>
        <v>211.72655948372767</v>
      </c>
      <c r="F195" s="295"/>
      <c r="G195" s="199" t="str">
        <f t="shared" ref="G195:G258" si="10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287" t="str">
        <f t="shared" ref="H195:H258" si="11">IF(DAY($B195)=15,TEXT(D195,"#,0"),"")</f>
        <v/>
      </c>
      <c r="I195" s="288"/>
    </row>
    <row r="196" spans="1:9">
      <c r="A196" s="283">
        <v>194</v>
      </c>
      <c r="B196" s="284">
        <v>44572</v>
      </c>
      <c r="C196" s="285">
        <v>245.221847</v>
      </c>
      <c r="D196" s="286">
        <v>211.72655948372767</v>
      </c>
      <c r="E196" s="285">
        <f t="shared" si="9"/>
        <v>211.72655948372767</v>
      </c>
      <c r="F196" s="295"/>
      <c r="G196" s="199" t="str">
        <f t="shared" si="10"/>
        <v/>
      </c>
      <c r="H196" s="287" t="str">
        <f t="shared" si="11"/>
        <v/>
      </c>
      <c r="I196" s="288"/>
    </row>
    <row r="197" spans="1:9">
      <c r="A197" s="283">
        <v>195</v>
      </c>
      <c r="B197" s="284">
        <v>44573</v>
      </c>
      <c r="C197" s="285">
        <v>263.36616300000003</v>
      </c>
      <c r="D197" s="286">
        <v>211.72655948372767</v>
      </c>
      <c r="E197" s="285">
        <f t="shared" si="9"/>
        <v>211.72655948372767</v>
      </c>
      <c r="F197" s="295"/>
      <c r="G197" s="199" t="str">
        <f t="shared" si="10"/>
        <v/>
      </c>
      <c r="H197" s="287" t="str">
        <f t="shared" si="11"/>
        <v/>
      </c>
      <c r="I197" s="288"/>
    </row>
    <row r="198" spans="1:9">
      <c r="A198" s="283">
        <v>196</v>
      </c>
      <c r="B198" s="284">
        <v>44574</v>
      </c>
      <c r="C198" s="285">
        <v>128.97225800000001</v>
      </c>
      <c r="D198" s="286">
        <v>211.72655948372767</v>
      </c>
      <c r="E198" s="285">
        <f t="shared" si="9"/>
        <v>128.97225800000001</v>
      </c>
      <c r="F198" s="295"/>
      <c r="G198" s="199" t="str">
        <f t="shared" si="10"/>
        <v/>
      </c>
      <c r="H198" s="287" t="str">
        <f t="shared" si="11"/>
        <v/>
      </c>
      <c r="I198" s="288"/>
    </row>
    <row r="199" spans="1:9">
      <c r="A199" s="283">
        <v>197</v>
      </c>
      <c r="B199" s="284">
        <v>44575</v>
      </c>
      <c r="C199" s="285">
        <v>84.023750000000007</v>
      </c>
      <c r="D199" s="286">
        <v>211.72655948372767</v>
      </c>
      <c r="E199" s="285">
        <f t="shared" si="9"/>
        <v>84.023750000000007</v>
      </c>
      <c r="F199" s="295"/>
      <c r="G199" s="199" t="str">
        <f t="shared" si="10"/>
        <v/>
      </c>
      <c r="H199" s="287" t="str">
        <f t="shared" si="11"/>
        <v/>
      </c>
      <c r="I199" s="288"/>
    </row>
    <row r="200" spans="1:9">
      <c r="A200" s="283">
        <v>198</v>
      </c>
      <c r="B200" s="284">
        <v>44576</v>
      </c>
      <c r="C200" s="285">
        <v>62.009610000000002</v>
      </c>
      <c r="D200" s="286">
        <v>211.72655948372767</v>
      </c>
      <c r="E200" s="285">
        <f t="shared" si="9"/>
        <v>62.009610000000002</v>
      </c>
      <c r="F200" s="295"/>
      <c r="G200" s="199" t="str">
        <f t="shared" si="10"/>
        <v>E</v>
      </c>
      <c r="H200" s="287" t="str">
        <f t="shared" si="11"/>
        <v>211,7</v>
      </c>
      <c r="I200" s="288"/>
    </row>
    <row r="201" spans="1:9">
      <c r="A201" s="283">
        <v>199</v>
      </c>
      <c r="B201" s="284">
        <v>44577</v>
      </c>
      <c r="C201" s="285">
        <v>64.098206000000005</v>
      </c>
      <c r="D201" s="286">
        <v>211.72655948372767</v>
      </c>
      <c r="E201" s="285">
        <f t="shared" si="9"/>
        <v>64.098206000000005</v>
      </c>
      <c r="F201" s="295"/>
      <c r="G201" s="199" t="str">
        <f t="shared" si="10"/>
        <v/>
      </c>
      <c r="H201" s="287" t="str">
        <f t="shared" si="11"/>
        <v/>
      </c>
      <c r="I201" s="288"/>
    </row>
    <row r="202" spans="1:9">
      <c r="A202" s="283">
        <v>200</v>
      </c>
      <c r="B202" s="284">
        <v>44578</v>
      </c>
      <c r="C202" s="285">
        <v>76.089658</v>
      </c>
      <c r="D202" s="286">
        <v>211.72655948372767</v>
      </c>
      <c r="E202" s="285">
        <f t="shared" si="9"/>
        <v>76.089658</v>
      </c>
      <c r="F202" s="295"/>
      <c r="G202" s="199" t="str">
        <f t="shared" si="10"/>
        <v/>
      </c>
      <c r="H202" s="287" t="str">
        <f t="shared" si="11"/>
        <v/>
      </c>
      <c r="I202" s="288"/>
    </row>
    <row r="203" spans="1:9">
      <c r="A203" s="283">
        <v>201</v>
      </c>
      <c r="B203" s="284">
        <v>44579</v>
      </c>
      <c r="C203" s="285">
        <v>50.593338000000003</v>
      </c>
      <c r="D203" s="286">
        <v>211.72655948372767</v>
      </c>
      <c r="E203" s="285">
        <f t="shared" si="9"/>
        <v>50.593338000000003</v>
      </c>
      <c r="F203" s="295"/>
      <c r="G203" s="199" t="str">
        <f t="shared" si="10"/>
        <v/>
      </c>
      <c r="H203" s="287" t="str">
        <f t="shared" si="11"/>
        <v/>
      </c>
      <c r="I203" s="288"/>
    </row>
    <row r="204" spans="1:9">
      <c r="A204" s="283">
        <v>202</v>
      </c>
      <c r="B204" s="284">
        <v>44580</v>
      </c>
      <c r="C204" s="285">
        <v>95.961089000000001</v>
      </c>
      <c r="D204" s="286">
        <v>211.72655948372767</v>
      </c>
      <c r="E204" s="285">
        <f t="shared" si="9"/>
        <v>95.961089000000001</v>
      </c>
      <c r="F204" s="295"/>
      <c r="G204" s="199" t="str">
        <f t="shared" si="10"/>
        <v/>
      </c>
      <c r="H204" s="287" t="str">
        <f t="shared" si="11"/>
        <v/>
      </c>
      <c r="I204" s="288"/>
    </row>
    <row r="205" spans="1:9">
      <c r="A205" s="283">
        <v>203</v>
      </c>
      <c r="B205" s="284">
        <v>44581</v>
      </c>
      <c r="C205" s="285">
        <v>208.84425399999998</v>
      </c>
      <c r="D205" s="286">
        <v>211.72655948372767</v>
      </c>
      <c r="E205" s="285">
        <f t="shared" si="9"/>
        <v>208.84425399999998</v>
      </c>
      <c r="F205" s="295"/>
      <c r="G205" s="199" t="str">
        <f t="shared" si="10"/>
        <v/>
      </c>
      <c r="H205" s="287" t="str">
        <f t="shared" si="11"/>
        <v/>
      </c>
      <c r="I205" s="288"/>
    </row>
    <row r="206" spans="1:9">
      <c r="A206" s="283">
        <v>204</v>
      </c>
      <c r="B206" s="284">
        <v>44582</v>
      </c>
      <c r="C206" s="285">
        <v>308.51583400000004</v>
      </c>
      <c r="D206" s="286">
        <v>211.72655948372767</v>
      </c>
      <c r="E206" s="285">
        <f t="shared" si="9"/>
        <v>211.72655948372767</v>
      </c>
      <c r="F206" s="295"/>
      <c r="G206" s="199" t="str">
        <f t="shared" si="10"/>
        <v/>
      </c>
      <c r="H206" s="287" t="str">
        <f t="shared" si="11"/>
        <v/>
      </c>
      <c r="I206" s="288"/>
    </row>
    <row r="207" spans="1:9">
      <c r="A207" s="283">
        <v>205</v>
      </c>
      <c r="B207" s="284">
        <v>44583</v>
      </c>
      <c r="C207" s="285">
        <v>174.68729300000001</v>
      </c>
      <c r="D207" s="286">
        <v>211.72655948372767</v>
      </c>
      <c r="E207" s="285">
        <f t="shared" si="9"/>
        <v>174.68729300000001</v>
      </c>
      <c r="F207" s="295"/>
      <c r="G207" s="199" t="str">
        <f t="shared" si="10"/>
        <v/>
      </c>
      <c r="H207" s="287" t="str">
        <f t="shared" si="11"/>
        <v/>
      </c>
      <c r="I207" s="288"/>
    </row>
    <row r="208" spans="1:9">
      <c r="A208" s="283">
        <v>206</v>
      </c>
      <c r="B208" s="284">
        <v>44584</v>
      </c>
      <c r="C208" s="285">
        <v>95.033597</v>
      </c>
      <c r="D208" s="286">
        <v>211.72655948372767</v>
      </c>
      <c r="E208" s="285">
        <f t="shared" si="9"/>
        <v>95.033597</v>
      </c>
      <c r="F208" s="295"/>
      <c r="G208" s="199" t="str">
        <f t="shared" si="10"/>
        <v/>
      </c>
      <c r="H208" s="287" t="str">
        <f t="shared" si="11"/>
        <v/>
      </c>
      <c r="I208" s="288"/>
    </row>
    <row r="209" spans="1:9">
      <c r="A209" s="283">
        <v>207</v>
      </c>
      <c r="B209" s="284">
        <v>44585</v>
      </c>
      <c r="C209" s="285">
        <v>82.138345000000001</v>
      </c>
      <c r="D209" s="286">
        <v>211.72655948372767</v>
      </c>
      <c r="E209" s="285">
        <f t="shared" si="9"/>
        <v>82.138345000000001</v>
      </c>
      <c r="F209" s="295"/>
      <c r="G209" s="199" t="str">
        <f t="shared" si="10"/>
        <v/>
      </c>
      <c r="H209" s="287" t="str">
        <f t="shared" si="11"/>
        <v/>
      </c>
      <c r="I209" s="288"/>
    </row>
    <row r="210" spans="1:9">
      <c r="A210" s="283">
        <v>208</v>
      </c>
      <c r="B210" s="284">
        <v>44586</v>
      </c>
      <c r="C210" s="285">
        <v>99.780138000000008</v>
      </c>
      <c r="D210" s="286">
        <v>211.72655948372767</v>
      </c>
      <c r="E210" s="285">
        <f t="shared" si="9"/>
        <v>99.780138000000008</v>
      </c>
      <c r="F210" s="295"/>
      <c r="G210" s="199" t="str">
        <f t="shared" si="10"/>
        <v/>
      </c>
      <c r="H210" s="287" t="str">
        <f t="shared" si="11"/>
        <v/>
      </c>
      <c r="I210" s="288"/>
    </row>
    <row r="211" spans="1:9">
      <c r="A211" s="283">
        <v>209</v>
      </c>
      <c r="B211" s="284">
        <v>44587</v>
      </c>
      <c r="C211" s="285">
        <v>122.851392</v>
      </c>
      <c r="D211" s="286">
        <v>211.72655948372767</v>
      </c>
      <c r="E211" s="285">
        <f t="shared" si="9"/>
        <v>122.851392</v>
      </c>
      <c r="F211" s="295"/>
      <c r="G211" s="199" t="str">
        <f t="shared" si="10"/>
        <v/>
      </c>
      <c r="H211" s="287" t="str">
        <f t="shared" si="11"/>
        <v/>
      </c>
      <c r="I211" s="288"/>
    </row>
    <row r="212" spans="1:9">
      <c r="A212" s="283">
        <v>210</v>
      </c>
      <c r="B212" s="284">
        <v>44588</v>
      </c>
      <c r="C212" s="285">
        <v>134.06660399999998</v>
      </c>
      <c r="D212" s="286">
        <v>211.72655948372767</v>
      </c>
      <c r="E212" s="285">
        <f t="shared" si="9"/>
        <v>134.06660399999998</v>
      </c>
      <c r="F212" s="295"/>
      <c r="G212" s="199" t="str">
        <f t="shared" si="10"/>
        <v/>
      </c>
      <c r="H212" s="287" t="str">
        <f t="shared" si="11"/>
        <v/>
      </c>
      <c r="I212" s="288"/>
    </row>
    <row r="213" spans="1:9">
      <c r="A213" s="283">
        <v>211</v>
      </c>
      <c r="B213" s="284">
        <v>44589</v>
      </c>
      <c r="C213" s="285">
        <v>212.95236799999998</v>
      </c>
      <c r="D213" s="286">
        <v>211.72655948372767</v>
      </c>
      <c r="E213" s="285">
        <f t="shared" si="9"/>
        <v>211.72655948372767</v>
      </c>
      <c r="F213" s="295"/>
      <c r="G213" s="199" t="str">
        <f t="shared" si="10"/>
        <v/>
      </c>
      <c r="H213" s="287" t="str">
        <f t="shared" si="11"/>
        <v/>
      </c>
      <c r="I213" s="288"/>
    </row>
    <row r="214" spans="1:9">
      <c r="A214" s="283">
        <v>212</v>
      </c>
      <c r="B214" s="284">
        <v>44590</v>
      </c>
      <c r="C214" s="285">
        <v>114.510254</v>
      </c>
      <c r="D214" s="286">
        <v>211.72655948372767</v>
      </c>
      <c r="E214" s="285">
        <f t="shared" si="9"/>
        <v>114.510254</v>
      </c>
      <c r="F214" s="295"/>
      <c r="G214" s="199" t="str">
        <f t="shared" si="10"/>
        <v/>
      </c>
      <c r="H214" s="287" t="str">
        <f t="shared" si="11"/>
        <v/>
      </c>
      <c r="I214" s="288"/>
    </row>
    <row r="215" spans="1:9">
      <c r="A215" s="283">
        <v>213</v>
      </c>
      <c r="B215" s="284">
        <v>44591</v>
      </c>
      <c r="C215" s="285">
        <v>91.937937999999988</v>
      </c>
      <c r="D215" s="286">
        <v>211.72655948372767</v>
      </c>
      <c r="E215" s="285">
        <f t="shared" si="9"/>
        <v>91.937937999999988</v>
      </c>
      <c r="F215" s="295"/>
      <c r="G215" s="199" t="str">
        <f t="shared" si="10"/>
        <v/>
      </c>
      <c r="H215" s="287" t="str">
        <f t="shared" si="11"/>
        <v/>
      </c>
      <c r="I215" s="288"/>
    </row>
    <row r="216" spans="1:9">
      <c r="A216" s="283">
        <v>214</v>
      </c>
      <c r="B216" s="284">
        <v>44592</v>
      </c>
      <c r="C216" s="285">
        <v>297.76748099999998</v>
      </c>
      <c r="D216" s="286">
        <v>211.72655948372767</v>
      </c>
      <c r="E216" s="285">
        <f t="shared" si="9"/>
        <v>211.72655948372767</v>
      </c>
      <c r="F216" s="288"/>
      <c r="G216" s="199" t="str">
        <f t="shared" si="10"/>
        <v/>
      </c>
      <c r="H216" s="287" t="str">
        <f t="shared" si="11"/>
        <v/>
      </c>
      <c r="I216" s="288"/>
    </row>
    <row r="217" spans="1:9">
      <c r="A217" s="283">
        <v>215</v>
      </c>
      <c r="B217" s="284">
        <v>44593</v>
      </c>
      <c r="C217" s="285">
        <v>315.40232800000001</v>
      </c>
      <c r="D217" s="286">
        <v>223.52103944529028</v>
      </c>
      <c r="E217" s="285">
        <f t="shared" si="9"/>
        <v>223.52103944529028</v>
      </c>
      <c r="F217" s="295"/>
      <c r="G217" s="199" t="str">
        <f t="shared" si="10"/>
        <v/>
      </c>
      <c r="H217" s="287" t="str">
        <f t="shared" si="11"/>
        <v/>
      </c>
      <c r="I217" s="288"/>
    </row>
    <row r="218" spans="1:9">
      <c r="A218" s="283">
        <v>216</v>
      </c>
      <c r="B218" s="284">
        <v>44594</v>
      </c>
      <c r="C218" s="285">
        <v>143.09100799999999</v>
      </c>
      <c r="D218" s="286">
        <v>223.52103944529028</v>
      </c>
      <c r="E218" s="285">
        <f t="shared" si="9"/>
        <v>143.09100799999999</v>
      </c>
      <c r="F218" s="295"/>
      <c r="G218" s="199" t="str">
        <f t="shared" si="10"/>
        <v/>
      </c>
      <c r="H218" s="287" t="str">
        <f t="shared" si="11"/>
        <v/>
      </c>
      <c r="I218" s="288"/>
    </row>
    <row r="219" spans="1:9">
      <c r="A219" s="283">
        <v>217</v>
      </c>
      <c r="B219" s="284">
        <v>44595</v>
      </c>
      <c r="C219" s="285">
        <v>83.192159000000004</v>
      </c>
      <c r="D219" s="286">
        <v>223.52103944529028</v>
      </c>
      <c r="E219" s="285">
        <f t="shared" si="9"/>
        <v>83.192159000000004</v>
      </c>
      <c r="F219" s="295"/>
      <c r="G219" s="199" t="str">
        <f t="shared" si="10"/>
        <v/>
      </c>
      <c r="H219" s="287" t="str">
        <f t="shared" si="11"/>
        <v/>
      </c>
      <c r="I219" s="288"/>
    </row>
    <row r="220" spans="1:9">
      <c r="A220" s="283">
        <v>218</v>
      </c>
      <c r="B220" s="284">
        <v>44596</v>
      </c>
      <c r="C220" s="285">
        <v>104.78446400000001</v>
      </c>
      <c r="D220" s="286">
        <v>223.52103944529028</v>
      </c>
      <c r="E220" s="285">
        <f t="shared" si="9"/>
        <v>104.78446400000001</v>
      </c>
      <c r="F220" s="295"/>
      <c r="G220" s="199" t="str">
        <f t="shared" si="10"/>
        <v/>
      </c>
      <c r="H220" s="287" t="str">
        <f t="shared" si="11"/>
        <v/>
      </c>
      <c r="I220" s="288"/>
    </row>
    <row r="221" spans="1:9">
      <c r="A221" s="283">
        <v>219</v>
      </c>
      <c r="B221" s="284">
        <v>44597</v>
      </c>
      <c r="C221" s="285">
        <v>199.71894899999998</v>
      </c>
      <c r="D221" s="286">
        <v>223.52103944529028</v>
      </c>
      <c r="E221" s="285">
        <f t="shared" si="9"/>
        <v>199.71894899999998</v>
      </c>
      <c r="F221" s="295"/>
      <c r="G221" s="199" t="str">
        <f t="shared" si="10"/>
        <v/>
      </c>
      <c r="H221" s="287" t="str">
        <f t="shared" si="11"/>
        <v/>
      </c>
      <c r="I221" s="288"/>
    </row>
    <row r="222" spans="1:9">
      <c r="A222" s="283">
        <v>220</v>
      </c>
      <c r="B222" s="284">
        <v>44598</v>
      </c>
      <c r="C222" s="285">
        <v>147.25397400000003</v>
      </c>
      <c r="D222" s="286">
        <v>223.52103944529028</v>
      </c>
      <c r="E222" s="285">
        <f t="shared" si="9"/>
        <v>147.25397400000003</v>
      </c>
      <c r="F222" s="295"/>
      <c r="G222" s="199" t="str">
        <f t="shared" si="10"/>
        <v/>
      </c>
      <c r="H222" s="287" t="str">
        <f t="shared" si="11"/>
        <v/>
      </c>
      <c r="I222" s="288"/>
    </row>
    <row r="223" spans="1:9">
      <c r="A223" s="283">
        <v>221</v>
      </c>
      <c r="B223" s="284">
        <v>44599</v>
      </c>
      <c r="C223" s="285">
        <v>238.07046899999997</v>
      </c>
      <c r="D223" s="286">
        <v>223.52103944529028</v>
      </c>
      <c r="E223" s="285">
        <f t="shared" si="9"/>
        <v>223.52103944529028</v>
      </c>
      <c r="F223" s="295"/>
      <c r="G223" s="199" t="str">
        <f t="shared" si="10"/>
        <v/>
      </c>
      <c r="H223" s="287" t="str">
        <f t="shared" si="11"/>
        <v/>
      </c>
      <c r="I223" s="288"/>
    </row>
    <row r="224" spans="1:9">
      <c r="A224" s="283">
        <v>222</v>
      </c>
      <c r="B224" s="284">
        <v>44600</v>
      </c>
      <c r="C224" s="285">
        <v>135.511663</v>
      </c>
      <c r="D224" s="286">
        <v>223.52103944529028</v>
      </c>
      <c r="E224" s="285">
        <f t="shared" si="9"/>
        <v>135.511663</v>
      </c>
      <c r="F224" s="295"/>
      <c r="G224" s="199" t="str">
        <f t="shared" si="10"/>
        <v/>
      </c>
      <c r="H224" s="287" t="str">
        <f t="shared" si="11"/>
        <v/>
      </c>
      <c r="I224" s="288"/>
    </row>
    <row r="225" spans="1:9">
      <c r="A225" s="283">
        <v>223</v>
      </c>
      <c r="B225" s="284">
        <v>44601</v>
      </c>
      <c r="C225" s="285">
        <v>102.331266</v>
      </c>
      <c r="D225" s="286">
        <v>223.52103944529028</v>
      </c>
      <c r="E225" s="285">
        <f t="shared" si="9"/>
        <v>102.331266</v>
      </c>
      <c r="F225" s="295"/>
      <c r="G225" s="199" t="str">
        <f t="shared" si="10"/>
        <v/>
      </c>
      <c r="H225" s="287" t="str">
        <f t="shared" si="11"/>
        <v/>
      </c>
      <c r="I225" s="288"/>
    </row>
    <row r="226" spans="1:9">
      <c r="A226" s="283">
        <v>224</v>
      </c>
      <c r="B226" s="284">
        <v>44602</v>
      </c>
      <c r="C226" s="285">
        <v>49.852665999999999</v>
      </c>
      <c r="D226" s="286">
        <v>223.52103944529028</v>
      </c>
      <c r="E226" s="285">
        <f t="shared" si="9"/>
        <v>49.852665999999999</v>
      </c>
      <c r="F226" s="295"/>
      <c r="G226" s="199" t="str">
        <f t="shared" si="10"/>
        <v/>
      </c>
      <c r="H226" s="287" t="str">
        <f t="shared" si="11"/>
        <v/>
      </c>
      <c r="I226" s="288"/>
    </row>
    <row r="227" spans="1:9">
      <c r="A227" s="283">
        <v>225</v>
      </c>
      <c r="B227" s="284">
        <v>44603</v>
      </c>
      <c r="C227" s="285">
        <v>74.106666000000004</v>
      </c>
      <c r="D227" s="286">
        <v>223.52103944529028</v>
      </c>
      <c r="E227" s="285">
        <f t="shared" si="9"/>
        <v>74.106666000000004</v>
      </c>
      <c r="F227" s="295"/>
      <c r="G227" s="199" t="str">
        <f t="shared" si="10"/>
        <v/>
      </c>
      <c r="H227" s="287" t="str">
        <f t="shared" si="11"/>
        <v/>
      </c>
      <c r="I227" s="288"/>
    </row>
    <row r="228" spans="1:9">
      <c r="A228" s="283">
        <v>226</v>
      </c>
      <c r="B228" s="284">
        <v>44604</v>
      </c>
      <c r="C228" s="285">
        <v>49.278058999999999</v>
      </c>
      <c r="D228" s="286">
        <v>223.52103944529028</v>
      </c>
      <c r="E228" s="285">
        <f t="shared" si="9"/>
        <v>49.278058999999999</v>
      </c>
      <c r="F228" s="295"/>
      <c r="G228" s="199" t="str">
        <f t="shared" si="10"/>
        <v/>
      </c>
      <c r="H228" s="287" t="str">
        <f t="shared" si="11"/>
        <v/>
      </c>
      <c r="I228" s="288"/>
    </row>
    <row r="229" spans="1:9">
      <c r="A229" s="283">
        <v>227</v>
      </c>
      <c r="B229" s="284">
        <v>44605</v>
      </c>
      <c r="C229" s="285">
        <v>247.46411699999999</v>
      </c>
      <c r="D229" s="286">
        <v>223.52103944529028</v>
      </c>
      <c r="E229" s="285">
        <f t="shared" si="9"/>
        <v>223.52103944529028</v>
      </c>
      <c r="F229" s="295"/>
      <c r="G229" s="199" t="str">
        <f t="shared" si="10"/>
        <v/>
      </c>
      <c r="H229" s="287" t="str">
        <f t="shared" si="11"/>
        <v/>
      </c>
      <c r="I229" s="288"/>
    </row>
    <row r="230" spans="1:9">
      <c r="A230" s="283">
        <v>228</v>
      </c>
      <c r="B230" s="284">
        <v>44606</v>
      </c>
      <c r="C230" s="285">
        <v>299.74413299999998</v>
      </c>
      <c r="D230" s="286">
        <v>223.52103944529028</v>
      </c>
      <c r="E230" s="285">
        <f t="shared" si="9"/>
        <v>223.52103944529028</v>
      </c>
      <c r="F230" s="288"/>
      <c r="G230" s="199" t="str">
        <f t="shared" si="10"/>
        <v/>
      </c>
      <c r="H230" s="287" t="str">
        <f t="shared" si="11"/>
        <v/>
      </c>
      <c r="I230" s="288"/>
    </row>
    <row r="231" spans="1:9">
      <c r="A231" s="283">
        <v>229</v>
      </c>
      <c r="B231" s="284">
        <v>44607</v>
      </c>
      <c r="C231" s="285">
        <v>233.16501200000002</v>
      </c>
      <c r="D231" s="286">
        <v>223.52103944529028</v>
      </c>
      <c r="E231" s="285">
        <f t="shared" si="9"/>
        <v>223.52103944529028</v>
      </c>
      <c r="F231" s="295"/>
      <c r="G231" s="199" t="str">
        <f t="shared" si="10"/>
        <v>F</v>
      </c>
      <c r="H231" s="287" t="str">
        <f t="shared" si="11"/>
        <v>223,5</v>
      </c>
      <c r="I231" s="288"/>
    </row>
    <row r="232" spans="1:9">
      <c r="A232" s="283">
        <v>230</v>
      </c>
      <c r="B232" s="284">
        <v>44608</v>
      </c>
      <c r="C232" s="285">
        <v>313.79940999999997</v>
      </c>
      <c r="D232" s="286">
        <v>223.52103944529028</v>
      </c>
      <c r="E232" s="285">
        <f t="shared" si="9"/>
        <v>223.52103944529028</v>
      </c>
      <c r="F232" s="295"/>
      <c r="G232" s="199" t="str">
        <f t="shared" si="10"/>
        <v/>
      </c>
      <c r="H232" s="287" t="str">
        <f t="shared" si="11"/>
        <v/>
      </c>
      <c r="I232" s="288"/>
    </row>
    <row r="233" spans="1:9">
      <c r="A233" s="283">
        <v>231</v>
      </c>
      <c r="B233" s="284">
        <v>44609</v>
      </c>
      <c r="C233" s="285">
        <v>175.657027</v>
      </c>
      <c r="D233" s="286">
        <v>223.52103944529028</v>
      </c>
      <c r="E233" s="285">
        <f t="shared" si="9"/>
        <v>175.657027</v>
      </c>
      <c r="F233" s="295"/>
      <c r="G233" s="199" t="str">
        <f t="shared" si="10"/>
        <v/>
      </c>
      <c r="H233" s="287" t="str">
        <f t="shared" si="11"/>
        <v/>
      </c>
      <c r="I233" s="288"/>
    </row>
    <row r="234" spans="1:9">
      <c r="A234" s="283">
        <v>232</v>
      </c>
      <c r="B234" s="284">
        <v>44610</v>
      </c>
      <c r="C234" s="285">
        <v>145.24757100000002</v>
      </c>
      <c r="D234" s="286">
        <v>223.52103944529028</v>
      </c>
      <c r="E234" s="285">
        <f t="shared" si="9"/>
        <v>145.24757100000002</v>
      </c>
      <c r="F234" s="295"/>
      <c r="G234" s="199" t="str">
        <f t="shared" si="10"/>
        <v/>
      </c>
      <c r="H234" s="287" t="str">
        <f t="shared" si="11"/>
        <v/>
      </c>
      <c r="I234" s="288"/>
    </row>
    <row r="235" spans="1:9">
      <c r="A235" s="283">
        <v>233</v>
      </c>
      <c r="B235" s="284">
        <v>44611</v>
      </c>
      <c r="C235" s="285">
        <v>234.25650099999999</v>
      </c>
      <c r="D235" s="286">
        <v>223.52103944529028</v>
      </c>
      <c r="E235" s="285">
        <f t="shared" si="9"/>
        <v>223.52103944529028</v>
      </c>
      <c r="F235" s="295"/>
      <c r="G235" s="199" t="str">
        <f t="shared" si="10"/>
        <v/>
      </c>
      <c r="H235" s="287" t="str">
        <f t="shared" si="11"/>
        <v/>
      </c>
      <c r="I235" s="288"/>
    </row>
    <row r="236" spans="1:9">
      <c r="A236" s="283">
        <v>234</v>
      </c>
      <c r="B236" s="284">
        <v>44612</v>
      </c>
      <c r="C236" s="285">
        <v>139.199096</v>
      </c>
      <c r="D236" s="286">
        <v>223.52103944529028</v>
      </c>
      <c r="E236" s="285">
        <f t="shared" si="9"/>
        <v>139.199096</v>
      </c>
      <c r="F236" s="295"/>
      <c r="G236" s="199" t="str">
        <f t="shared" si="10"/>
        <v/>
      </c>
      <c r="H236" s="287" t="str">
        <f t="shared" si="11"/>
        <v/>
      </c>
      <c r="I236" s="288"/>
    </row>
    <row r="237" spans="1:9">
      <c r="A237" s="283">
        <v>235</v>
      </c>
      <c r="B237" s="284">
        <v>44613</v>
      </c>
      <c r="C237" s="285">
        <v>204.28830499999998</v>
      </c>
      <c r="D237" s="286">
        <v>223.52103944529028</v>
      </c>
      <c r="E237" s="285">
        <f t="shared" si="9"/>
        <v>204.28830499999998</v>
      </c>
      <c r="F237" s="295"/>
      <c r="G237" s="199" t="str">
        <f t="shared" si="10"/>
        <v/>
      </c>
      <c r="H237" s="287" t="str">
        <f t="shared" si="11"/>
        <v/>
      </c>
      <c r="I237" s="288"/>
    </row>
    <row r="238" spans="1:9">
      <c r="A238" s="283">
        <v>236</v>
      </c>
      <c r="B238" s="284">
        <v>44614</v>
      </c>
      <c r="C238" s="285">
        <v>188.027286</v>
      </c>
      <c r="D238" s="286">
        <v>223.52103944529028</v>
      </c>
      <c r="E238" s="285">
        <f t="shared" si="9"/>
        <v>188.027286</v>
      </c>
      <c r="F238" s="295"/>
      <c r="G238" s="199" t="str">
        <f t="shared" si="10"/>
        <v/>
      </c>
      <c r="H238" s="287" t="str">
        <f t="shared" si="11"/>
        <v/>
      </c>
      <c r="I238" s="288"/>
    </row>
    <row r="239" spans="1:9">
      <c r="A239" s="283">
        <v>237</v>
      </c>
      <c r="B239" s="284">
        <v>44615</v>
      </c>
      <c r="C239" s="285">
        <v>111.786466</v>
      </c>
      <c r="D239" s="286">
        <v>223.52103944529028</v>
      </c>
      <c r="E239" s="285">
        <f t="shared" si="9"/>
        <v>111.786466</v>
      </c>
      <c r="F239" s="295"/>
      <c r="G239" s="199" t="str">
        <f t="shared" si="10"/>
        <v/>
      </c>
      <c r="H239" s="287" t="str">
        <f t="shared" si="11"/>
        <v/>
      </c>
      <c r="I239" s="288"/>
    </row>
    <row r="240" spans="1:9">
      <c r="A240" s="283">
        <v>238</v>
      </c>
      <c r="B240" s="284">
        <v>44616</v>
      </c>
      <c r="C240" s="285">
        <v>134.77212100000003</v>
      </c>
      <c r="D240" s="286">
        <v>223.52103944529028</v>
      </c>
      <c r="E240" s="285">
        <f t="shared" si="9"/>
        <v>134.77212100000003</v>
      </c>
      <c r="F240" s="295"/>
      <c r="G240" s="199" t="str">
        <f t="shared" si="10"/>
        <v/>
      </c>
      <c r="H240" s="287" t="str">
        <f t="shared" si="11"/>
        <v/>
      </c>
      <c r="I240" s="288"/>
    </row>
    <row r="241" spans="1:9">
      <c r="A241" s="283">
        <v>239</v>
      </c>
      <c r="B241" s="284">
        <v>44617</v>
      </c>
      <c r="C241" s="285">
        <v>301.82719600000001</v>
      </c>
      <c r="D241" s="286">
        <v>223.52103944529028</v>
      </c>
      <c r="E241" s="285">
        <f t="shared" si="9"/>
        <v>223.52103944529028</v>
      </c>
      <c r="F241" s="295"/>
      <c r="G241" s="199" t="str">
        <f t="shared" si="10"/>
        <v/>
      </c>
      <c r="H241" s="287" t="str">
        <f t="shared" si="11"/>
        <v/>
      </c>
      <c r="I241" s="288"/>
    </row>
    <row r="242" spans="1:9">
      <c r="A242" s="283">
        <v>240</v>
      </c>
      <c r="B242" s="284">
        <v>44618</v>
      </c>
      <c r="C242" s="285">
        <v>175.147471</v>
      </c>
      <c r="D242" s="286">
        <v>223.52103944529028</v>
      </c>
      <c r="E242" s="285">
        <f t="shared" si="9"/>
        <v>175.147471</v>
      </c>
      <c r="F242" s="295"/>
      <c r="G242" s="199" t="str">
        <f t="shared" si="10"/>
        <v/>
      </c>
      <c r="H242" s="287" t="str">
        <f t="shared" si="11"/>
        <v/>
      </c>
      <c r="I242" s="288"/>
    </row>
    <row r="243" spans="1:9">
      <c r="A243" s="283">
        <v>241</v>
      </c>
      <c r="B243" s="284">
        <v>44619</v>
      </c>
      <c r="C243" s="285">
        <v>59.524872999999999</v>
      </c>
      <c r="D243" s="286">
        <v>223.52103944529028</v>
      </c>
      <c r="E243" s="285">
        <f t="shared" si="9"/>
        <v>59.524872999999999</v>
      </c>
      <c r="F243" s="295"/>
      <c r="G243" s="199" t="str">
        <f t="shared" si="10"/>
        <v/>
      </c>
      <c r="H243" s="287" t="str">
        <f t="shared" si="11"/>
        <v/>
      </c>
      <c r="I243" s="288"/>
    </row>
    <row r="244" spans="1:9">
      <c r="A244" s="283">
        <v>242</v>
      </c>
      <c r="B244" s="284">
        <v>44620</v>
      </c>
      <c r="C244" s="285">
        <v>58.123584999999999</v>
      </c>
      <c r="D244" s="286">
        <v>223.52103944529028</v>
      </c>
      <c r="E244" s="285">
        <f t="shared" si="9"/>
        <v>58.123584999999999</v>
      </c>
      <c r="F244" s="295"/>
      <c r="G244" s="199" t="str">
        <f t="shared" si="10"/>
        <v/>
      </c>
      <c r="H244" s="287" t="str">
        <f t="shared" si="11"/>
        <v/>
      </c>
      <c r="I244" s="288"/>
    </row>
    <row r="245" spans="1:9">
      <c r="A245" s="283">
        <v>243</v>
      </c>
      <c r="B245" s="284">
        <v>44621</v>
      </c>
      <c r="C245" s="285">
        <v>122.92765700000001</v>
      </c>
      <c r="D245" s="286">
        <v>206.98665053824496</v>
      </c>
      <c r="E245" s="285">
        <f t="shared" si="9"/>
        <v>122.92765700000001</v>
      </c>
      <c r="F245" s="295"/>
      <c r="G245" s="199" t="str">
        <f t="shared" si="10"/>
        <v/>
      </c>
      <c r="H245" s="287" t="str">
        <f t="shared" si="11"/>
        <v/>
      </c>
      <c r="I245" s="288"/>
    </row>
    <row r="246" spans="1:9">
      <c r="A246" s="283">
        <v>244</v>
      </c>
      <c r="B246" s="284">
        <v>44622</v>
      </c>
      <c r="C246" s="285">
        <v>183.63776999999999</v>
      </c>
      <c r="D246" s="286">
        <v>206.98665053824496</v>
      </c>
      <c r="E246" s="285">
        <f t="shared" si="9"/>
        <v>183.63776999999999</v>
      </c>
      <c r="F246" s="295"/>
      <c r="G246" s="199" t="str">
        <f t="shared" si="10"/>
        <v/>
      </c>
      <c r="H246" s="287" t="str">
        <f t="shared" si="11"/>
        <v/>
      </c>
      <c r="I246" s="288"/>
    </row>
    <row r="247" spans="1:9">
      <c r="A247" s="283">
        <v>245</v>
      </c>
      <c r="B247" s="284">
        <v>44623</v>
      </c>
      <c r="C247" s="285">
        <v>179.32528500000001</v>
      </c>
      <c r="D247" s="286">
        <v>206.98665053824496</v>
      </c>
      <c r="E247" s="285">
        <f t="shared" si="9"/>
        <v>179.32528500000001</v>
      </c>
      <c r="F247" s="288"/>
      <c r="G247" s="199" t="str">
        <f t="shared" si="10"/>
        <v/>
      </c>
      <c r="H247" s="287" t="str">
        <f t="shared" si="11"/>
        <v/>
      </c>
      <c r="I247" s="288"/>
    </row>
    <row r="248" spans="1:9">
      <c r="A248" s="283">
        <v>246</v>
      </c>
      <c r="B248" s="284">
        <v>44624</v>
      </c>
      <c r="C248" s="285">
        <v>292.31105400000001</v>
      </c>
      <c r="D248" s="286">
        <v>206.98665053824496</v>
      </c>
      <c r="E248" s="285">
        <f t="shared" si="9"/>
        <v>206.98665053824496</v>
      </c>
      <c r="F248" s="295"/>
      <c r="G248" s="199" t="str">
        <f t="shared" si="10"/>
        <v/>
      </c>
      <c r="H248" s="287" t="str">
        <f t="shared" si="11"/>
        <v/>
      </c>
      <c r="I248" s="288"/>
    </row>
    <row r="249" spans="1:9">
      <c r="A249" s="283">
        <v>247</v>
      </c>
      <c r="B249" s="284">
        <v>44625</v>
      </c>
      <c r="C249" s="285">
        <v>162.934864</v>
      </c>
      <c r="D249" s="286">
        <v>206.98665053824496</v>
      </c>
      <c r="E249" s="285">
        <f t="shared" si="9"/>
        <v>162.934864</v>
      </c>
      <c r="F249" s="295"/>
      <c r="G249" s="199" t="str">
        <f t="shared" si="10"/>
        <v/>
      </c>
      <c r="H249" s="287" t="str">
        <f t="shared" si="11"/>
        <v/>
      </c>
      <c r="I249" s="288"/>
    </row>
    <row r="250" spans="1:9">
      <c r="A250" s="283">
        <v>248</v>
      </c>
      <c r="B250" s="284">
        <v>44626</v>
      </c>
      <c r="C250" s="285">
        <v>130.44919300000001</v>
      </c>
      <c r="D250" s="286">
        <v>206.98665053824496</v>
      </c>
      <c r="E250" s="285">
        <f t="shared" si="9"/>
        <v>130.44919300000001</v>
      </c>
      <c r="F250" s="295"/>
      <c r="G250" s="199" t="str">
        <f t="shared" si="10"/>
        <v/>
      </c>
      <c r="H250" s="287" t="str">
        <f t="shared" si="11"/>
        <v/>
      </c>
      <c r="I250" s="288"/>
    </row>
    <row r="251" spans="1:9">
      <c r="A251" s="283">
        <v>249</v>
      </c>
      <c r="B251" s="284">
        <v>44627</v>
      </c>
      <c r="C251" s="285">
        <v>102.77058599999999</v>
      </c>
      <c r="D251" s="286">
        <v>206.98665053824496</v>
      </c>
      <c r="E251" s="285">
        <f t="shared" si="9"/>
        <v>102.77058599999999</v>
      </c>
      <c r="F251" s="295"/>
      <c r="G251" s="199" t="str">
        <f t="shared" si="10"/>
        <v/>
      </c>
      <c r="H251" s="287" t="str">
        <f t="shared" si="11"/>
        <v/>
      </c>
      <c r="I251" s="288"/>
    </row>
    <row r="252" spans="1:9">
      <c r="A252" s="283">
        <v>250</v>
      </c>
      <c r="B252" s="284">
        <v>44628</v>
      </c>
      <c r="C252" s="285">
        <v>168.05851899999999</v>
      </c>
      <c r="D252" s="286">
        <v>206.98665053824496</v>
      </c>
      <c r="E252" s="285">
        <f t="shared" si="9"/>
        <v>168.05851899999999</v>
      </c>
      <c r="F252" s="295"/>
      <c r="G252" s="199" t="str">
        <f t="shared" si="10"/>
        <v/>
      </c>
      <c r="H252" s="287" t="str">
        <f t="shared" si="11"/>
        <v/>
      </c>
      <c r="I252" s="288"/>
    </row>
    <row r="253" spans="1:9">
      <c r="A253" s="283">
        <v>251</v>
      </c>
      <c r="B253" s="284">
        <v>44629</v>
      </c>
      <c r="C253" s="285">
        <v>159.07691600000001</v>
      </c>
      <c r="D253" s="286">
        <v>206.98665053824496</v>
      </c>
      <c r="E253" s="285">
        <f t="shared" si="9"/>
        <v>159.07691600000001</v>
      </c>
      <c r="F253" s="295"/>
      <c r="G253" s="199" t="str">
        <f t="shared" si="10"/>
        <v/>
      </c>
      <c r="H253" s="287" t="str">
        <f t="shared" si="11"/>
        <v/>
      </c>
      <c r="I253" s="288"/>
    </row>
    <row r="254" spans="1:9">
      <c r="A254" s="283">
        <v>252</v>
      </c>
      <c r="B254" s="284">
        <v>44630</v>
      </c>
      <c r="C254" s="285">
        <v>200.95555999999999</v>
      </c>
      <c r="D254" s="286">
        <v>206.98665053824496</v>
      </c>
      <c r="E254" s="285">
        <f t="shared" si="9"/>
        <v>200.95555999999999</v>
      </c>
      <c r="F254" s="295"/>
      <c r="G254" s="199" t="str">
        <f t="shared" si="10"/>
        <v/>
      </c>
      <c r="H254" s="287" t="str">
        <f t="shared" si="11"/>
        <v/>
      </c>
      <c r="I254" s="288"/>
    </row>
    <row r="255" spans="1:9">
      <c r="A255" s="283">
        <v>253</v>
      </c>
      <c r="B255" s="284">
        <v>44631</v>
      </c>
      <c r="C255" s="285">
        <v>249.30061099999998</v>
      </c>
      <c r="D255" s="286">
        <v>206.98665053824496</v>
      </c>
      <c r="E255" s="285">
        <f t="shared" si="9"/>
        <v>206.98665053824496</v>
      </c>
      <c r="F255" s="295"/>
      <c r="G255" s="199" t="str">
        <f t="shared" si="10"/>
        <v/>
      </c>
      <c r="H255" s="287" t="str">
        <f t="shared" si="11"/>
        <v/>
      </c>
      <c r="I255" s="288"/>
    </row>
    <row r="256" spans="1:9">
      <c r="A256" s="283">
        <v>254</v>
      </c>
      <c r="B256" s="284">
        <v>44632</v>
      </c>
      <c r="C256" s="285">
        <v>232.19116299999999</v>
      </c>
      <c r="D256" s="286">
        <v>206.98665053824496</v>
      </c>
      <c r="E256" s="285">
        <f t="shared" si="9"/>
        <v>206.98665053824496</v>
      </c>
      <c r="F256" s="295"/>
      <c r="G256" s="199" t="str">
        <f t="shared" si="10"/>
        <v/>
      </c>
      <c r="H256" s="287" t="str">
        <f t="shared" si="11"/>
        <v/>
      </c>
      <c r="I256" s="288"/>
    </row>
    <row r="257" spans="1:9">
      <c r="A257" s="283">
        <v>255</v>
      </c>
      <c r="B257" s="284">
        <v>44633</v>
      </c>
      <c r="C257" s="285">
        <v>162.969685</v>
      </c>
      <c r="D257" s="286">
        <v>206.98665053824496</v>
      </c>
      <c r="E257" s="285">
        <f t="shared" si="9"/>
        <v>162.969685</v>
      </c>
      <c r="F257" s="295"/>
      <c r="G257" s="199" t="str">
        <f t="shared" si="10"/>
        <v/>
      </c>
      <c r="H257" s="287" t="str">
        <f t="shared" si="11"/>
        <v/>
      </c>
      <c r="I257" s="288"/>
    </row>
    <row r="258" spans="1:9">
      <c r="A258" s="283">
        <v>256</v>
      </c>
      <c r="B258" s="284">
        <v>44634</v>
      </c>
      <c r="C258" s="285">
        <v>357.43952399999995</v>
      </c>
      <c r="D258" s="286">
        <v>206.98665053824496</v>
      </c>
      <c r="E258" s="285">
        <f t="shared" si="9"/>
        <v>206.98665053824496</v>
      </c>
      <c r="F258" s="295"/>
      <c r="G258" s="199" t="str">
        <f t="shared" si="10"/>
        <v/>
      </c>
      <c r="H258" s="287" t="str">
        <f t="shared" si="11"/>
        <v/>
      </c>
      <c r="I258" s="288"/>
    </row>
    <row r="259" spans="1:9">
      <c r="A259" s="283">
        <v>257</v>
      </c>
      <c r="B259" s="284">
        <v>44635</v>
      </c>
      <c r="C259" s="285">
        <v>324.42634399999997</v>
      </c>
      <c r="D259" s="286">
        <v>206.98665053824496</v>
      </c>
      <c r="E259" s="285">
        <f t="shared" ref="E259:E322" si="12">IF(C259&gt;D259,D259,C259)</f>
        <v>206.98665053824496</v>
      </c>
      <c r="F259" s="295"/>
      <c r="G259" s="199" t="str">
        <f t="shared" ref="G259:G322" si="13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>M</v>
      </c>
      <c r="H259" s="287" t="str">
        <f t="shared" ref="H259:H322" si="14">IF(DAY($B259)=15,TEXT(D259,"#,0"),"")</f>
        <v>207,0</v>
      </c>
      <c r="I259" s="288"/>
    </row>
    <row r="260" spans="1:9">
      <c r="A260" s="283">
        <v>258</v>
      </c>
      <c r="B260" s="284">
        <v>44636</v>
      </c>
      <c r="C260" s="285">
        <v>205.35738899999998</v>
      </c>
      <c r="D260" s="286">
        <v>206.98665053824496</v>
      </c>
      <c r="E260" s="285">
        <f t="shared" si="12"/>
        <v>205.35738899999998</v>
      </c>
      <c r="F260" s="295"/>
      <c r="G260" s="199" t="str">
        <f t="shared" si="13"/>
        <v/>
      </c>
      <c r="H260" s="287" t="str">
        <f t="shared" si="14"/>
        <v/>
      </c>
      <c r="I260" s="288"/>
    </row>
    <row r="261" spans="1:9">
      <c r="A261" s="283">
        <v>259</v>
      </c>
      <c r="B261" s="284">
        <v>44637</v>
      </c>
      <c r="C261" s="285">
        <v>392.84065100000004</v>
      </c>
      <c r="D261" s="286">
        <v>206.98665053824496</v>
      </c>
      <c r="E261" s="285">
        <f t="shared" si="12"/>
        <v>206.98665053824496</v>
      </c>
      <c r="G261" s="199" t="str">
        <f t="shared" si="13"/>
        <v/>
      </c>
      <c r="H261" s="287" t="str">
        <f t="shared" si="14"/>
        <v/>
      </c>
      <c r="I261" s="288"/>
    </row>
    <row r="262" spans="1:9">
      <c r="A262" s="283">
        <v>260</v>
      </c>
      <c r="B262" s="284">
        <v>44638</v>
      </c>
      <c r="C262" s="285">
        <v>202.779573</v>
      </c>
      <c r="D262" s="286">
        <v>206.98665053824496</v>
      </c>
      <c r="E262" s="285">
        <f t="shared" si="12"/>
        <v>202.779573</v>
      </c>
      <c r="F262" s="295"/>
      <c r="G262" s="199" t="str">
        <f t="shared" si="13"/>
        <v/>
      </c>
      <c r="H262" s="287" t="str">
        <f t="shared" si="14"/>
        <v/>
      </c>
      <c r="I262" s="288"/>
    </row>
    <row r="263" spans="1:9">
      <c r="A263" s="283">
        <v>261</v>
      </c>
      <c r="B263" s="284">
        <v>44639</v>
      </c>
      <c r="C263" s="285">
        <v>138.54988200000003</v>
      </c>
      <c r="D263" s="286">
        <v>206.98665053824496</v>
      </c>
      <c r="E263" s="285">
        <f t="shared" si="12"/>
        <v>138.54988200000003</v>
      </c>
      <c r="F263" s="295"/>
      <c r="G263" s="199" t="str">
        <f t="shared" si="13"/>
        <v/>
      </c>
      <c r="H263" s="287" t="str">
        <f t="shared" si="14"/>
        <v/>
      </c>
      <c r="I263" s="288"/>
    </row>
    <row r="264" spans="1:9">
      <c r="A264" s="283">
        <v>262</v>
      </c>
      <c r="B264" s="284">
        <v>44640</v>
      </c>
      <c r="C264" s="285">
        <v>238.59902400000001</v>
      </c>
      <c r="D264" s="286">
        <v>206.98665053824496</v>
      </c>
      <c r="E264" s="285">
        <f t="shared" si="12"/>
        <v>206.98665053824496</v>
      </c>
      <c r="F264" s="295"/>
      <c r="G264" s="199" t="str">
        <f t="shared" si="13"/>
        <v/>
      </c>
      <c r="H264" s="287" t="str">
        <f t="shared" si="14"/>
        <v/>
      </c>
      <c r="I264" s="288"/>
    </row>
    <row r="265" spans="1:9">
      <c r="A265" s="283">
        <v>263</v>
      </c>
      <c r="B265" s="284">
        <v>44641</v>
      </c>
      <c r="C265" s="285">
        <v>284.60406799999998</v>
      </c>
      <c r="D265" s="286">
        <v>206.98665053824496</v>
      </c>
      <c r="E265" s="285">
        <f t="shared" si="12"/>
        <v>206.98665053824496</v>
      </c>
      <c r="F265" s="295"/>
      <c r="G265" s="199" t="str">
        <f t="shared" si="13"/>
        <v/>
      </c>
      <c r="H265" s="287" t="str">
        <f t="shared" si="14"/>
        <v/>
      </c>
      <c r="I265" s="288"/>
    </row>
    <row r="266" spans="1:9">
      <c r="A266" s="283">
        <v>264</v>
      </c>
      <c r="B266" s="284">
        <v>44642</v>
      </c>
      <c r="C266" s="285">
        <v>306.63777900000002</v>
      </c>
      <c r="D266" s="286">
        <v>206.98665053824496</v>
      </c>
      <c r="E266" s="285">
        <f t="shared" si="12"/>
        <v>206.98665053824496</v>
      </c>
      <c r="F266" s="295"/>
      <c r="G266" s="199" t="str">
        <f t="shared" si="13"/>
        <v/>
      </c>
      <c r="H266" s="287" t="str">
        <f t="shared" si="14"/>
        <v/>
      </c>
      <c r="I266" s="288"/>
    </row>
    <row r="267" spans="1:9">
      <c r="A267" s="283">
        <v>265</v>
      </c>
      <c r="B267" s="284">
        <v>44643</v>
      </c>
      <c r="C267" s="285">
        <v>278.91913499999998</v>
      </c>
      <c r="D267" s="286">
        <v>206.98665053824496</v>
      </c>
      <c r="E267" s="285">
        <f t="shared" si="12"/>
        <v>206.98665053824496</v>
      </c>
      <c r="F267" s="295"/>
      <c r="G267" s="199" t="str">
        <f t="shared" si="13"/>
        <v/>
      </c>
      <c r="H267" s="287" t="str">
        <f t="shared" si="14"/>
        <v/>
      </c>
      <c r="I267" s="288"/>
    </row>
    <row r="268" spans="1:9">
      <c r="A268" s="283">
        <v>266</v>
      </c>
      <c r="B268" s="284">
        <v>44644</v>
      </c>
      <c r="C268" s="285">
        <v>226.11694</v>
      </c>
      <c r="D268" s="286">
        <v>206.98665053824496</v>
      </c>
      <c r="E268" s="285">
        <f t="shared" si="12"/>
        <v>206.98665053824496</v>
      </c>
      <c r="F268" s="295"/>
      <c r="G268" s="199" t="str">
        <f t="shared" si="13"/>
        <v/>
      </c>
      <c r="H268" s="287" t="str">
        <f t="shared" si="14"/>
        <v/>
      </c>
      <c r="I268" s="288"/>
    </row>
    <row r="269" spans="1:9">
      <c r="A269" s="283">
        <v>267</v>
      </c>
      <c r="B269" s="284">
        <v>44645</v>
      </c>
      <c r="C269" s="285">
        <v>186.88693700000002</v>
      </c>
      <c r="D269" s="286">
        <v>206.98665053824496</v>
      </c>
      <c r="E269" s="285">
        <f t="shared" si="12"/>
        <v>186.88693700000002</v>
      </c>
      <c r="F269" s="295"/>
      <c r="G269" s="199" t="str">
        <f t="shared" si="13"/>
        <v/>
      </c>
      <c r="H269" s="287" t="str">
        <f t="shared" si="14"/>
        <v/>
      </c>
      <c r="I269" s="288"/>
    </row>
    <row r="270" spans="1:9">
      <c r="A270" s="283">
        <v>268</v>
      </c>
      <c r="B270" s="284">
        <v>44646</v>
      </c>
      <c r="C270" s="285">
        <v>115.53528</v>
      </c>
      <c r="D270" s="286">
        <v>206.98665053824496</v>
      </c>
      <c r="E270" s="285">
        <f t="shared" si="12"/>
        <v>115.53528</v>
      </c>
      <c r="F270" s="295"/>
      <c r="G270" s="199" t="str">
        <f t="shared" si="13"/>
        <v/>
      </c>
      <c r="H270" s="287" t="str">
        <f t="shared" si="14"/>
        <v/>
      </c>
      <c r="I270" s="288"/>
    </row>
    <row r="271" spans="1:9">
      <c r="A271" s="283">
        <v>269</v>
      </c>
      <c r="B271" s="284">
        <v>44647</v>
      </c>
      <c r="C271" s="285">
        <v>115.38867999999999</v>
      </c>
      <c r="D271" s="286">
        <v>206.98665053824496</v>
      </c>
      <c r="E271" s="285">
        <f t="shared" si="12"/>
        <v>115.38867999999999</v>
      </c>
      <c r="F271" s="295"/>
      <c r="G271" s="199" t="str">
        <f t="shared" si="13"/>
        <v/>
      </c>
      <c r="H271" s="287" t="str">
        <f t="shared" si="14"/>
        <v/>
      </c>
      <c r="I271" s="288"/>
    </row>
    <row r="272" spans="1:9">
      <c r="A272" s="283">
        <v>270</v>
      </c>
      <c r="B272" s="284">
        <v>44648</v>
      </c>
      <c r="C272" s="285">
        <v>172.728061</v>
      </c>
      <c r="D272" s="286">
        <v>206.98665053824496</v>
      </c>
      <c r="E272" s="285">
        <f t="shared" si="12"/>
        <v>172.728061</v>
      </c>
      <c r="F272" s="295"/>
      <c r="G272" s="199" t="str">
        <f t="shared" si="13"/>
        <v/>
      </c>
      <c r="H272" s="287" t="str">
        <f t="shared" si="14"/>
        <v/>
      </c>
      <c r="I272" s="288"/>
    </row>
    <row r="273" spans="1:9">
      <c r="A273" s="283">
        <v>271</v>
      </c>
      <c r="B273" s="284">
        <v>44649</v>
      </c>
      <c r="C273" s="285">
        <v>64.641711999999998</v>
      </c>
      <c r="D273" s="286">
        <v>206.98665053824496</v>
      </c>
      <c r="E273" s="285">
        <f t="shared" si="12"/>
        <v>64.641711999999998</v>
      </c>
      <c r="F273" s="295"/>
      <c r="G273" s="199" t="str">
        <f t="shared" si="13"/>
        <v/>
      </c>
      <c r="H273" s="287" t="str">
        <f t="shared" si="14"/>
        <v/>
      </c>
      <c r="I273" s="288"/>
    </row>
    <row r="274" spans="1:9">
      <c r="A274" s="283">
        <v>272</v>
      </c>
      <c r="B274" s="284">
        <v>44650</v>
      </c>
      <c r="C274" s="285">
        <v>184.60262600000001</v>
      </c>
      <c r="D274" s="286">
        <v>206.98665053824496</v>
      </c>
      <c r="E274" s="285">
        <f t="shared" si="12"/>
        <v>184.60262600000001</v>
      </c>
      <c r="F274" s="295"/>
      <c r="G274" s="199" t="str">
        <f t="shared" si="13"/>
        <v/>
      </c>
      <c r="H274" s="287" t="str">
        <f t="shared" si="14"/>
        <v/>
      </c>
      <c r="I274" s="288"/>
    </row>
    <row r="275" spans="1:9">
      <c r="A275" s="283">
        <v>273</v>
      </c>
      <c r="B275" s="284">
        <v>44651</v>
      </c>
      <c r="C275" s="285">
        <v>308.63382000000001</v>
      </c>
      <c r="D275" s="286">
        <v>206.98665053824496</v>
      </c>
      <c r="E275" s="285">
        <f t="shared" si="12"/>
        <v>206.98665053824496</v>
      </c>
      <c r="F275" s="295"/>
      <c r="G275" s="199" t="str">
        <f t="shared" si="13"/>
        <v/>
      </c>
      <c r="H275" s="287" t="str">
        <f t="shared" si="14"/>
        <v/>
      </c>
      <c r="I275" s="288"/>
    </row>
    <row r="276" spans="1:9">
      <c r="A276" s="283">
        <v>274</v>
      </c>
      <c r="B276" s="284">
        <v>44652</v>
      </c>
      <c r="C276" s="285">
        <v>327.848207</v>
      </c>
      <c r="D276" s="286">
        <v>173.53615947149632</v>
      </c>
      <c r="E276" s="285">
        <f t="shared" si="12"/>
        <v>173.53615947149632</v>
      </c>
      <c r="F276" s="295"/>
      <c r="G276" s="199" t="str">
        <f t="shared" si="13"/>
        <v/>
      </c>
      <c r="H276" s="287" t="str">
        <f t="shared" si="14"/>
        <v/>
      </c>
      <c r="I276" s="288"/>
    </row>
    <row r="277" spans="1:9">
      <c r="A277" s="283">
        <v>275</v>
      </c>
      <c r="B277" s="284">
        <v>44653</v>
      </c>
      <c r="C277" s="285">
        <v>259.57246299999997</v>
      </c>
      <c r="D277" s="286">
        <v>173.53615947149632</v>
      </c>
      <c r="E277" s="285">
        <f t="shared" si="12"/>
        <v>173.53615947149632</v>
      </c>
      <c r="F277" s="288"/>
      <c r="G277" s="199" t="str">
        <f t="shared" si="13"/>
        <v/>
      </c>
      <c r="H277" s="287" t="str">
        <f t="shared" si="14"/>
        <v/>
      </c>
      <c r="I277" s="288"/>
    </row>
    <row r="278" spans="1:9">
      <c r="A278" s="283">
        <v>276</v>
      </c>
      <c r="B278" s="284">
        <v>44654</v>
      </c>
      <c r="C278" s="285">
        <v>247.549204</v>
      </c>
      <c r="D278" s="286">
        <v>173.53615947149632</v>
      </c>
      <c r="E278" s="285">
        <f t="shared" si="12"/>
        <v>173.53615947149632</v>
      </c>
      <c r="F278" s="295"/>
      <c r="G278" s="199" t="str">
        <f t="shared" si="13"/>
        <v/>
      </c>
      <c r="H278" s="287" t="str">
        <f t="shared" si="14"/>
        <v/>
      </c>
      <c r="I278" s="288"/>
    </row>
    <row r="279" spans="1:9">
      <c r="A279" s="283">
        <v>277</v>
      </c>
      <c r="B279" s="284">
        <v>44655</v>
      </c>
      <c r="C279" s="285">
        <v>298.96183399999995</v>
      </c>
      <c r="D279" s="286">
        <v>173.53615947149632</v>
      </c>
      <c r="E279" s="285">
        <f t="shared" si="12"/>
        <v>173.53615947149632</v>
      </c>
      <c r="F279" s="295"/>
      <c r="G279" s="199" t="str">
        <f t="shared" si="13"/>
        <v/>
      </c>
      <c r="H279" s="287" t="str">
        <f t="shared" si="14"/>
        <v/>
      </c>
      <c r="I279" s="288"/>
    </row>
    <row r="280" spans="1:9">
      <c r="A280" s="283">
        <v>278</v>
      </c>
      <c r="B280" s="284">
        <v>44656</v>
      </c>
      <c r="C280" s="285">
        <v>180.01677100000001</v>
      </c>
      <c r="D280" s="286">
        <v>173.53615947149632</v>
      </c>
      <c r="E280" s="285">
        <f t="shared" si="12"/>
        <v>173.53615947149632</v>
      </c>
      <c r="F280" s="295"/>
      <c r="G280" s="199" t="str">
        <f t="shared" si="13"/>
        <v/>
      </c>
      <c r="H280" s="287" t="str">
        <f t="shared" si="14"/>
        <v/>
      </c>
      <c r="I280" s="288"/>
    </row>
    <row r="281" spans="1:9">
      <c r="A281" s="283">
        <v>279</v>
      </c>
      <c r="B281" s="284">
        <v>44657</v>
      </c>
      <c r="C281" s="285">
        <v>140.25377900000001</v>
      </c>
      <c r="D281" s="286">
        <v>173.53615947149632</v>
      </c>
      <c r="E281" s="285">
        <f t="shared" si="12"/>
        <v>140.25377900000001</v>
      </c>
      <c r="F281" s="295"/>
      <c r="G281" s="199" t="str">
        <f t="shared" si="13"/>
        <v/>
      </c>
      <c r="H281" s="287" t="str">
        <f t="shared" si="14"/>
        <v/>
      </c>
      <c r="I281" s="288"/>
    </row>
    <row r="282" spans="1:9">
      <c r="A282" s="283">
        <v>280</v>
      </c>
      <c r="B282" s="284">
        <v>44658</v>
      </c>
      <c r="C282" s="285">
        <v>291.23056700000006</v>
      </c>
      <c r="D282" s="286">
        <v>173.53615947149632</v>
      </c>
      <c r="E282" s="285">
        <f t="shared" si="12"/>
        <v>173.53615947149632</v>
      </c>
      <c r="F282" s="295"/>
      <c r="G282" s="199" t="str">
        <f t="shared" si="13"/>
        <v/>
      </c>
      <c r="H282" s="287" t="str">
        <f t="shared" si="14"/>
        <v/>
      </c>
      <c r="I282" s="288"/>
    </row>
    <row r="283" spans="1:9">
      <c r="A283" s="283">
        <v>281</v>
      </c>
      <c r="B283" s="284">
        <v>44659</v>
      </c>
      <c r="C283" s="285">
        <v>340.73509499999994</v>
      </c>
      <c r="D283" s="286">
        <v>173.53615947149632</v>
      </c>
      <c r="E283" s="285">
        <f t="shared" si="12"/>
        <v>173.53615947149632</v>
      </c>
      <c r="F283" s="295"/>
      <c r="G283" s="199" t="str">
        <f t="shared" si="13"/>
        <v/>
      </c>
      <c r="H283" s="287" t="str">
        <f t="shared" si="14"/>
        <v/>
      </c>
      <c r="I283" s="288"/>
    </row>
    <row r="284" spans="1:9">
      <c r="A284" s="283">
        <v>282</v>
      </c>
      <c r="B284" s="284">
        <v>44660</v>
      </c>
      <c r="C284" s="285">
        <v>143.24871599999997</v>
      </c>
      <c r="D284" s="286">
        <v>173.53615947149632</v>
      </c>
      <c r="E284" s="285">
        <f t="shared" si="12"/>
        <v>143.24871599999997</v>
      </c>
      <c r="F284" s="295"/>
      <c r="G284" s="199" t="str">
        <f t="shared" si="13"/>
        <v/>
      </c>
      <c r="H284" s="287" t="str">
        <f t="shared" si="14"/>
        <v/>
      </c>
      <c r="I284" s="288"/>
    </row>
    <row r="285" spans="1:9">
      <c r="A285" s="283">
        <v>283</v>
      </c>
      <c r="B285" s="284">
        <v>44661</v>
      </c>
      <c r="C285" s="285">
        <v>188.628028</v>
      </c>
      <c r="D285" s="286">
        <v>173.53615947149632</v>
      </c>
      <c r="E285" s="285">
        <f t="shared" si="12"/>
        <v>173.53615947149632</v>
      </c>
      <c r="F285" s="295"/>
      <c r="G285" s="199" t="str">
        <f t="shared" si="13"/>
        <v/>
      </c>
      <c r="H285" s="287" t="str">
        <f t="shared" si="14"/>
        <v/>
      </c>
      <c r="I285" s="288"/>
    </row>
    <row r="286" spans="1:9">
      <c r="A286" s="283">
        <v>284</v>
      </c>
      <c r="B286" s="284">
        <v>44662</v>
      </c>
      <c r="C286" s="285">
        <v>342.30463400000002</v>
      </c>
      <c r="D286" s="286">
        <v>173.53615947149632</v>
      </c>
      <c r="E286" s="285">
        <f t="shared" si="12"/>
        <v>173.53615947149632</v>
      </c>
      <c r="F286" s="295"/>
      <c r="G286" s="199" t="str">
        <f t="shared" si="13"/>
        <v/>
      </c>
      <c r="H286" s="287" t="str">
        <f t="shared" si="14"/>
        <v/>
      </c>
      <c r="I286" s="288"/>
    </row>
    <row r="287" spans="1:9">
      <c r="A287" s="283">
        <v>285</v>
      </c>
      <c r="B287" s="284">
        <v>44663</v>
      </c>
      <c r="C287" s="285">
        <v>172.51355900000001</v>
      </c>
      <c r="D287" s="286">
        <v>173.53615947149632</v>
      </c>
      <c r="E287" s="285">
        <f t="shared" si="12"/>
        <v>172.51355900000001</v>
      </c>
      <c r="F287" s="295"/>
      <c r="G287" s="199" t="str">
        <f t="shared" si="13"/>
        <v/>
      </c>
      <c r="H287" s="287" t="str">
        <f t="shared" si="14"/>
        <v/>
      </c>
      <c r="I287" s="288"/>
    </row>
    <row r="288" spans="1:9">
      <c r="A288" s="283">
        <v>286</v>
      </c>
      <c r="B288" s="284">
        <v>44664</v>
      </c>
      <c r="C288" s="285">
        <v>115.374589</v>
      </c>
      <c r="D288" s="286">
        <v>173.53615947149632</v>
      </c>
      <c r="E288" s="285">
        <f t="shared" si="12"/>
        <v>115.374589</v>
      </c>
      <c r="F288" s="295"/>
      <c r="G288" s="199" t="str">
        <f t="shared" si="13"/>
        <v/>
      </c>
      <c r="H288" s="287" t="str">
        <f t="shared" si="14"/>
        <v/>
      </c>
      <c r="I288" s="288"/>
    </row>
    <row r="289" spans="1:9">
      <c r="A289" s="283">
        <v>287</v>
      </c>
      <c r="B289" s="284">
        <v>44665</v>
      </c>
      <c r="C289" s="285">
        <v>111.75668899999999</v>
      </c>
      <c r="D289" s="286">
        <v>173.53615947149632</v>
      </c>
      <c r="E289" s="285">
        <f t="shared" si="12"/>
        <v>111.75668899999999</v>
      </c>
      <c r="F289" s="295"/>
      <c r="G289" s="199" t="str">
        <f t="shared" si="13"/>
        <v/>
      </c>
      <c r="H289" s="287" t="str">
        <f t="shared" si="14"/>
        <v/>
      </c>
      <c r="I289" s="288"/>
    </row>
    <row r="290" spans="1:9">
      <c r="A290" s="283">
        <v>288</v>
      </c>
      <c r="B290" s="284">
        <v>44666</v>
      </c>
      <c r="C290" s="285">
        <v>61.966009</v>
      </c>
      <c r="D290" s="286">
        <v>173.53615947149632</v>
      </c>
      <c r="E290" s="285">
        <f t="shared" si="12"/>
        <v>61.966009</v>
      </c>
      <c r="F290" s="295"/>
      <c r="G290" s="199" t="str">
        <f t="shared" si="13"/>
        <v>A</v>
      </c>
      <c r="H290" s="287" t="str">
        <f t="shared" si="14"/>
        <v>173,5</v>
      </c>
      <c r="I290" s="288"/>
    </row>
    <row r="291" spans="1:9">
      <c r="A291" s="283">
        <v>289</v>
      </c>
      <c r="B291" s="284">
        <v>44667</v>
      </c>
      <c r="C291" s="285">
        <v>139.814052</v>
      </c>
      <c r="D291" s="286">
        <v>173.53615947149632</v>
      </c>
      <c r="E291" s="285">
        <f t="shared" si="12"/>
        <v>139.814052</v>
      </c>
      <c r="F291" s="288"/>
      <c r="G291" s="199" t="str">
        <f t="shared" si="13"/>
        <v/>
      </c>
      <c r="H291" s="287" t="str">
        <f t="shared" si="14"/>
        <v/>
      </c>
      <c r="I291" s="288"/>
    </row>
    <row r="292" spans="1:9">
      <c r="A292" s="283">
        <v>290</v>
      </c>
      <c r="B292" s="284">
        <v>44668</v>
      </c>
      <c r="C292" s="285">
        <v>123.50425800000001</v>
      </c>
      <c r="D292" s="286">
        <v>173.53615947149632</v>
      </c>
      <c r="E292" s="285">
        <f t="shared" si="12"/>
        <v>123.50425800000001</v>
      </c>
      <c r="F292" s="295"/>
      <c r="G292" s="199" t="str">
        <f t="shared" si="13"/>
        <v/>
      </c>
      <c r="H292" s="287" t="str">
        <f t="shared" si="14"/>
        <v/>
      </c>
      <c r="I292" s="288"/>
    </row>
    <row r="293" spans="1:9">
      <c r="A293" s="283">
        <v>291</v>
      </c>
      <c r="B293" s="284">
        <v>44669</v>
      </c>
      <c r="C293" s="285">
        <v>169.95030299999999</v>
      </c>
      <c r="D293" s="286">
        <v>173.53615947149632</v>
      </c>
      <c r="E293" s="285">
        <f t="shared" si="12"/>
        <v>169.95030299999999</v>
      </c>
      <c r="F293" s="295"/>
      <c r="G293" s="199" t="str">
        <f t="shared" si="13"/>
        <v/>
      </c>
      <c r="H293" s="287" t="str">
        <f t="shared" si="14"/>
        <v/>
      </c>
      <c r="I293" s="288"/>
    </row>
    <row r="294" spans="1:9">
      <c r="A294" s="283">
        <v>292</v>
      </c>
      <c r="B294" s="284">
        <v>44670</v>
      </c>
      <c r="C294" s="285">
        <v>242.46557300000001</v>
      </c>
      <c r="D294" s="286">
        <v>173.53615947149632</v>
      </c>
      <c r="E294" s="285">
        <f t="shared" si="12"/>
        <v>173.53615947149632</v>
      </c>
      <c r="F294" s="295"/>
      <c r="G294" s="199" t="str">
        <f t="shared" si="13"/>
        <v/>
      </c>
      <c r="H294" s="287" t="str">
        <f t="shared" si="14"/>
        <v/>
      </c>
      <c r="I294" s="288"/>
    </row>
    <row r="295" spans="1:9">
      <c r="A295" s="283">
        <v>293</v>
      </c>
      <c r="B295" s="284">
        <v>44671</v>
      </c>
      <c r="C295" s="285">
        <v>341.63912100000005</v>
      </c>
      <c r="D295" s="286">
        <v>173.53615947149632</v>
      </c>
      <c r="E295" s="285">
        <f t="shared" si="12"/>
        <v>173.53615947149632</v>
      </c>
      <c r="F295" s="295"/>
      <c r="G295" s="199" t="str">
        <f t="shared" si="13"/>
        <v/>
      </c>
      <c r="H295" s="287" t="str">
        <f t="shared" si="14"/>
        <v/>
      </c>
      <c r="I295" s="288"/>
    </row>
    <row r="296" spans="1:9">
      <c r="A296" s="283">
        <v>294</v>
      </c>
      <c r="B296" s="284">
        <v>44672</v>
      </c>
      <c r="C296" s="285">
        <v>218.94220300000001</v>
      </c>
      <c r="D296" s="286">
        <v>173.53615947149632</v>
      </c>
      <c r="E296" s="285">
        <f t="shared" si="12"/>
        <v>173.53615947149632</v>
      </c>
      <c r="F296" s="295"/>
      <c r="G296" s="199" t="str">
        <f t="shared" si="13"/>
        <v/>
      </c>
      <c r="H296" s="287" t="str">
        <f t="shared" si="14"/>
        <v/>
      </c>
      <c r="I296" s="288"/>
    </row>
    <row r="297" spans="1:9">
      <c r="A297" s="283">
        <v>295</v>
      </c>
      <c r="B297" s="284">
        <v>44673</v>
      </c>
      <c r="C297" s="285">
        <v>178.854511</v>
      </c>
      <c r="D297" s="286">
        <v>173.53615947149632</v>
      </c>
      <c r="E297" s="285">
        <f t="shared" si="12"/>
        <v>173.53615947149632</v>
      </c>
      <c r="F297" s="295"/>
      <c r="G297" s="199" t="str">
        <f t="shared" si="13"/>
        <v/>
      </c>
      <c r="H297" s="287" t="str">
        <f t="shared" si="14"/>
        <v/>
      </c>
      <c r="I297" s="288"/>
    </row>
    <row r="298" spans="1:9">
      <c r="A298" s="283">
        <v>296</v>
      </c>
      <c r="B298" s="284">
        <v>44674</v>
      </c>
      <c r="C298" s="285">
        <v>347.51635900000002</v>
      </c>
      <c r="D298" s="286">
        <v>173.53615947149632</v>
      </c>
      <c r="E298" s="285">
        <f t="shared" si="12"/>
        <v>173.53615947149632</v>
      </c>
      <c r="F298" s="295"/>
      <c r="G298" s="199" t="str">
        <f t="shared" si="13"/>
        <v/>
      </c>
      <c r="H298" s="287" t="str">
        <f t="shared" si="14"/>
        <v/>
      </c>
      <c r="I298" s="288"/>
    </row>
    <row r="299" spans="1:9">
      <c r="A299" s="283">
        <v>297</v>
      </c>
      <c r="B299" s="284">
        <v>44675</v>
      </c>
      <c r="C299" s="285">
        <v>169.876386</v>
      </c>
      <c r="D299" s="286">
        <v>173.53615947149632</v>
      </c>
      <c r="E299" s="285">
        <f t="shared" si="12"/>
        <v>169.876386</v>
      </c>
      <c r="F299" s="295"/>
      <c r="G299" s="199" t="str">
        <f t="shared" si="13"/>
        <v/>
      </c>
      <c r="H299" s="287" t="str">
        <f t="shared" si="14"/>
        <v/>
      </c>
      <c r="I299" s="288"/>
    </row>
    <row r="300" spans="1:9">
      <c r="A300" s="283">
        <v>298</v>
      </c>
      <c r="B300" s="284">
        <v>44676</v>
      </c>
      <c r="C300" s="285">
        <v>33.183500000000002</v>
      </c>
      <c r="D300" s="286">
        <v>173.53615947149632</v>
      </c>
      <c r="E300" s="285">
        <f t="shared" si="12"/>
        <v>33.183500000000002</v>
      </c>
      <c r="F300" s="295"/>
      <c r="G300" s="199" t="str">
        <f t="shared" si="13"/>
        <v/>
      </c>
      <c r="H300" s="287" t="str">
        <f t="shared" si="14"/>
        <v/>
      </c>
      <c r="I300" s="288"/>
    </row>
    <row r="301" spans="1:9">
      <c r="A301" s="283">
        <v>299</v>
      </c>
      <c r="B301" s="284">
        <v>44677</v>
      </c>
      <c r="C301" s="285">
        <v>64.831139000000007</v>
      </c>
      <c r="D301" s="286">
        <v>173.53615947149632</v>
      </c>
      <c r="E301" s="285">
        <f t="shared" si="12"/>
        <v>64.831139000000007</v>
      </c>
      <c r="F301" s="295"/>
      <c r="G301" s="199" t="str">
        <f t="shared" si="13"/>
        <v/>
      </c>
      <c r="H301" s="287" t="str">
        <f t="shared" si="14"/>
        <v/>
      </c>
      <c r="I301" s="288"/>
    </row>
    <row r="302" spans="1:9">
      <c r="A302" s="283">
        <v>300</v>
      </c>
      <c r="B302" s="284">
        <v>44678</v>
      </c>
      <c r="C302" s="285">
        <v>42.717110999999996</v>
      </c>
      <c r="D302" s="286">
        <v>173.53615947149632</v>
      </c>
      <c r="E302" s="285">
        <f t="shared" si="12"/>
        <v>42.717110999999996</v>
      </c>
      <c r="F302" s="295"/>
      <c r="G302" s="199" t="str">
        <f t="shared" si="13"/>
        <v/>
      </c>
      <c r="H302" s="287" t="str">
        <f t="shared" si="14"/>
        <v/>
      </c>
      <c r="I302" s="288"/>
    </row>
    <row r="303" spans="1:9">
      <c r="A303" s="283">
        <v>301</v>
      </c>
      <c r="B303" s="284">
        <v>44679</v>
      </c>
      <c r="C303" s="285">
        <v>83.537114999999986</v>
      </c>
      <c r="D303" s="286">
        <v>173.53615947149632</v>
      </c>
      <c r="E303" s="285">
        <f t="shared" si="12"/>
        <v>83.537114999999986</v>
      </c>
      <c r="F303" s="295"/>
      <c r="G303" s="199" t="str">
        <f t="shared" si="13"/>
        <v/>
      </c>
      <c r="H303" s="287" t="str">
        <f t="shared" si="14"/>
        <v/>
      </c>
      <c r="I303" s="288"/>
    </row>
    <row r="304" spans="1:9">
      <c r="A304" s="283">
        <v>302</v>
      </c>
      <c r="B304" s="284">
        <v>44680</v>
      </c>
      <c r="C304" s="285">
        <v>76.722092000000004</v>
      </c>
      <c r="D304" s="286">
        <v>173.53615947149632</v>
      </c>
      <c r="E304" s="285">
        <f t="shared" si="12"/>
        <v>76.722092000000004</v>
      </c>
      <c r="F304" s="295"/>
      <c r="G304" s="199" t="str">
        <f t="shared" si="13"/>
        <v/>
      </c>
      <c r="H304" s="287" t="str">
        <f t="shared" si="14"/>
        <v/>
      </c>
      <c r="I304" s="288"/>
    </row>
    <row r="305" spans="1:9">
      <c r="A305" s="283">
        <v>303</v>
      </c>
      <c r="B305" s="284">
        <v>44681</v>
      </c>
      <c r="C305" s="285">
        <v>120.19039599999999</v>
      </c>
      <c r="D305" s="286">
        <v>173.53615947149632</v>
      </c>
      <c r="E305" s="285">
        <f t="shared" si="12"/>
        <v>120.19039599999999</v>
      </c>
      <c r="F305" s="295"/>
      <c r="G305" s="199" t="str">
        <f t="shared" si="13"/>
        <v/>
      </c>
      <c r="H305" s="287" t="str">
        <f t="shared" si="14"/>
        <v/>
      </c>
      <c r="I305" s="288"/>
    </row>
    <row r="306" spans="1:9">
      <c r="A306" s="283">
        <v>304</v>
      </c>
      <c r="B306" s="284">
        <v>44682</v>
      </c>
      <c r="C306" s="285">
        <v>96.079611</v>
      </c>
      <c r="D306" s="286">
        <v>155.29895276016032</v>
      </c>
      <c r="E306" s="285">
        <f t="shared" si="12"/>
        <v>96.079611</v>
      </c>
      <c r="F306" s="295"/>
      <c r="G306" s="199" t="str">
        <f t="shared" si="13"/>
        <v/>
      </c>
      <c r="H306" s="287" t="str">
        <f t="shared" si="14"/>
        <v/>
      </c>
      <c r="I306" s="288"/>
    </row>
    <row r="307" spans="1:9">
      <c r="A307" s="283">
        <v>305</v>
      </c>
      <c r="B307" s="284">
        <v>44683</v>
      </c>
      <c r="C307" s="285">
        <v>153.68681400000003</v>
      </c>
      <c r="D307" s="286">
        <v>155.29895276016032</v>
      </c>
      <c r="E307" s="285">
        <f t="shared" si="12"/>
        <v>153.68681400000003</v>
      </c>
      <c r="F307" s="295"/>
      <c r="G307" s="199" t="str">
        <f t="shared" si="13"/>
        <v/>
      </c>
      <c r="H307" s="287" t="str">
        <f t="shared" si="14"/>
        <v/>
      </c>
      <c r="I307" s="288"/>
    </row>
    <row r="308" spans="1:9">
      <c r="A308" s="283">
        <v>306</v>
      </c>
      <c r="B308" s="284">
        <v>44684</v>
      </c>
      <c r="C308" s="285">
        <v>180.78858400000001</v>
      </c>
      <c r="D308" s="286">
        <v>155.29895276016032</v>
      </c>
      <c r="E308" s="285">
        <f t="shared" si="12"/>
        <v>155.29895276016032</v>
      </c>
      <c r="F308" s="288"/>
      <c r="G308" s="199" t="str">
        <f t="shared" si="13"/>
        <v/>
      </c>
      <c r="H308" s="287" t="str">
        <f t="shared" si="14"/>
        <v/>
      </c>
      <c r="I308" s="288"/>
    </row>
    <row r="309" spans="1:9">
      <c r="A309" s="283">
        <v>307</v>
      </c>
      <c r="B309" s="284">
        <v>44685</v>
      </c>
      <c r="C309" s="285">
        <v>173.30180399999998</v>
      </c>
      <c r="D309" s="286">
        <v>155.29895276016032</v>
      </c>
      <c r="E309" s="285">
        <f t="shared" si="12"/>
        <v>155.29895276016032</v>
      </c>
      <c r="F309" s="295"/>
      <c r="G309" s="199" t="str">
        <f t="shared" si="13"/>
        <v/>
      </c>
      <c r="H309" s="287" t="str">
        <f t="shared" si="14"/>
        <v/>
      </c>
      <c r="I309" s="288"/>
    </row>
    <row r="310" spans="1:9">
      <c r="A310" s="283">
        <v>308</v>
      </c>
      <c r="B310" s="284">
        <v>44686</v>
      </c>
      <c r="C310" s="285">
        <v>199.232642</v>
      </c>
      <c r="D310" s="286">
        <v>155.29895276016032</v>
      </c>
      <c r="E310" s="285">
        <f t="shared" si="12"/>
        <v>155.29895276016032</v>
      </c>
      <c r="F310" s="295"/>
      <c r="G310" s="199" t="str">
        <f t="shared" si="13"/>
        <v/>
      </c>
      <c r="H310" s="287" t="str">
        <f t="shared" si="14"/>
        <v/>
      </c>
      <c r="I310" s="288"/>
    </row>
    <row r="311" spans="1:9">
      <c r="A311" s="283">
        <v>309</v>
      </c>
      <c r="B311" s="284">
        <v>44687</v>
      </c>
      <c r="C311" s="285">
        <v>227.37767899999997</v>
      </c>
      <c r="D311" s="286">
        <v>155.29895276016032</v>
      </c>
      <c r="E311" s="285">
        <f t="shared" si="12"/>
        <v>155.29895276016032</v>
      </c>
      <c r="F311" s="295"/>
      <c r="G311" s="199" t="str">
        <f t="shared" si="13"/>
        <v/>
      </c>
      <c r="H311" s="287" t="str">
        <f t="shared" si="14"/>
        <v/>
      </c>
      <c r="I311" s="288"/>
    </row>
    <row r="312" spans="1:9">
      <c r="A312" s="283">
        <v>310</v>
      </c>
      <c r="B312" s="284">
        <v>44688</v>
      </c>
      <c r="C312" s="285">
        <v>149.853081</v>
      </c>
      <c r="D312" s="286">
        <v>155.29895276016032</v>
      </c>
      <c r="E312" s="285">
        <f t="shared" si="12"/>
        <v>149.853081</v>
      </c>
      <c r="F312" s="295"/>
      <c r="G312" s="199" t="str">
        <f t="shared" si="13"/>
        <v/>
      </c>
      <c r="H312" s="287" t="str">
        <f t="shared" si="14"/>
        <v/>
      </c>
      <c r="I312" s="288"/>
    </row>
    <row r="313" spans="1:9">
      <c r="A313" s="283">
        <v>311</v>
      </c>
      <c r="B313" s="284">
        <v>44689</v>
      </c>
      <c r="C313" s="285">
        <v>96.728193000000005</v>
      </c>
      <c r="D313" s="286">
        <v>155.29895276016032</v>
      </c>
      <c r="E313" s="285">
        <f t="shared" si="12"/>
        <v>96.728193000000005</v>
      </c>
      <c r="F313" s="295"/>
      <c r="G313" s="199" t="str">
        <f t="shared" si="13"/>
        <v/>
      </c>
      <c r="H313" s="287" t="str">
        <f t="shared" si="14"/>
        <v/>
      </c>
      <c r="I313" s="288"/>
    </row>
    <row r="314" spans="1:9">
      <c r="A314" s="283">
        <v>312</v>
      </c>
      <c r="B314" s="284">
        <v>44690</v>
      </c>
      <c r="C314" s="285">
        <v>59.737413999999994</v>
      </c>
      <c r="D314" s="286">
        <v>155.29895276016032</v>
      </c>
      <c r="E314" s="285">
        <f t="shared" si="12"/>
        <v>59.737413999999994</v>
      </c>
      <c r="F314" s="295"/>
      <c r="G314" s="199" t="str">
        <f t="shared" si="13"/>
        <v/>
      </c>
      <c r="H314" s="287" t="str">
        <f t="shared" si="14"/>
        <v/>
      </c>
      <c r="I314" s="288"/>
    </row>
    <row r="315" spans="1:9">
      <c r="A315" s="283">
        <v>313</v>
      </c>
      <c r="B315" s="284">
        <v>44691</v>
      </c>
      <c r="C315" s="285">
        <v>78.470572000000004</v>
      </c>
      <c r="D315" s="286">
        <v>155.29895276016032</v>
      </c>
      <c r="E315" s="285">
        <f t="shared" si="12"/>
        <v>78.470572000000004</v>
      </c>
      <c r="F315" s="295"/>
      <c r="G315" s="199" t="str">
        <f t="shared" si="13"/>
        <v/>
      </c>
      <c r="H315" s="287" t="str">
        <f t="shared" si="14"/>
        <v/>
      </c>
      <c r="I315" s="288"/>
    </row>
    <row r="316" spans="1:9">
      <c r="A316" s="283">
        <v>314</v>
      </c>
      <c r="B316" s="284">
        <v>44692</v>
      </c>
      <c r="C316" s="285">
        <v>124.968198</v>
      </c>
      <c r="D316" s="286">
        <v>155.29895276016032</v>
      </c>
      <c r="E316" s="285">
        <f t="shared" si="12"/>
        <v>124.968198</v>
      </c>
      <c r="F316" s="295"/>
      <c r="G316" s="199" t="str">
        <f t="shared" si="13"/>
        <v/>
      </c>
      <c r="H316" s="287" t="str">
        <f t="shared" si="14"/>
        <v/>
      </c>
      <c r="I316" s="288"/>
    </row>
    <row r="317" spans="1:9">
      <c r="A317" s="283">
        <v>315</v>
      </c>
      <c r="B317" s="284">
        <v>44693</v>
      </c>
      <c r="C317" s="285">
        <v>131.41893999999999</v>
      </c>
      <c r="D317" s="286">
        <v>155.29895276016032</v>
      </c>
      <c r="E317" s="285">
        <f t="shared" si="12"/>
        <v>131.41893999999999</v>
      </c>
      <c r="F317" s="295"/>
      <c r="G317" s="199" t="str">
        <f t="shared" si="13"/>
        <v/>
      </c>
      <c r="H317" s="287" t="str">
        <f t="shared" si="14"/>
        <v/>
      </c>
      <c r="I317" s="288"/>
    </row>
    <row r="318" spans="1:9">
      <c r="A318" s="283">
        <v>316</v>
      </c>
      <c r="B318" s="284">
        <v>44694</v>
      </c>
      <c r="C318" s="285">
        <v>50.105214999999994</v>
      </c>
      <c r="D318" s="286">
        <v>155.29895276016032</v>
      </c>
      <c r="E318" s="285">
        <f t="shared" si="12"/>
        <v>50.105214999999994</v>
      </c>
      <c r="F318" s="295"/>
      <c r="G318" s="199" t="str">
        <f t="shared" si="13"/>
        <v/>
      </c>
      <c r="H318" s="287" t="str">
        <f t="shared" si="14"/>
        <v/>
      </c>
      <c r="I318" s="288"/>
    </row>
    <row r="319" spans="1:9">
      <c r="A319" s="283">
        <v>317</v>
      </c>
      <c r="B319" s="284">
        <v>44695</v>
      </c>
      <c r="C319" s="285">
        <v>107.45642100000001</v>
      </c>
      <c r="D319" s="286">
        <v>155.29895276016032</v>
      </c>
      <c r="E319" s="285">
        <f t="shared" si="12"/>
        <v>107.45642100000001</v>
      </c>
      <c r="F319" s="295"/>
      <c r="G319" s="199" t="str">
        <f t="shared" si="13"/>
        <v/>
      </c>
      <c r="H319" s="287" t="str">
        <f t="shared" si="14"/>
        <v/>
      </c>
      <c r="I319" s="288"/>
    </row>
    <row r="320" spans="1:9">
      <c r="A320" s="283">
        <v>318</v>
      </c>
      <c r="B320" s="284">
        <v>44696</v>
      </c>
      <c r="C320" s="285">
        <v>199.42677499999999</v>
      </c>
      <c r="D320" s="286">
        <v>155.29895276016032</v>
      </c>
      <c r="E320" s="285">
        <f t="shared" si="12"/>
        <v>155.29895276016032</v>
      </c>
      <c r="F320" s="295"/>
      <c r="G320" s="199" t="str">
        <f t="shared" si="13"/>
        <v>M</v>
      </c>
      <c r="H320" s="287" t="str">
        <f t="shared" si="14"/>
        <v>155,3</v>
      </c>
      <c r="I320" s="288"/>
    </row>
    <row r="321" spans="1:9">
      <c r="A321" s="283">
        <v>319</v>
      </c>
      <c r="B321" s="284">
        <v>44697</v>
      </c>
      <c r="C321" s="285">
        <v>122.83414900000001</v>
      </c>
      <c r="D321" s="286">
        <v>155.29895276016032</v>
      </c>
      <c r="E321" s="285">
        <f t="shared" si="12"/>
        <v>122.83414900000001</v>
      </c>
      <c r="F321" s="295"/>
      <c r="G321" s="199" t="str">
        <f t="shared" si="13"/>
        <v/>
      </c>
      <c r="H321" s="287" t="str">
        <f t="shared" si="14"/>
        <v/>
      </c>
      <c r="I321" s="288"/>
    </row>
    <row r="322" spans="1:9">
      <c r="A322" s="283">
        <v>320</v>
      </c>
      <c r="B322" s="284">
        <v>44698</v>
      </c>
      <c r="C322" s="285">
        <v>106.037814</v>
      </c>
      <c r="D322" s="286">
        <v>155.29895276016032</v>
      </c>
      <c r="E322" s="285">
        <f t="shared" si="12"/>
        <v>106.037814</v>
      </c>
      <c r="F322" s="288"/>
      <c r="G322" s="199" t="str">
        <f t="shared" si="13"/>
        <v/>
      </c>
      <c r="H322" s="287" t="str">
        <f t="shared" si="14"/>
        <v/>
      </c>
      <c r="I322" s="288"/>
    </row>
    <row r="323" spans="1:9">
      <c r="A323" s="283">
        <v>321</v>
      </c>
      <c r="B323" s="284">
        <v>44699</v>
      </c>
      <c r="C323" s="285">
        <v>111.48863800000001</v>
      </c>
      <c r="D323" s="286">
        <v>155.29895276016032</v>
      </c>
      <c r="E323" s="285">
        <f t="shared" ref="E323:E386" si="15">IF(C323&gt;D323,D323,C323)</f>
        <v>111.48863800000001</v>
      </c>
      <c r="F323" s="295"/>
      <c r="G323" s="199" t="str">
        <f t="shared" ref="G323:G386" si="16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287" t="str">
        <f t="shared" ref="H323:H386" si="17">IF(DAY($B323)=15,TEXT(D323,"#,0"),"")</f>
        <v/>
      </c>
      <c r="I323" s="288"/>
    </row>
    <row r="324" spans="1:9">
      <c r="A324" s="283">
        <v>322</v>
      </c>
      <c r="B324" s="284">
        <v>44700</v>
      </c>
      <c r="C324" s="285">
        <v>188.80027799999999</v>
      </c>
      <c r="D324" s="286">
        <v>155.29895276016032</v>
      </c>
      <c r="E324" s="285">
        <f t="shared" si="15"/>
        <v>155.29895276016032</v>
      </c>
      <c r="F324" s="295"/>
      <c r="G324" s="199" t="str">
        <f t="shared" si="16"/>
        <v/>
      </c>
      <c r="H324" s="287" t="str">
        <f t="shared" si="17"/>
        <v/>
      </c>
      <c r="I324" s="288"/>
    </row>
    <row r="325" spans="1:9">
      <c r="A325" s="283">
        <v>323</v>
      </c>
      <c r="B325" s="284">
        <v>44701</v>
      </c>
      <c r="C325" s="285">
        <v>205.49503200000001</v>
      </c>
      <c r="D325" s="286">
        <v>155.29895276016032</v>
      </c>
      <c r="E325" s="285">
        <f t="shared" si="15"/>
        <v>155.29895276016032</v>
      </c>
      <c r="F325" s="295"/>
      <c r="G325" s="199" t="str">
        <f t="shared" si="16"/>
        <v/>
      </c>
      <c r="H325" s="287" t="str">
        <f t="shared" si="17"/>
        <v/>
      </c>
      <c r="I325" s="288"/>
    </row>
    <row r="326" spans="1:9">
      <c r="A326" s="283">
        <v>324</v>
      </c>
      <c r="B326" s="284">
        <v>44702</v>
      </c>
      <c r="C326" s="285">
        <v>170.148976</v>
      </c>
      <c r="D326" s="286">
        <v>155.29895276016032</v>
      </c>
      <c r="E326" s="285">
        <f t="shared" si="15"/>
        <v>155.29895276016032</v>
      </c>
      <c r="F326" s="295"/>
      <c r="G326" s="199" t="str">
        <f t="shared" si="16"/>
        <v/>
      </c>
      <c r="H326" s="287" t="str">
        <f t="shared" si="17"/>
        <v/>
      </c>
      <c r="I326" s="288"/>
    </row>
    <row r="327" spans="1:9">
      <c r="A327" s="283">
        <v>325</v>
      </c>
      <c r="B327" s="284">
        <v>44703</v>
      </c>
      <c r="C327" s="285">
        <v>151.623041</v>
      </c>
      <c r="D327" s="286">
        <v>155.29895276016032</v>
      </c>
      <c r="E327" s="285">
        <f t="shared" si="15"/>
        <v>151.623041</v>
      </c>
      <c r="F327" s="295"/>
      <c r="G327" s="199" t="str">
        <f t="shared" si="16"/>
        <v/>
      </c>
      <c r="H327" s="287" t="str">
        <f t="shared" si="17"/>
        <v/>
      </c>
      <c r="I327" s="288"/>
    </row>
    <row r="328" spans="1:9">
      <c r="A328" s="283">
        <v>326</v>
      </c>
      <c r="B328" s="284">
        <v>44704</v>
      </c>
      <c r="C328" s="285">
        <v>167.31313800000001</v>
      </c>
      <c r="D328" s="286">
        <v>155.29895276016032</v>
      </c>
      <c r="E328" s="285">
        <f t="shared" si="15"/>
        <v>155.29895276016032</v>
      </c>
      <c r="F328" s="295"/>
      <c r="G328" s="199" t="str">
        <f t="shared" si="16"/>
        <v/>
      </c>
      <c r="H328" s="287" t="str">
        <f t="shared" si="17"/>
        <v/>
      </c>
      <c r="I328" s="288"/>
    </row>
    <row r="329" spans="1:9">
      <c r="A329" s="283">
        <v>327</v>
      </c>
      <c r="B329" s="284">
        <v>44705</v>
      </c>
      <c r="C329" s="285">
        <v>194.95788000000002</v>
      </c>
      <c r="D329" s="286">
        <v>155.29895276016032</v>
      </c>
      <c r="E329" s="285">
        <f t="shared" si="15"/>
        <v>155.29895276016032</v>
      </c>
      <c r="F329" s="295"/>
      <c r="G329" s="199" t="str">
        <f t="shared" si="16"/>
        <v/>
      </c>
      <c r="H329" s="287" t="str">
        <f t="shared" si="17"/>
        <v/>
      </c>
      <c r="I329" s="288"/>
    </row>
    <row r="330" spans="1:9">
      <c r="A330" s="283">
        <v>328</v>
      </c>
      <c r="B330" s="284">
        <v>44706</v>
      </c>
      <c r="C330" s="285">
        <v>233.44097299999999</v>
      </c>
      <c r="D330" s="286">
        <v>155.29895276016032</v>
      </c>
      <c r="E330" s="285">
        <f t="shared" si="15"/>
        <v>155.29895276016032</v>
      </c>
      <c r="F330" s="295"/>
      <c r="G330" s="199" t="str">
        <f t="shared" si="16"/>
        <v/>
      </c>
      <c r="H330" s="287" t="str">
        <f t="shared" si="17"/>
        <v/>
      </c>
      <c r="I330" s="288"/>
    </row>
    <row r="331" spans="1:9">
      <c r="A331" s="283">
        <v>329</v>
      </c>
      <c r="B331" s="284">
        <v>44707</v>
      </c>
      <c r="C331" s="285">
        <v>251.70730799999998</v>
      </c>
      <c r="D331" s="286">
        <v>155.29895276016032</v>
      </c>
      <c r="E331" s="285">
        <f t="shared" si="15"/>
        <v>155.29895276016032</v>
      </c>
      <c r="F331" s="295"/>
      <c r="G331" s="199" t="str">
        <f t="shared" si="16"/>
        <v/>
      </c>
      <c r="H331" s="287" t="str">
        <f t="shared" si="17"/>
        <v/>
      </c>
      <c r="I331" s="288"/>
    </row>
    <row r="332" spans="1:9">
      <c r="A332" s="283">
        <v>330</v>
      </c>
      <c r="B332" s="284">
        <v>44708</v>
      </c>
      <c r="C332" s="285">
        <v>223.394194</v>
      </c>
      <c r="D332" s="286">
        <v>155.29895276016032</v>
      </c>
      <c r="E332" s="285">
        <f t="shared" si="15"/>
        <v>155.29895276016032</v>
      </c>
      <c r="F332" s="295"/>
      <c r="G332" s="199" t="str">
        <f t="shared" si="16"/>
        <v/>
      </c>
      <c r="H332" s="287" t="str">
        <f t="shared" si="17"/>
        <v/>
      </c>
      <c r="I332" s="288"/>
    </row>
    <row r="333" spans="1:9">
      <c r="A333" s="283">
        <v>331</v>
      </c>
      <c r="B333" s="284">
        <v>44709</v>
      </c>
      <c r="C333" s="285">
        <v>142.273076</v>
      </c>
      <c r="D333" s="286">
        <v>155.29895276016032</v>
      </c>
      <c r="E333" s="285">
        <f t="shared" si="15"/>
        <v>142.273076</v>
      </c>
      <c r="F333" s="295"/>
      <c r="G333" s="199" t="str">
        <f t="shared" si="16"/>
        <v/>
      </c>
      <c r="H333" s="287" t="str">
        <f t="shared" si="17"/>
        <v/>
      </c>
      <c r="I333" s="288"/>
    </row>
    <row r="334" spans="1:9">
      <c r="A334" s="283">
        <v>332</v>
      </c>
      <c r="B334" s="284">
        <v>44710</v>
      </c>
      <c r="C334" s="285">
        <v>146.92327300000002</v>
      </c>
      <c r="D334" s="286">
        <v>155.29895276016032</v>
      </c>
      <c r="E334" s="285">
        <f t="shared" si="15"/>
        <v>146.92327300000002</v>
      </c>
      <c r="F334" s="295"/>
      <c r="G334" s="199" t="str">
        <f t="shared" si="16"/>
        <v/>
      </c>
      <c r="H334" s="287" t="str">
        <f t="shared" si="17"/>
        <v/>
      </c>
      <c r="I334" s="288"/>
    </row>
    <row r="335" spans="1:9">
      <c r="A335" s="283">
        <v>333</v>
      </c>
      <c r="B335" s="284">
        <v>44711</v>
      </c>
      <c r="C335" s="285">
        <v>102.34906699999999</v>
      </c>
      <c r="D335" s="286">
        <v>155.29895276016032</v>
      </c>
      <c r="E335" s="285">
        <f>IF(C335&gt;D335,D335,C335)</f>
        <v>102.34906699999999</v>
      </c>
      <c r="F335" s="295"/>
      <c r="G335" s="199" t="str">
        <f t="shared" si="16"/>
        <v/>
      </c>
      <c r="H335" s="287" t="str">
        <f t="shared" si="17"/>
        <v/>
      </c>
      <c r="I335" s="288"/>
    </row>
    <row r="336" spans="1:9">
      <c r="A336" s="283">
        <v>334</v>
      </c>
      <c r="B336" s="284">
        <v>44712</v>
      </c>
      <c r="C336" s="285">
        <v>50.243061000000004</v>
      </c>
      <c r="D336" s="286">
        <v>155.29895276016032</v>
      </c>
      <c r="E336" s="285">
        <f t="shared" si="15"/>
        <v>50.243061000000004</v>
      </c>
      <c r="F336" s="288"/>
      <c r="G336" s="199" t="str">
        <f t="shared" si="16"/>
        <v/>
      </c>
      <c r="H336" s="287" t="str">
        <f t="shared" si="17"/>
        <v/>
      </c>
      <c r="I336" s="288"/>
    </row>
    <row r="337" spans="1:9">
      <c r="A337" s="283">
        <v>335</v>
      </c>
      <c r="B337" s="284">
        <v>44713</v>
      </c>
      <c r="C337" s="285">
        <v>114.599975</v>
      </c>
      <c r="D337" s="286">
        <v>160.47558451883233</v>
      </c>
      <c r="E337" s="285">
        <f t="shared" si="15"/>
        <v>114.599975</v>
      </c>
      <c r="F337" s="288"/>
      <c r="G337" s="199" t="str">
        <f t="shared" si="16"/>
        <v/>
      </c>
      <c r="H337" s="287" t="str">
        <f t="shared" si="17"/>
        <v/>
      </c>
      <c r="I337" s="288"/>
    </row>
    <row r="338" spans="1:9">
      <c r="A338" s="283">
        <v>336</v>
      </c>
      <c r="B338" s="284">
        <v>44714</v>
      </c>
      <c r="C338" s="285">
        <v>70.015323000000009</v>
      </c>
      <c r="D338" s="286">
        <v>128.92423379076934</v>
      </c>
      <c r="E338" s="285">
        <f t="shared" si="15"/>
        <v>70.015323000000009</v>
      </c>
      <c r="F338" s="295"/>
      <c r="G338" s="199" t="str">
        <f t="shared" si="16"/>
        <v/>
      </c>
      <c r="H338" s="287" t="str">
        <f t="shared" si="17"/>
        <v/>
      </c>
      <c r="I338" s="288"/>
    </row>
    <row r="339" spans="1:9">
      <c r="A339" s="283">
        <v>337</v>
      </c>
      <c r="B339" s="284">
        <v>44715</v>
      </c>
      <c r="C339" s="285">
        <v>74.905062000000001</v>
      </c>
      <c r="D339" s="286">
        <v>128.92423379076934</v>
      </c>
      <c r="E339" s="285">
        <f t="shared" si="15"/>
        <v>74.905062000000001</v>
      </c>
      <c r="F339" s="295"/>
      <c r="G339" s="199" t="str">
        <f t="shared" si="16"/>
        <v/>
      </c>
      <c r="H339" s="287" t="str">
        <f t="shared" si="17"/>
        <v/>
      </c>
      <c r="I339" s="288"/>
    </row>
    <row r="340" spans="1:9">
      <c r="A340" s="283">
        <v>338</v>
      </c>
      <c r="B340" s="284">
        <v>44716</v>
      </c>
      <c r="C340" s="285">
        <v>81.585093999999998</v>
      </c>
      <c r="D340" s="286">
        <v>128.92423379076934</v>
      </c>
      <c r="E340" s="285">
        <f t="shared" si="15"/>
        <v>81.585093999999998</v>
      </c>
      <c r="F340" s="295"/>
      <c r="G340" s="199" t="str">
        <f t="shared" si="16"/>
        <v/>
      </c>
      <c r="H340" s="287" t="str">
        <f t="shared" si="17"/>
        <v/>
      </c>
      <c r="I340" s="288"/>
    </row>
    <row r="341" spans="1:9">
      <c r="A341" s="283">
        <v>339</v>
      </c>
      <c r="B341" s="284">
        <v>44717</v>
      </c>
      <c r="C341" s="285">
        <v>74.693217000000004</v>
      </c>
      <c r="D341" s="286">
        <v>128.92423379076934</v>
      </c>
      <c r="E341" s="285">
        <f t="shared" si="15"/>
        <v>74.693217000000004</v>
      </c>
      <c r="F341" s="295"/>
      <c r="G341" s="199" t="str">
        <f t="shared" si="16"/>
        <v/>
      </c>
      <c r="H341" s="287" t="str">
        <f t="shared" si="17"/>
        <v/>
      </c>
      <c r="I341" s="288"/>
    </row>
    <row r="342" spans="1:9">
      <c r="A342" s="283">
        <v>340</v>
      </c>
      <c r="B342" s="284">
        <v>44718</v>
      </c>
      <c r="C342" s="285">
        <v>88.805487999999997</v>
      </c>
      <c r="D342" s="286">
        <v>128.92423379076934</v>
      </c>
      <c r="E342" s="285">
        <f t="shared" si="15"/>
        <v>88.805487999999997</v>
      </c>
      <c r="F342" s="295"/>
      <c r="G342" s="199" t="str">
        <f t="shared" si="16"/>
        <v/>
      </c>
      <c r="H342" s="287" t="str">
        <f t="shared" si="17"/>
        <v/>
      </c>
      <c r="I342" s="288"/>
    </row>
    <row r="343" spans="1:9">
      <c r="A343" s="283">
        <v>341</v>
      </c>
      <c r="B343" s="284">
        <v>44719</v>
      </c>
      <c r="C343" s="285">
        <v>82.791608999999994</v>
      </c>
      <c r="D343" s="286">
        <v>128.92423379076934</v>
      </c>
      <c r="E343" s="285">
        <f t="shared" si="15"/>
        <v>82.791608999999994</v>
      </c>
      <c r="F343" s="295"/>
      <c r="G343" s="199" t="str">
        <f t="shared" si="16"/>
        <v/>
      </c>
      <c r="H343" s="287" t="str">
        <f t="shared" si="17"/>
        <v/>
      </c>
      <c r="I343" s="288"/>
    </row>
    <row r="344" spans="1:9">
      <c r="A344" s="283">
        <v>342</v>
      </c>
      <c r="B344" s="284">
        <v>44720</v>
      </c>
      <c r="C344" s="285">
        <v>174.90681199999997</v>
      </c>
      <c r="D344" s="286">
        <v>128.92423379076934</v>
      </c>
      <c r="E344" s="285">
        <f t="shared" si="15"/>
        <v>128.92423379076934</v>
      </c>
      <c r="F344" s="295"/>
      <c r="G344" s="199" t="str">
        <f t="shared" si="16"/>
        <v/>
      </c>
      <c r="H344" s="287" t="str">
        <f t="shared" si="17"/>
        <v/>
      </c>
      <c r="I344" s="288"/>
    </row>
    <row r="345" spans="1:9">
      <c r="A345" s="283">
        <v>343</v>
      </c>
      <c r="B345" s="284">
        <v>44721</v>
      </c>
      <c r="C345" s="285">
        <v>159.96762200000001</v>
      </c>
      <c r="D345" s="286">
        <v>128.92423379076934</v>
      </c>
      <c r="E345" s="285">
        <f t="shared" si="15"/>
        <v>128.92423379076934</v>
      </c>
      <c r="F345" s="295"/>
      <c r="G345" s="199" t="str">
        <f t="shared" si="16"/>
        <v/>
      </c>
      <c r="H345" s="287" t="str">
        <f t="shared" si="17"/>
        <v/>
      </c>
      <c r="I345" s="288"/>
    </row>
    <row r="346" spans="1:9">
      <c r="A346" s="283">
        <v>344</v>
      </c>
      <c r="B346" s="284">
        <v>44722</v>
      </c>
      <c r="C346" s="285">
        <v>124.965159</v>
      </c>
      <c r="D346" s="286">
        <v>128.92423379076934</v>
      </c>
      <c r="E346" s="285">
        <f t="shared" si="15"/>
        <v>124.965159</v>
      </c>
      <c r="F346" s="295"/>
      <c r="G346" s="199" t="str">
        <f t="shared" si="16"/>
        <v/>
      </c>
      <c r="H346" s="287" t="str">
        <f t="shared" si="17"/>
        <v/>
      </c>
      <c r="I346" s="288"/>
    </row>
    <row r="347" spans="1:9">
      <c r="A347" s="283">
        <v>345</v>
      </c>
      <c r="B347" s="284">
        <v>44723</v>
      </c>
      <c r="C347" s="285">
        <v>173.98156599999999</v>
      </c>
      <c r="D347" s="286">
        <v>128.92423379076934</v>
      </c>
      <c r="E347" s="285">
        <f t="shared" si="15"/>
        <v>128.92423379076934</v>
      </c>
      <c r="F347" s="295"/>
      <c r="G347" s="199" t="str">
        <f t="shared" si="16"/>
        <v/>
      </c>
      <c r="H347" s="287" t="str">
        <f t="shared" si="17"/>
        <v/>
      </c>
      <c r="I347" s="288"/>
    </row>
    <row r="348" spans="1:9">
      <c r="A348" s="283">
        <v>346</v>
      </c>
      <c r="B348" s="284">
        <v>44724</v>
      </c>
      <c r="C348" s="285">
        <v>199.43347900000001</v>
      </c>
      <c r="D348" s="286">
        <v>128.92423379076934</v>
      </c>
      <c r="E348" s="285">
        <f t="shared" si="15"/>
        <v>128.92423379076934</v>
      </c>
      <c r="F348" s="295"/>
      <c r="G348" s="199" t="str">
        <f t="shared" si="16"/>
        <v/>
      </c>
      <c r="H348" s="287" t="str">
        <f t="shared" si="17"/>
        <v/>
      </c>
      <c r="I348" s="288"/>
    </row>
    <row r="349" spans="1:9">
      <c r="A349" s="283">
        <v>347</v>
      </c>
      <c r="B349" s="284">
        <v>44725</v>
      </c>
      <c r="C349" s="285">
        <v>161.563895</v>
      </c>
      <c r="D349" s="286">
        <v>128.92423379076934</v>
      </c>
      <c r="E349" s="285">
        <f t="shared" si="15"/>
        <v>128.92423379076934</v>
      </c>
      <c r="F349" s="295"/>
      <c r="G349" s="199" t="str">
        <f t="shared" si="16"/>
        <v/>
      </c>
      <c r="H349" s="287" t="str">
        <f t="shared" si="17"/>
        <v/>
      </c>
      <c r="I349" s="288"/>
    </row>
    <row r="350" spans="1:9">
      <c r="A350" s="283">
        <v>348</v>
      </c>
      <c r="B350" s="284">
        <v>44726</v>
      </c>
      <c r="C350" s="285">
        <v>85.082397</v>
      </c>
      <c r="D350" s="286">
        <v>128.92423379076934</v>
      </c>
      <c r="E350" s="285">
        <f t="shared" si="15"/>
        <v>85.082397</v>
      </c>
      <c r="F350" s="295"/>
      <c r="G350" s="199" t="str">
        <f t="shared" si="16"/>
        <v/>
      </c>
      <c r="H350" s="287" t="str">
        <f t="shared" si="17"/>
        <v/>
      </c>
      <c r="I350" s="288"/>
    </row>
    <row r="351" spans="1:9">
      <c r="A351" s="283">
        <v>349</v>
      </c>
      <c r="B351" s="284">
        <v>44727</v>
      </c>
      <c r="C351" s="285">
        <v>95.982008999999991</v>
      </c>
      <c r="D351" s="286">
        <v>128.92423379076934</v>
      </c>
      <c r="E351" s="285">
        <f t="shared" si="15"/>
        <v>95.982008999999991</v>
      </c>
      <c r="F351" s="288"/>
      <c r="G351" s="199" t="str">
        <f t="shared" si="16"/>
        <v>J</v>
      </c>
      <c r="H351" s="287" t="str">
        <f t="shared" si="17"/>
        <v>128,9</v>
      </c>
      <c r="I351" s="288"/>
    </row>
    <row r="352" spans="1:9">
      <c r="A352" s="283">
        <v>350</v>
      </c>
      <c r="B352" s="284">
        <v>44728</v>
      </c>
      <c r="C352" s="285">
        <v>101.65593399999999</v>
      </c>
      <c r="D352" s="286">
        <v>128.92423379076934</v>
      </c>
      <c r="E352" s="285">
        <f t="shared" si="15"/>
        <v>101.65593399999999</v>
      </c>
      <c r="F352" s="295"/>
      <c r="G352" s="199" t="str">
        <f t="shared" si="16"/>
        <v/>
      </c>
      <c r="H352" s="287" t="str">
        <f t="shared" si="17"/>
        <v/>
      </c>
      <c r="I352" s="288"/>
    </row>
    <row r="353" spans="1:9">
      <c r="A353" s="283">
        <v>351</v>
      </c>
      <c r="B353" s="284">
        <v>44729</v>
      </c>
      <c r="C353" s="285">
        <v>121.90847799999999</v>
      </c>
      <c r="D353" s="286">
        <v>128.92423379076934</v>
      </c>
      <c r="E353" s="285">
        <f t="shared" si="15"/>
        <v>121.90847799999999</v>
      </c>
      <c r="F353" s="295"/>
      <c r="G353" s="199" t="str">
        <f t="shared" si="16"/>
        <v/>
      </c>
      <c r="H353" s="287" t="str">
        <f t="shared" si="17"/>
        <v/>
      </c>
      <c r="I353" s="288"/>
    </row>
    <row r="354" spans="1:9">
      <c r="A354" s="283">
        <v>352</v>
      </c>
      <c r="B354" s="284">
        <v>44730</v>
      </c>
      <c r="C354" s="285">
        <v>182.33998099999999</v>
      </c>
      <c r="D354" s="286">
        <v>128.92423379076934</v>
      </c>
      <c r="E354" s="285">
        <f t="shared" si="15"/>
        <v>128.92423379076934</v>
      </c>
      <c r="F354" s="295"/>
      <c r="G354" s="199" t="str">
        <f t="shared" si="16"/>
        <v/>
      </c>
      <c r="H354" s="287" t="str">
        <f t="shared" si="17"/>
        <v/>
      </c>
      <c r="I354" s="288"/>
    </row>
    <row r="355" spans="1:9">
      <c r="A355" s="283">
        <v>353</v>
      </c>
      <c r="B355" s="284">
        <v>44731</v>
      </c>
      <c r="C355" s="285">
        <v>209.10906899999998</v>
      </c>
      <c r="D355" s="286">
        <v>128.92423379076934</v>
      </c>
      <c r="E355" s="285">
        <f t="shared" si="15"/>
        <v>128.92423379076934</v>
      </c>
      <c r="F355" s="295"/>
      <c r="G355" s="199" t="str">
        <f t="shared" si="16"/>
        <v/>
      </c>
      <c r="H355" s="287" t="str">
        <f t="shared" si="17"/>
        <v/>
      </c>
      <c r="I355" s="288"/>
    </row>
    <row r="356" spans="1:9">
      <c r="A356" s="283">
        <v>354</v>
      </c>
      <c r="B356" s="284">
        <v>44732</v>
      </c>
      <c r="C356" s="285">
        <v>109.541572</v>
      </c>
      <c r="D356" s="286">
        <v>128.92423379076934</v>
      </c>
      <c r="E356" s="285">
        <f t="shared" si="15"/>
        <v>109.541572</v>
      </c>
      <c r="F356" s="295"/>
      <c r="G356" s="199" t="str">
        <f t="shared" si="16"/>
        <v/>
      </c>
      <c r="H356" s="287" t="str">
        <f t="shared" si="17"/>
        <v/>
      </c>
      <c r="I356" s="288"/>
    </row>
    <row r="357" spans="1:9">
      <c r="A357" s="283">
        <v>355</v>
      </c>
      <c r="B357" s="284">
        <v>44733</v>
      </c>
      <c r="C357" s="285">
        <v>90.816609</v>
      </c>
      <c r="D357" s="286">
        <v>128.92423379076934</v>
      </c>
      <c r="E357" s="285">
        <f t="shared" si="15"/>
        <v>90.816609</v>
      </c>
      <c r="F357" s="295"/>
      <c r="G357" s="199" t="str">
        <f t="shared" si="16"/>
        <v/>
      </c>
      <c r="H357" s="287" t="str">
        <f t="shared" si="17"/>
        <v/>
      </c>
      <c r="I357" s="288"/>
    </row>
    <row r="358" spans="1:9">
      <c r="A358" s="283">
        <v>356</v>
      </c>
      <c r="B358" s="284">
        <v>44734</v>
      </c>
      <c r="C358" s="285">
        <v>79.910153999999991</v>
      </c>
      <c r="D358" s="286">
        <v>128.92423379076934</v>
      </c>
      <c r="E358" s="285">
        <f t="shared" si="15"/>
        <v>79.910153999999991</v>
      </c>
      <c r="F358" s="295"/>
      <c r="G358" s="199" t="str">
        <f t="shared" si="16"/>
        <v/>
      </c>
      <c r="H358" s="287" t="str">
        <f t="shared" si="17"/>
        <v/>
      </c>
      <c r="I358" s="288"/>
    </row>
    <row r="359" spans="1:9">
      <c r="A359" s="283">
        <v>357</v>
      </c>
      <c r="B359" s="284">
        <v>44735</v>
      </c>
      <c r="C359" s="285">
        <v>115.02095200000001</v>
      </c>
      <c r="D359" s="286">
        <v>128.92423379076934</v>
      </c>
      <c r="E359" s="285">
        <f t="shared" si="15"/>
        <v>115.02095200000001</v>
      </c>
      <c r="F359" s="295"/>
      <c r="G359" s="199" t="str">
        <f t="shared" si="16"/>
        <v/>
      </c>
      <c r="H359" s="287" t="str">
        <f t="shared" si="17"/>
        <v/>
      </c>
      <c r="I359" s="288"/>
    </row>
    <row r="360" spans="1:9">
      <c r="A360" s="283">
        <v>358</v>
      </c>
      <c r="B360" s="284">
        <v>44736</v>
      </c>
      <c r="C360" s="285">
        <v>142.626991</v>
      </c>
      <c r="D360" s="286">
        <v>128.92423379076934</v>
      </c>
      <c r="E360" s="285">
        <f t="shared" si="15"/>
        <v>128.92423379076934</v>
      </c>
      <c r="F360" s="295"/>
      <c r="G360" s="199" t="str">
        <f t="shared" si="16"/>
        <v/>
      </c>
      <c r="H360" s="287" t="str">
        <f t="shared" si="17"/>
        <v/>
      </c>
      <c r="I360" s="288"/>
    </row>
    <row r="361" spans="1:9">
      <c r="A361" s="283">
        <v>359</v>
      </c>
      <c r="B361" s="284">
        <v>44737</v>
      </c>
      <c r="C361" s="285">
        <v>110.838002</v>
      </c>
      <c r="D361" s="286">
        <v>128.92423379076934</v>
      </c>
      <c r="E361" s="285">
        <f t="shared" si="15"/>
        <v>110.838002</v>
      </c>
      <c r="F361" s="295"/>
      <c r="G361" s="199" t="str">
        <f t="shared" si="16"/>
        <v/>
      </c>
      <c r="H361" s="287" t="str">
        <f t="shared" si="17"/>
        <v/>
      </c>
      <c r="I361" s="288"/>
    </row>
    <row r="362" spans="1:9">
      <c r="A362" s="283">
        <v>360</v>
      </c>
      <c r="B362" s="284">
        <v>44738</v>
      </c>
      <c r="C362" s="285">
        <v>119.648966</v>
      </c>
      <c r="D362" s="286">
        <v>128.92423379076934</v>
      </c>
      <c r="E362" s="285">
        <f t="shared" si="15"/>
        <v>119.648966</v>
      </c>
      <c r="F362" s="295"/>
      <c r="G362" s="199" t="str">
        <f t="shared" si="16"/>
        <v/>
      </c>
      <c r="H362" s="287" t="str">
        <f t="shared" si="17"/>
        <v/>
      </c>
      <c r="I362" s="288"/>
    </row>
    <row r="363" spans="1:9">
      <c r="A363" s="283">
        <v>361</v>
      </c>
      <c r="B363" s="284">
        <v>44739</v>
      </c>
      <c r="C363" s="285">
        <v>188.52474100000001</v>
      </c>
      <c r="D363" s="286">
        <v>128.92423379076934</v>
      </c>
      <c r="E363" s="285">
        <f t="shared" si="15"/>
        <v>128.92423379076934</v>
      </c>
      <c r="F363" s="295"/>
      <c r="G363" s="199" t="str">
        <f t="shared" si="16"/>
        <v/>
      </c>
      <c r="H363" s="287" t="str">
        <f t="shared" si="17"/>
        <v/>
      </c>
      <c r="I363" s="288"/>
    </row>
    <row r="364" spans="1:9">
      <c r="A364" s="283">
        <v>362</v>
      </c>
      <c r="B364" s="284">
        <v>44740</v>
      </c>
      <c r="C364" s="285">
        <v>76.935383999999999</v>
      </c>
      <c r="D364" s="286">
        <v>128.92423379076934</v>
      </c>
      <c r="E364" s="285">
        <f t="shared" si="15"/>
        <v>76.935383999999999</v>
      </c>
      <c r="F364" s="295"/>
      <c r="G364" s="199" t="str">
        <f t="shared" si="16"/>
        <v/>
      </c>
      <c r="H364" s="287" t="str">
        <f t="shared" si="17"/>
        <v/>
      </c>
      <c r="I364" s="288"/>
    </row>
    <row r="365" spans="1:9">
      <c r="A365" s="283">
        <v>363</v>
      </c>
      <c r="B365" s="284">
        <v>44741</v>
      </c>
      <c r="C365" s="285">
        <v>108.10150900000001</v>
      </c>
      <c r="D365" s="286">
        <v>128.92423379076934</v>
      </c>
      <c r="E365" s="285">
        <f t="shared" si="15"/>
        <v>108.10150900000001</v>
      </c>
      <c r="F365" s="295"/>
      <c r="G365" s="199" t="str">
        <f t="shared" si="16"/>
        <v/>
      </c>
      <c r="H365" s="287" t="str">
        <f t="shared" si="17"/>
        <v/>
      </c>
      <c r="I365" s="288"/>
    </row>
    <row r="366" spans="1:9">
      <c r="A366" s="283">
        <v>364</v>
      </c>
      <c r="B366" s="284">
        <v>44742</v>
      </c>
      <c r="C366" s="285">
        <v>134.53365700000001</v>
      </c>
      <c r="D366" s="286">
        <v>128.92423379076934</v>
      </c>
      <c r="E366" s="285">
        <f t="shared" si="15"/>
        <v>128.92423379076934</v>
      </c>
      <c r="F366" s="295"/>
      <c r="G366" s="199" t="str">
        <f t="shared" si="16"/>
        <v/>
      </c>
      <c r="H366" s="287" t="str">
        <f t="shared" si="17"/>
        <v/>
      </c>
      <c r="I366" s="288"/>
    </row>
    <row r="367" spans="1:9">
      <c r="A367" s="283">
        <v>365</v>
      </c>
      <c r="B367" s="284">
        <v>44743</v>
      </c>
      <c r="C367" s="285">
        <v>112.43</v>
      </c>
      <c r="D367" s="286">
        <v>124.7653875394542</v>
      </c>
      <c r="E367" s="285">
        <f t="shared" si="15"/>
        <v>112.43</v>
      </c>
      <c r="F367" s="288"/>
      <c r="G367" s="199" t="str">
        <f t="shared" si="16"/>
        <v/>
      </c>
      <c r="H367" s="287" t="str">
        <f t="shared" si="17"/>
        <v/>
      </c>
      <c r="I367" s="288"/>
    </row>
    <row r="368" spans="1:9">
      <c r="A368" s="283">
        <v>366</v>
      </c>
      <c r="B368" s="284">
        <v>44744</v>
      </c>
      <c r="C368" s="285">
        <v>135.66653300000002</v>
      </c>
      <c r="D368" s="286">
        <v>124.7653875394542</v>
      </c>
      <c r="E368" s="285">
        <f t="shared" si="15"/>
        <v>124.7653875394542</v>
      </c>
      <c r="F368" s="288"/>
      <c r="G368" s="199" t="str">
        <f t="shared" si="16"/>
        <v/>
      </c>
      <c r="H368" s="287" t="str">
        <f t="shared" si="17"/>
        <v/>
      </c>
      <c r="I368" s="288"/>
    </row>
    <row r="369" spans="1:9">
      <c r="A369" s="283">
        <v>367</v>
      </c>
      <c r="B369" s="284">
        <v>44745</v>
      </c>
      <c r="C369" s="285">
        <v>163.001441</v>
      </c>
      <c r="D369" s="286">
        <v>124.7653875394542</v>
      </c>
      <c r="E369" s="285">
        <f t="shared" si="15"/>
        <v>124.7653875394542</v>
      </c>
      <c r="F369" s="295"/>
      <c r="G369" s="199" t="str">
        <f t="shared" si="16"/>
        <v/>
      </c>
      <c r="H369" s="287" t="str">
        <f t="shared" si="17"/>
        <v/>
      </c>
      <c r="I369" s="288"/>
    </row>
    <row r="370" spans="1:9">
      <c r="A370" s="283">
        <v>368</v>
      </c>
      <c r="B370" s="284">
        <v>44746</v>
      </c>
      <c r="C370" s="285">
        <v>148.10968700000001</v>
      </c>
      <c r="D370" s="286">
        <v>124.7653875394542</v>
      </c>
      <c r="E370" s="285">
        <f t="shared" si="15"/>
        <v>124.7653875394542</v>
      </c>
      <c r="F370" s="295"/>
      <c r="G370" s="199" t="str">
        <f t="shared" si="16"/>
        <v/>
      </c>
      <c r="H370" s="287" t="str">
        <f t="shared" si="17"/>
        <v/>
      </c>
      <c r="I370" s="288"/>
    </row>
    <row r="371" spans="1:9">
      <c r="A371" s="283">
        <v>369</v>
      </c>
      <c r="B371" s="284">
        <v>44747</v>
      </c>
      <c r="C371" s="285">
        <v>217.49890500000001</v>
      </c>
      <c r="D371" s="286">
        <v>124.7653875394542</v>
      </c>
      <c r="E371" s="285">
        <f t="shared" si="15"/>
        <v>124.7653875394542</v>
      </c>
      <c r="F371" s="295"/>
      <c r="G371" s="199" t="str">
        <f t="shared" si="16"/>
        <v/>
      </c>
      <c r="H371" s="287" t="str">
        <f t="shared" si="17"/>
        <v/>
      </c>
      <c r="I371" s="288"/>
    </row>
    <row r="372" spans="1:9">
      <c r="A372" s="283">
        <v>370</v>
      </c>
      <c r="B372" s="284">
        <v>44748</v>
      </c>
      <c r="C372" s="285">
        <v>231.592378</v>
      </c>
      <c r="D372" s="286">
        <v>124.7653875394542</v>
      </c>
      <c r="E372" s="285">
        <f t="shared" si="15"/>
        <v>124.7653875394542</v>
      </c>
      <c r="F372" s="295"/>
      <c r="G372" s="199" t="str">
        <f t="shared" si="16"/>
        <v/>
      </c>
      <c r="H372" s="287" t="str">
        <f t="shared" si="17"/>
        <v/>
      </c>
      <c r="I372" s="288"/>
    </row>
    <row r="373" spans="1:9">
      <c r="A373" s="283">
        <v>371</v>
      </c>
      <c r="B373" s="284">
        <v>44749</v>
      </c>
      <c r="C373" s="285">
        <v>261.81611500000002</v>
      </c>
      <c r="D373" s="286">
        <v>124.7653875394542</v>
      </c>
      <c r="E373" s="285">
        <f t="shared" si="15"/>
        <v>124.7653875394542</v>
      </c>
      <c r="F373" s="295"/>
      <c r="G373" s="199" t="str">
        <f t="shared" si="16"/>
        <v/>
      </c>
      <c r="H373" s="287" t="str">
        <f t="shared" si="17"/>
        <v/>
      </c>
      <c r="I373" s="288"/>
    </row>
    <row r="374" spans="1:9">
      <c r="A374" s="283">
        <v>372</v>
      </c>
      <c r="B374" s="284">
        <v>44750</v>
      </c>
      <c r="C374" s="285">
        <v>212.00078400000001</v>
      </c>
      <c r="D374" s="286">
        <v>124.7653875394542</v>
      </c>
      <c r="E374" s="285">
        <f t="shared" si="15"/>
        <v>124.7653875394542</v>
      </c>
      <c r="F374" s="295"/>
      <c r="G374" s="199" t="str">
        <f t="shared" si="16"/>
        <v/>
      </c>
      <c r="H374" s="287" t="str">
        <f t="shared" si="17"/>
        <v/>
      </c>
      <c r="I374" s="288"/>
    </row>
    <row r="375" spans="1:9">
      <c r="A375" s="283">
        <v>373</v>
      </c>
      <c r="B375" s="284">
        <v>44751</v>
      </c>
      <c r="C375" s="285">
        <v>140.37109000000001</v>
      </c>
      <c r="D375" s="286">
        <v>124.7653875394542</v>
      </c>
      <c r="E375" s="285">
        <f t="shared" si="15"/>
        <v>124.7653875394542</v>
      </c>
      <c r="F375" s="295"/>
      <c r="G375" s="199" t="str">
        <f t="shared" si="16"/>
        <v/>
      </c>
      <c r="H375" s="287" t="str">
        <f t="shared" si="17"/>
        <v/>
      </c>
      <c r="I375" s="288"/>
    </row>
    <row r="376" spans="1:9">
      <c r="A376" s="283">
        <v>374</v>
      </c>
      <c r="B376" s="284">
        <v>44752</v>
      </c>
      <c r="C376" s="285">
        <v>103.905463</v>
      </c>
      <c r="D376" s="286">
        <v>124.7653875394542</v>
      </c>
      <c r="E376" s="285">
        <f t="shared" si="15"/>
        <v>103.905463</v>
      </c>
      <c r="F376" s="295"/>
      <c r="G376" s="199" t="str">
        <f t="shared" si="16"/>
        <v/>
      </c>
      <c r="H376" s="287" t="str">
        <f t="shared" si="17"/>
        <v/>
      </c>
      <c r="I376" s="288"/>
    </row>
    <row r="377" spans="1:9">
      <c r="A377" s="283">
        <v>375</v>
      </c>
      <c r="B377" s="284">
        <v>44753</v>
      </c>
      <c r="C377" s="285">
        <v>111.910821</v>
      </c>
      <c r="D377" s="286">
        <v>124.7653875394542</v>
      </c>
      <c r="E377" s="285">
        <f t="shared" si="15"/>
        <v>111.910821</v>
      </c>
      <c r="F377" s="295"/>
      <c r="G377" s="199" t="str">
        <f t="shared" si="16"/>
        <v/>
      </c>
      <c r="H377" s="287" t="str">
        <f t="shared" si="17"/>
        <v/>
      </c>
      <c r="I377" s="288"/>
    </row>
    <row r="378" spans="1:9">
      <c r="A378" s="283">
        <v>376</v>
      </c>
      <c r="B378" s="284">
        <v>44754</v>
      </c>
      <c r="C378" s="285">
        <v>107.19437300000001</v>
      </c>
      <c r="D378" s="286">
        <v>124.7653875394542</v>
      </c>
      <c r="E378" s="285">
        <f t="shared" si="15"/>
        <v>107.19437300000001</v>
      </c>
      <c r="F378" s="295"/>
      <c r="G378" s="199" t="str">
        <f t="shared" si="16"/>
        <v/>
      </c>
      <c r="H378" s="287" t="str">
        <f t="shared" si="17"/>
        <v/>
      </c>
      <c r="I378" s="288"/>
    </row>
    <row r="379" spans="1:9">
      <c r="A379" s="283">
        <v>377</v>
      </c>
      <c r="B379" s="284">
        <v>44755</v>
      </c>
      <c r="C379" s="285">
        <v>100.41499899999999</v>
      </c>
      <c r="D379" s="286">
        <v>124.7653875394542</v>
      </c>
      <c r="E379" s="285">
        <f t="shared" si="15"/>
        <v>100.41499899999999</v>
      </c>
      <c r="F379" s="295"/>
      <c r="G379" s="199" t="str">
        <f t="shared" si="16"/>
        <v/>
      </c>
      <c r="H379" s="287" t="str">
        <f t="shared" si="17"/>
        <v/>
      </c>
      <c r="I379" s="288"/>
    </row>
    <row r="380" spans="1:9">
      <c r="A380" s="283">
        <v>378</v>
      </c>
      <c r="B380" s="284">
        <v>44756</v>
      </c>
      <c r="C380" s="285">
        <v>113.150058</v>
      </c>
      <c r="D380" s="286">
        <v>124.7653875394542</v>
      </c>
      <c r="E380" s="285">
        <f t="shared" si="15"/>
        <v>113.150058</v>
      </c>
      <c r="F380" s="295"/>
      <c r="G380" s="199" t="str">
        <f t="shared" si="16"/>
        <v/>
      </c>
      <c r="H380" s="287" t="str">
        <f t="shared" si="17"/>
        <v/>
      </c>
      <c r="I380" s="288"/>
    </row>
    <row r="381" spans="1:9">
      <c r="A381" s="283">
        <v>379</v>
      </c>
      <c r="B381" s="284">
        <v>44757</v>
      </c>
      <c r="C381" s="285">
        <v>154.17300899999998</v>
      </c>
      <c r="D381" s="286">
        <v>124.7653875394542</v>
      </c>
      <c r="E381" s="285">
        <f t="shared" si="15"/>
        <v>124.7653875394542</v>
      </c>
      <c r="F381" s="295"/>
      <c r="G381" s="199" t="str">
        <f t="shared" si="16"/>
        <v>J</v>
      </c>
      <c r="H381" s="287" t="str">
        <f t="shared" si="17"/>
        <v>124,8</v>
      </c>
      <c r="I381" s="288"/>
    </row>
    <row r="382" spans="1:9">
      <c r="A382" s="283">
        <v>380</v>
      </c>
      <c r="B382" s="284">
        <v>44758</v>
      </c>
      <c r="C382" s="285">
        <v>90.423883999999987</v>
      </c>
      <c r="D382" s="286">
        <v>124.7653875394542</v>
      </c>
      <c r="E382" s="285">
        <f t="shared" si="15"/>
        <v>90.423883999999987</v>
      </c>
      <c r="F382" s="295"/>
      <c r="G382" s="199" t="str">
        <f t="shared" si="16"/>
        <v/>
      </c>
      <c r="H382" s="287" t="str">
        <f t="shared" si="17"/>
        <v/>
      </c>
      <c r="I382" s="288"/>
    </row>
    <row r="383" spans="1:9">
      <c r="A383" s="283">
        <v>381</v>
      </c>
      <c r="B383" s="284">
        <v>44759</v>
      </c>
      <c r="C383" s="285">
        <v>108.05383700000002</v>
      </c>
      <c r="D383" s="286">
        <v>124.7653875394542</v>
      </c>
      <c r="E383" s="285">
        <f t="shared" si="15"/>
        <v>108.05383700000002</v>
      </c>
      <c r="F383" s="295"/>
      <c r="G383" s="199" t="str">
        <f t="shared" si="16"/>
        <v/>
      </c>
      <c r="H383" s="287" t="str">
        <f t="shared" si="17"/>
        <v/>
      </c>
      <c r="I383" s="288"/>
    </row>
    <row r="384" spans="1:9">
      <c r="A384" s="283">
        <v>382</v>
      </c>
      <c r="B384" s="284">
        <v>44760</v>
      </c>
      <c r="C384" s="285">
        <v>148.528716</v>
      </c>
      <c r="D384" s="286">
        <v>124.7653875394542</v>
      </c>
      <c r="E384" s="285">
        <f t="shared" si="15"/>
        <v>124.7653875394542</v>
      </c>
      <c r="F384" s="295"/>
      <c r="G384" s="199" t="str">
        <f t="shared" si="16"/>
        <v/>
      </c>
      <c r="H384" s="287" t="str">
        <f t="shared" si="17"/>
        <v/>
      </c>
      <c r="I384" s="288"/>
    </row>
    <row r="385" spans="1:9">
      <c r="A385" s="283">
        <v>383</v>
      </c>
      <c r="B385" s="284">
        <v>44761</v>
      </c>
      <c r="C385" s="285">
        <v>165.762934</v>
      </c>
      <c r="D385" s="286">
        <v>124.7653875394542</v>
      </c>
      <c r="E385" s="285">
        <f t="shared" si="15"/>
        <v>124.7653875394542</v>
      </c>
      <c r="F385" s="295"/>
      <c r="G385" s="199" t="str">
        <f t="shared" si="16"/>
        <v/>
      </c>
      <c r="H385" s="287" t="str">
        <f t="shared" si="17"/>
        <v/>
      </c>
      <c r="I385" s="288"/>
    </row>
    <row r="386" spans="1:9">
      <c r="A386" s="283">
        <v>384</v>
      </c>
      <c r="B386" s="284">
        <v>44762</v>
      </c>
      <c r="C386" s="285">
        <v>109.03798599999999</v>
      </c>
      <c r="D386" s="286">
        <v>124.7653875394542</v>
      </c>
      <c r="E386" s="285">
        <f t="shared" si="15"/>
        <v>109.03798599999999</v>
      </c>
      <c r="F386" s="295"/>
      <c r="G386" s="199" t="str">
        <f t="shared" si="16"/>
        <v/>
      </c>
      <c r="H386" s="287" t="str">
        <f t="shared" si="17"/>
        <v/>
      </c>
      <c r="I386" s="288"/>
    </row>
    <row r="387" spans="1:9">
      <c r="A387" s="283">
        <v>385</v>
      </c>
      <c r="B387" s="284">
        <v>44763</v>
      </c>
      <c r="C387" s="285">
        <v>149.36042</v>
      </c>
      <c r="D387" s="286">
        <v>124.7653875394542</v>
      </c>
      <c r="E387" s="285">
        <f t="shared" ref="E387:E394" si="18">IF(C387&gt;D387,D387,C387)</f>
        <v>124.7653875394542</v>
      </c>
      <c r="F387" s="295"/>
      <c r="G387" s="199" t="str">
        <f t="shared" ref="G387:G394" si="19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287" t="str">
        <f t="shared" ref="H387:H394" si="20">IF(DAY($B387)=15,TEXT(D387,"#,0"),"")</f>
        <v/>
      </c>
      <c r="I387" s="288"/>
    </row>
    <row r="388" spans="1:9">
      <c r="A388" s="283">
        <v>386</v>
      </c>
      <c r="B388" s="284">
        <v>44764</v>
      </c>
      <c r="C388" s="285">
        <v>161.42967899999999</v>
      </c>
      <c r="D388" s="286">
        <v>124.7653875394542</v>
      </c>
      <c r="E388" s="285">
        <f t="shared" si="18"/>
        <v>124.7653875394542</v>
      </c>
      <c r="F388" s="295"/>
      <c r="G388" s="199" t="str">
        <f t="shared" si="19"/>
        <v/>
      </c>
      <c r="H388" s="287" t="str">
        <f t="shared" si="20"/>
        <v/>
      </c>
      <c r="I388" s="288"/>
    </row>
    <row r="389" spans="1:9">
      <c r="A389" s="283">
        <v>387</v>
      </c>
      <c r="B389" s="284">
        <v>44765</v>
      </c>
      <c r="C389" s="285">
        <v>116.92483199999999</v>
      </c>
      <c r="D389" s="286">
        <v>124.7653875394542</v>
      </c>
      <c r="E389" s="285">
        <f t="shared" si="18"/>
        <v>116.92483199999999</v>
      </c>
      <c r="F389" s="295"/>
      <c r="G389" s="199" t="str">
        <f t="shared" si="19"/>
        <v/>
      </c>
      <c r="H389" s="287" t="str">
        <f t="shared" si="20"/>
        <v/>
      </c>
      <c r="I389" s="288"/>
    </row>
    <row r="390" spans="1:9">
      <c r="A390" s="283">
        <v>388</v>
      </c>
      <c r="B390" s="284">
        <v>44766</v>
      </c>
      <c r="C390" s="285">
        <v>83.719386</v>
      </c>
      <c r="D390" s="286">
        <v>124.7653875394542</v>
      </c>
      <c r="E390" s="285">
        <f t="shared" si="18"/>
        <v>83.719386</v>
      </c>
      <c r="F390" s="295"/>
      <c r="G390" s="199" t="str">
        <f t="shared" si="19"/>
        <v/>
      </c>
      <c r="H390" s="287" t="str">
        <f t="shared" si="20"/>
        <v/>
      </c>
      <c r="I390" s="288"/>
    </row>
    <row r="391" spans="1:9">
      <c r="A391" s="283">
        <v>389</v>
      </c>
      <c r="B391" s="284">
        <v>44767</v>
      </c>
      <c r="C391" s="285">
        <v>145.67791500000001</v>
      </c>
      <c r="D391" s="286">
        <v>124.7653875394542</v>
      </c>
      <c r="E391" s="285">
        <f t="shared" si="18"/>
        <v>124.7653875394542</v>
      </c>
      <c r="F391" s="295"/>
      <c r="G391" s="199" t="str">
        <f t="shared" si="19"/>
        <v/>
      </c>
      <c r="H391" s="287" t="str">
        <f t="shared" si="20"/>
        <v/>
      </c>
      <c r="I391" s="288"/>
    </row>
    <row r="392" spans="1:9">
      <c r="A392" s="283">
        <v>390</v>
      </c>
      <c r="B392" s="284">
        <v>44768</v>
      </c>
      <c r="C392" s="285">
        <v>170.21056200000001</v>
      </c>
      <c r="D392" s="286">
        <v>124.7653875394542</v>
      </c>
      <c r="E392" s="285">
        <f t="shared" si="18"/>
        <v>124.7653875394542</v>
      </c>
      <c r="F392" s="295"/>
      <c r="G392" s="199" t="str">
        <f t="shared" si="19"/>
        <v/>
      </c>
      <c r="H392" s="287" t="str">
        <f t="shared" si="20"/>
        <v/>
      </c>
      <c r="I392" s="288"/>
    </row>
    <row r="393" spans="1:9">
      <c r="A393" s="283">
        <v>391</v>
      </c>
      <c r="B393" s="284">
        <v>44769</v>
      </c>
      <c r="C393" s="285">
        <v>124.36342500000001</v>
      </c>
      <c r="D393" s="286">
        <v>124.7653875394542</v>
      </c>
      <c r="E393" s="285">
        <f t="shared" si="18"/>
        <v>124.36342500000001</v>
      </c>
      <c r="F393" s="295"/>
      <c r="G393" s="199" t="str">
        <f t="shared" si="19"/>
        <v/>
      </c>
      <c r="H393" s="287" t="str">
        <f t="shared" si="20"/>
        <v/>
      </c>
      <c r="I393" s="288"/>
    </row>
    <row r="394" spans="1:9">
      <c r="A394" s="283">
        <v>392</v>
      </c>
      <c r="B394" s="284">
        <v>44770</v>
      </c>
      <c r="C394" s="285">
        <v>77.282630000000012</v>
      </c>
      <c r="D394" s="286">
        <v>124.7653875394542</v>
      </c>
      <c r="E394" s="285">
        <f t="shared" si="18"/>
        <v>77.282630000000012</v>
      </c>
      <c r="F394" s="295"/>
      <c r="G394" s="199" t="str">
        <f t="shared" si="19"/>
        <v/>
      </c>
      <c r="H394" s="287" t="str">
        <f t="shared" si="20"/>
        <v/>
      </c>
      <c r="I394" s="288"/>
    </row>
    <row r="395" spans="1:9">
      <c r="A395" s="283">
        <v>393</v>
      </c>
      <c r="B395" s="284">
        <v>44771</v>
      </c>
      <c r="C395" s="285">
        <v>113.66052099999999</v>
      </c>
      <c r="D395" s="286">
        <v>124.7653875394542</v>
      </c>
      <c r="E395" s="285">
        <f t="shared" ref="E395:E396" si="21">IF(C395&gt;D395,D395,C395)</f>
        <v>113.66052099999999</v>
      </c>
      <c r="F395" s="295"/>
      <c r="G395" s="199"/>
      <c r="H395" s="287"/>
      <c r="I395" s="288"/>
    </row>
    <row r="396" spans="1:9">
      <c r="A396" s="283">
        <v>394</v>
      </c>
      <c r="B396" s="284">
        <v>44772</v>
      </c>
      <c r="C396" s="285">
        <v>190.11286599999997</v>
      </c>
      <c r="D396" s="286">
        <v>124.7653875394542</v>
      </c>
      <c r="E396" s="285">
        <f t="shared" si="21"/>
        <v>124.7653875394542</v>
      </c>
      <c r="F396" s="295"/>
      <c r="G396" s="199"/>
      <c r="H396" s="287"/>
      <c r="I396" s="288"/>
    </row>
    <row r="397" spans="1:9">
      <c r="B397" s="284"/>
      <c r="C397" s="285"/>
      <c r="D397" s="286"/>
      <c r="E397" s="285"/>
      <c r="F397" s="295"/>
      <c r="G397" s="199"/>
      <c r="H397" s="287"/>
      <c r="I397" s="288"/>
    </row>
    <row r="398" spans="1:9">
      <c r="B398" s="284"/>
      <c r="C398" s="285"/>
      <c r="D398" s="286"/>
      <c r="E398" s="285"/>
      <c r="F398" s="295"/>
      <c r="G398" s="199"/>
      <c r="H398" s="287"/>
      <c r="I398" s="288"/>
    </row>
    <row r="399" spans="1:9">
      <c r="B399" s="284"/>
      <c r="C399" s="285"/>
      <c r="D399" s="286"/>
      <c r="E399" s="285"/>
      <c r="F399" s="295"/>
      <c r="G399" s="199"/>
      <c r="H399" s="287"/>
      <c r="I399" s="288"/>
    </row>
    <row r="400" spans="1:9">
      <c r="B400" s="284"/>
      <c r="C400" s="285"/>
      <c r="D400" s="286"/>
      <c r="E400" s="285"/>
      <c r="F400" s="295"/>
      <c r="G400" s="199"/>
      <c r="H400" s="287"/>
      <c r="I400" s="288"/>
    </row>
    <row r="401" spans="2:9">
      <c r="B401" s="284"/>
      <c r="C401" s="285"/>
      <c r="D401" s="286"/>
      <c r="E401" s="285"/>
      <c r="F401" s="295"/>
      <c r="G401" s="199"/>
      <c r="H401" s="287"/>
      <c r="I401" s="288"/>
    </row>
    <row r="402" spans="2:9">
      <c r="B402" s="284"/>
      <c r="C402" s="285"/>
      <c r="D402" s="286"/>
      <c r="E402" s="285"/>
      <c r="F402" s="295"/>
      <c r="G402" s="199"/>
      <c r="H402" s="287"/>
      <c r="I402" s="288"/>
    </row>
    <row r="403" spans="2:9">
      <c r="B403" s="284"/>
      <c r="C403" s="285"/>
      <c r="D403" s="286"/>
      <c r="E403" s="285"/>
      <c r="F403" s="295"/>
      <c r="G403" s="199"/>
      <c r="H403" s="287"/>
      <c r="I403" s="288"/>
    </row>
    <row r="404" spans="2:9">
      <c r="B404" s="284"/>
      <c r="C404" s="285"/>
      <c r="D404" s="286"/>
      <c r="E404" s="285"/>
      <c r="F404" s="295"/>
      <c r="G404" s="199"/>
      <c r="H404" s="287"/>
      <c r="I404" s="288"/>
    </row>
    <row r="405" spans="2:9">
      <c r="B405" s="284"/>
      <c r="C405" s="285"/>
      <c r="D405" s="286"/>
      <c r="E405" s="285"/>
      <c r="F405" s="295"/>
      <c r="G405" s="199"/>
      <c r="H405" s="287"/>
      <c r="I405" s="288"/>
    </row>
    <row r="406" spans="2:9">
      <c r="B406" s="284"/>
      <c r="C406" s="285"/>
      <c r="D406" s="286"/>
      <c r="E406" s="285"/>
      <c r="F406" s="295"/>
      <c r="G406" s="199"/>
      <c r="H406" s="287"/>
      <c r="I406" s="288"/>
    </row>
    <row r="407" spans="2:9">
      <c r="B407" s="284"/>
      <c r="C407" s="285"/>
      <c r="D407" s="286"/>
      <c r="E407" s="285"/>
      <c r="F407" s="295"/>
      <c r="G407" s="199"/>
      <c r="H407" s="287"/>
      <c r="I407" s="288"/>
    </row>
    <row r="408" spans="2:9">
      <c r="B408" s="284"/>
      <c r="C408" s="285"/>
      <c r="D408" s="286"/>
      <c r="E408" s="285"/>
      <c r="F408" s="295"/>
      <c r="G408" s="199"/>
      <c r="H408" s="287"/>
      <c r="I408" s="288"/>
    </row>
    <row r="409" spans="2:9">
      <c r="B409" s="284"/>
      <c r="C409" s="285"/>
      <c r="D409" s="286"/>
      <c r="E409" s="285"/>
      <c r="F409" s="295"/>
      <c r="G409" s="199"/>
      <c r="H409" s="287"/>
      <c r="I409" s="288"/>
    </row>
    <row r="410" spans="2:9">
      <c r="B410" s="284"/>
      <c r="C410" s="285"/>
      <c r="D410" s="286"/>
      <c r="E410" s="285"/>
      <c r="F410" s="295"/>
      <c r="G410" s="199"/>
      <c r="H410" s="287"/>
      <c r="I410" s="288"/>
    </row>
    <row r="411" spans="2:9">
      <c r="B411" s="284"/>
      <c r="C411" s="285"/>
      <c r="D411" s="286"/>
      <c r="E411" s="285"/>
      <c r="F411" s="295"/>
      <c r="G411" s="199"/>
      <c r="H411" s="287"/>
      <c r="I411" s="288"/>
    </row>
    <row r="412" spans="2:9">
      <c r="B412" s="284"/>
      <c r="C412" s="285"/>
      <c r="D412" s="286"/>
      <c r="E412" s="285"/>
      <c r="F412" s="295"/>
      <c r="G412" s="199"/>
      <c r="H412" s="287"/>
      <c r="I412" s="288"/>
    </row>
    <row r="413" spans="2:9">
      <c r="B413" s="284"/>
      <c r="C413" s="285"/>
      <c r="D413" s="286"/>
      <c r="E413" s="285"/>
      <c r="F413" s="295"/>
      <c r="G413" s="199"/>
      <c r="H413" s="287"/>
      <c r="I413" s="288"/>
    </row>
    <row r="414" spans="2:9">
      <c r="B414" s="284"/>
      <c r="C414" s="285"/>
      <c r="D414" s="286"/>
      <c r="E414" s="285"/>
      <c r="F414" s="295"/>
      <c r="G414" s="199"/>
      <c r="H414" s="287"/>
      <c r="I414" s="288"/>
    </row>
    <row r="415" spans="2:9">
      <c r="B415" s="284"/>
      <c r="C415" s="285"/>
      <c r="D415" s="286"/>
      <c r="E415" s="285"/>
      <c r="F415" s="295"/>
      <c r="G415" s="199"/>
      <c r="H415" s="287"/>
      <c r="I415" s="288"/>
    </row>
    <row r="416" spans="2:9">
      <c r="B416" s="284"/>
      <c r="C416" s="285"/>
      <c r="D416" s="286"/>
      <c r="E416" s="285"/>
      <c r="F416" s="295"/>
      <c r="G416" s="199"/>
      <c r="H416" s="287"/>
      <c r="I416" s="288"/>
    </row>
    <row r="417" spans="2:9">
      <c r="B417" s="284"/>
      <c r="C417" s="285"/>
      <c r="D417" s="286"/>
      <c r="E417" s="285"/>
      <c r="F417" s="295"/>
      <c r="G417" s="199"/>
      <c r="H417" s="287"/>
      <c r="I417" s="288"/>
    </row>
    <row r="418" spans="2:9">
      <c r="B418" s="284"/>
      <c r="C418" s="285"/>
      <c r="D418" s="286"/>
      <c r="E418" s="285"/>
      <c r="F418" s="295"/>
      <c r="G418" s="199"/>
      <c r="H418" s="287"/>
      <c r="I418" s="288"/>
    </row>
    <row r="419" spans="2:9">
      <c r="B419" s="284"/>
      <c r="C419" s="285"/>
      <c r="D419" s="286"/>
      <c r="E419" s="285"/>
      <c r="F419" s="295"/>
      <c r="G419" s="199"/>
      <c r="H419" s="287"/>
      <c r="I419" s="288"/>
    </row>
    <row r="420" spans="2:9">
      <c r="B420" s="284"/>
      <c r="C420" s="285"/>
      <c r="D420" s="286"/>
      <c r="E420" s="285"/>
      <c r="F420" s="295"/>
      <c r="G420" s="199"/>
      <c r="H420" s="287"/>
      <c r="I420" s="288"/>
    </row>
    <row r="421" spans="2:9">
      <c r="B421" s="284"/>
      <c r="C421" s="285"/>
      <c r="D421" s="286"/>
      <c r="E421" s="285"/>
      <c r="F421" s="295"/>
      <c r="G421" s="199"/>
      <c r="H421" s="287"/>
      <c r="I421" s="288"/>
    </row>
    <row r="422" spans="2:9">
      <c r="B422" s="284"/>
      <c r="C422" s="285"/>
      <c r="D422" s="286"/>
      <c r="E422" s="285"/>
      <c r="F422" s="295"/>
      <c r="G422" s="199"/>
      <c r="H422" s="287"/>
      <c r="I422" s="288"/>
    </row>
    <row r="423" spans="2:9">
      <c r="B423" s="284"/>
      <c r="C423" s="285"/>
      <c r="D423" s="286"/>
      <c r="E423" s="285"/>
      <c r="F423" s="295"/>
      <c r="G423" s="199"/>
      <c r="H423" s="287"/>
      <c r="I423" s="288"/>
    </row>
    <row r="424" spans="2:9">
      <c r="B424" s="284"/>
      <c r="C424" s="285"/>
      <c r="D424" s="286"/>
      <c r="E424" s="285"/>
      <c r="F424" s="295"/>
      <c r="G424" s="199"/>
      <c r="H424" s="287"/>
      <c r="I424" s="288"/>
    </row>
    <row r="425" spans="2:9">
      <c r="B425" s="284"/>
      <c r="C425" s="285"/>
      <c r="D425" s="286"/>
      <c r="E425" s="285"/>
      <c r="F425" s="295"/>
      <c r="G425" s="199"/>
      <c r="H425" s="287"/>
      <c r="I425" s="288"/>
    </row>
    <row r="426" spans="2:9">
      <c r="B426" s="284"/>
      <c r="C426" s="285"/>
      <c r="D426" s="286"/>
      <c r="E426" s="285"/>
      <c r="F426" s="295"/>
      <c r="G426" s="199"/>
      <c r="H426" s="287"/>
      <c r="I426" s="288"/>
    </row>
    <row r="427" spans="2:9">
      <c r="B427" s="284"/>
      <c r="C427" s="285"/>
      <c r="D427" s="286"/>
      <c r="E427" s="285"/>
      <c r="F427" s="295"/>
      <c r="G427" s="199"/>
      <c r="H427" s="287"/>
      <c r="I427" s="288"/>
    </row>
    <row r="428" spans="2:9">
      <c r="B428" s="284"/>
      <c r="C428" s="285"/>
      <c r="D428" s="286"/>
      <c r="E428" s="285"/>
      <c r="F428" s="295"/>
      <c r="G428" s="199"/>
      <c r="H428" s="287"/>
      <c r="I428" s="288"/>
    </row>
    <row r="429" spans="2:9">
      <c r="B429" s="284"/>
      <c r="C429" s="285"/>
      <c r="D429" s="286"/>
      <c r="E429" s="285"/>
      <c r="F429" s="295"/>
      <c r="G429" s="199"/>
      <c r="H429" s="287"/>
      <c r="I429" s="288"/>
    </row>
    <row r="430" spans="2:9">
      <c r="B430" s="284"/>
      <c r="C430" s="285"/>
      <c r="D430" s="286"/>
      <c r="E430" s="285"/>
      <c r="F430" s="295"/>
      <c r="G430" s="199"/>
      <c r="H430" s="287"/>
      <c r="I430" s="288"/>
    </row>
    <row r="431" spans="2:9">
      <c r="B431" s="284"/>
      <c r="C431" s="285"/>
      <c r="D431" s="286"/>
      <c r="E431" s="285"/>
      <c r="F431" s="295"/>
      <c r="G431" s="199"/>
      <c r="H431" s="287"/>
      <c r="I431" s="288"/>
    </row>
    <row r="432" spans="2:9">
      <c r="B432" s="284"/>
      <c r="C432" s="285"/>
      <c r="D432" s="286"/>
      <c r="E432" s="285"/>
      <c r="F432" s="295"/>
      <c r="G432" s="199"/>
      <c r="H432" s="287"/>
      <c r="I432" s="288"/>
    </row>
    <row r="433" spans="2:9">
      <c r="B433" s="284"/>
      <c r="C433" s="285"/>
      <c r="D433" s="286"/>
      <c r="E433" s="285"/>
      <c r="F433" s="295"/>
      <c r="G433" s="199"/>
      <c r="H433" s="287"/>
      <c r="I433" s="288"/>
    </row>
    <row r="434" spans="2:9">
      <c r="B434" s="284"/>
      <c r="C434" s="285"/>
      <c r="D434" s="286"/>
      <c r="E434" s="285"/>
      <c r="F434" s="295"/>
      <c r="G434" s="199"/>
      <c r="H434" s="287"/>
      <c r="I434" s="288"/>
    </row>
    <row r="435" spans="2:9">
      <c r="B435" s="284"/>
      <c r="C435" s="285"/>
      <c r="D435" s="286"/>
      <c r="E435" s="285"/>
      <c r="F435" s="295"/>
      <c r="G435" s="199"/>
      <c r="H435" s="287"/>
      <c r="I435" s="288"/>
    </row>
    <row r="436" spans="2:9">
      <c r="B436" s="284"/>
      <c r="C436" s="285"/>
      <c r="D436" s="286"/>
      <c r="E436" s="285"/>
      <c r="F436" s="295"/>
      <c r="G436" s="199"/>
      <c r="H436" s="287"/>
      <c r="I436" s="288"/>
    </row>
    <row r="437" spans="2:9">
      <c r="B437" s="284"/>
      <c r="C437" s="285"/>
      <c r="D437" s="286"/>
      <c r="E437" s="285"/>
      <c r="F437" s="295"/>
      <c r="G437" s="199"/>
      <c r="H437" s="287"/>
      <c r="I437" s="288"/>
    </row>
    <row r="438" spans="2:9">
      <c r="B438" s="284"/>
      <c r="C438" s="285"/>
      <c r="D438" s="286"/>
      <c r="E438" s="285"/>
      <c r="F438" s="295"/>
      <c r="G438" s="199"/>
      <c r="H438" s="287"/>
      <c r="I438" s="288"/>
    </row>
    <row r="439" spans="2:9">
      <c r="B439" s="284"/>
      <c r="C439" s="285"/>
      <c r="D439" s="286"/>
      <c r="E439" s="285"/>
      <c r="F439" s="295"/>
      <c r="G439" s="199"/>
      <c r="H439" s="287"/>
      <c r="I439" s="288"/>
    </row>
    <row r="440" spans="2:9">
      <c r="B440" s="284"/>
      <c r="C440" s="285"/>
      <c r="D440" s="286"/>
      <c r="E440" s="285"/>
      <c r="F440" s="295"/>
      <c r="G440" s="199"/>
      <c r="H440" s="287"/>
      <c r="I440" s="288"/>
    </row>
    <row r="441" spans="2:9">
      <c r="B441" s="284"/>
      <c r="C441" s="285"/>
      <c r="D441" s="286"/>
      <c r="E441" s="285"/>
      <c r="F441" s="295"/>
      <c r="G441" s="199"/>
      <c r="H441" s="287"/>
      <c r="I441" s="288"/>
    </row>
    <row r="442" spans="2:9">
      <c r="B442" s="284"/>
      <c r="C442" s="285"/>
      <c r="D442" s="286"/>
      <c r="E442" s="285"/>
      <c r="F442" s="295"/>
      <c r="G442" s="199"/>
      <c r="H442" s="287"/>
      <c r="I442" s="288"/>
    </row>
    <row r="443" spans="2:9">
      <c r="B443" s="284"/>
      <c r="C443" s="285"/>
      <c r="D443" s="286"/>
      <c r="E443" s="285"/>
      <c r="F443" s="295"/>
      <c r="G443" s="199"/>
      <c r="H443" s="287"/>
      <c r="I443" s="288"/>
    </row>
    <row r="444" spans="2:9">
      <c r="B444" s="284"/>
      <c r="C444" s="285"/>
      <c r="D444" s="286"/>
      <c r="E444" s="285"/>
      <c r="F444" s="295"/>
      <c r="G444" s="199"/>
      <c r="H444" s="287"/>
      <c r="I444" s="288"/>
    </row>
    <row r="445" spans="2:9">
      <c r="B445" s="284"/>
      <c r="C445" s="285"/>
      <c r="D445" s="286"/>
      <c r="E445" s="285"/>
      <c r="F445" s="295"/>
      <c r="G445" s="199"/>
      <c r="H445" s="287"/>
      <c r="I445" s="288"/>
    </row>
    <row r="446" spans="2:9">
      <c r="B446" s="284"/>
      <c r="C446" s="285"/>
      <c r="D446" s="286"/>
      <c r="E446" s="285"/>
      <c r="F446" s="295"/>
      <c r="G446" s="199"/>
      <c r="H446" s="287"/>
      <c r="I446" s="288"/>
    </row>
    <row r="447" spans="2:9">
      <c r="B447" s="284"/>
      <c r="C447" s="285"/>
      <c r="D447" s="286"/>
      <c r="E447" s="285"/>
      <c r="F447" s="295"/>
      <c r="G447" s="199"/>
      <c r="H447" s="287"/>
      <c r="I447" s="288"/>
    </row>
    <row r="448" spans="2:9">
      <c r="B448" s="284"/>
      <c r="C448" s="285"/>
      <c r="D448" s="286"/>
      <c r="E448" s="285"/>
      <c r="F448" s="295"/>
      <c r="G448" s="199"/>
      <c r="H448" s="287"/>
      <c r="I448" s="288"/>
    </row>
    <row r="449" spans="2:9">
      <c r="B449" s="284"/>
      <c r="C449" s="285"/>
      <c r="D449" s="286"/>
      <c r="E449" s="285"/>
      <c r="F449" s="295"/>
      <c r="G449" s="199"/>
      <c r="H449" s="287"/>
      <c r="I449" s="288"/>
    </row>
    <row r="450" spans="2:9">
      <c r="B450" s="284"/>
      <c r="C450" s="285"/>
      <c r="D450" s="286"/>
      <c r="E450" s="285"/>
      <c r="F450" s="295"/>
      <c r="G450" s="199"/>
      <c r="H450" s="287"/>
      <c r="I450" s="288"/>
    </row>
    <row r="451" spans="2:9">
      <c r="B451" s="284"/>
      <c r="C451" s="285"/>
      <c r="D451" s="286"/>
      <c r="E451" s="285"/>
      <c r="F451" s="295"/>
      <c r="G451" s="199"/>
      <c r="H451" s="287"/>
      <c r="I451" s="288"/>
    </row>
    <row r="452" spans="2:9">
      <c r="B452" s="284"/>
      <c r="C452" s="285"/>
      <c r="D452" s="286"/>
      <c r="E452" s="285"/>
      <c r="F452" s="295"/>
      <c r="G452" s="199"/>
      <c r="H452" s="287"/>
      <c r="I452" s="288"/>
    </row>
    <row r="453" spans="2:9">
      <c r="B453" s="284"/>
      <c r="C453" s="285"/>
      <c r="D453" s="286"/>
      <c r="E453" s="285"/>
      <c r="F453" s="295"/>
      <c r="G453" s="199"/>
      <c r="H453" s="287"/>
      <c r="I453" s="288"/>
    </row>
    <row r="454" spans="2:9">
      <c r="B454" s="284"/>
      <c r="C454" s="285"/>
      <c r="D454" s="286"/>
      <c r="E454" s="285"/>
      <c r="F454" s="295"/>
      <c r="G454" s="199"/>
      <c r="H454" s="287"/>
      <c r="I454" s="288"/>
    </row>
    <row r="455" spans="2:9">
      <c r="B455" s="284"/>
      <c r="C455" s="285"/>
      <c r="D455" s="286"/>
      <c r="E455" s="285"/>
      <c r="F455" s="295"/>
      <c r="G455" s="199"/>
      <c r="H455" s="287"/>
      <c r="I455" s="288"/>
    </row>
    <row r="456" spans="2:9">
      <c r="B456" s="284"/>
      <c r="C456" s="285"/>
      <c r="D456" s="286"/>
      <c r="E456" s="285"/>
      <c r="F456" s="295"/>
      <c r="G456" s="199"/>
      <c r="H456" s="287"/>
      <c r="I456" s="288"/>
    </row>
    <row r="457" spans="2:9">
      <c r="B457" s="284"/>
      <c r="C457" s="285"/>
      <c r="D457" s="286"/>
      <c r="E457" s="285"/>
      <c r="F457" s="295"/>
      <c r="G457" s="199"/>
      <c r="H457" s="287"/>
      <c r="I457" s="288"/>
    </row>
    <row r="458" spans="2:9">
      <c r="B458" s="284"/>
      <c r="C458" s="285"/>
      <c r="D458" s="286"/>
      <c r="E458" s="285"/>
      <c r="F458" s="295"/>
      <c r="G458" s="199"/>
      <c r="H458" s="287"/>
      <c r="I458" s="288"/>
    </row>
    <row r="459" spans="2:9">
      <c r="B459" s="284"/>
      <c r="C459" s="285"/>
      <c r="D459" s="286"/>
      <c r="E459" s="285"/>
      <c r="F459" s="295"/>
      <c r="G459" s="199"/>
      <c r="H459" s="287"/>
      <c r="I459" s="288"/>
    </row>
    <row r="460" spans="2:9">
      <c r="B460" s="284"/>
      <c r="C460" s="285"/>
      <c r="D460" s="286"/>
      <c r="E460" s="285"/>
      <c r="F460" s="295"/>
      <c r="G460" s="199"/>
      <c r="H460" s="287"/>
      <c r="I460" s="288"/>
    </row>
    <row r="461" spans="2:9">
      <c r="B461" s="284"/>
      <c r="C461" s="285"/>
      <c r="D461" s="286"/>
      <c r="E461" s="285"/>
      <c r="F461" s="295"/>
      <c r="G461" s="199"/>
      <c r="H461" s="287"/>
      <c r="I461" s="288"/>
    </row>
    <row r="462" spans="2:9">
      <c r="B462" s="284"/>
      <c r="C462" s="285"/>
      <c r="D462" s="286"/>
      <c r="E462" s="285"/>
      <c r="F462" s="295"/>
      <c r="G462" s="199"/>
      <c r="H462" s="287"/>
      <c r="I462" s="288"/>
    </row>
    <row r="463" spans="2:9">
      <c r="B463" s="284"/>
      <c r="C463" s="285"/>
      <c r="D463" s="286"/>
      <c r="E463" s="285"/>
      <c r="F463" s="295"/>
      <c r="G463" s="199"/>
      <c r="H463" s="287"/>
      <c r="I463" s="288"/>
    </row>
    <row r="464" spans="2:9">
      <c r="B464" s="284"/>
      <c r="C464" s="285"/>
      <c r="D464" s="286"/>
      <c r="E464" s="285"/>
      <c r="F464" s="295"/>
      <c r="G464" s="199"/>
      <c r="H464" s="287"/>
      <c r="I464" s="288"/>
    </row>
    <row r="465" spans="2:9">
      <c r="B465" s="284"/>
      <c r="C465" s="285"/>
      <c r="D465" s="286"/>
      <c r="E465" s="285"/>
      <c r="F465" s="295"/>
      <c r="G465" s="199"/>
      <c r="H465" s="287"/>
      <c r="I465" s="288"/>
    </row>
    <row r="466" spans="2:9">
      <c r="B466" s="284"/>
      <c r="C466" s="285"/>
      <c r="D466" s="286"/>
      <c r="E466" s="285"/>
      <c r="F466" s="295"/>
      <c r="G466" s="199"/>
      <c r="H466" s="287"/>
      <c r="I466" s="288"/>
    </row>
    <row r="467" spans="2:9">
      <c r="B467" s="284"/>
      <c r="C467" s="285"/>
      <c r="D467" s="286"/>
      <c r="E467" s="285"/>
      <c r="F467" s="295"/>
      <c r="G467" s="199"/>
      <c r="H467" s="287"/>
      <c r="I467" s="288"/>
    </row>
    <row r="468" spans="2:9">
      <c r="B468" s="284"/>
      <c r="C468" s="285"/>
      <c r="D468" s="286"/>
      <c r="E468" s="285"/>
      <c r="F468" s="295"/>
      <c r="G468" s="199"/>
      <c r="H468" s="287"/>
      <c r="I468" s="288"/>
    </row>
    <row r="469" spans="2:9">
      <c r="B469" s="284"/>
      <c r="C469" s="285"/>
      <c r="D469" s="286"/>
      <c r="E469" s="285"/>
      <c r="F469" s="295"/>
      <c r="G469" s="199"/>
      <c r="H469" s="287"/>
      <c r="I469" s="288"/>
    </row>
    <row r="470" spans="2:9">
      <c r="B470" s="284"/>
      <c r="C470" s="285"/>
      <c r="D470" s="286"/>
      <c r="E470" s="285"/>
      <c r="F470" s="295"/>
      <c r="G470" s="199"/>
      <c r="H470" s="287"/>
      <c r="I470" s="288"/>
    </row>
    <row r="471" spans="2:9">
      <c r="B471" s="284"/>
      <c r="C471" s="285"/>
      <c r="D471" s="286"/>
      <c r="E471" s="285"/>
      <c r="F471" s="295"/>
      <c r="G471" s="199"/>
      <c r="H471" s="287"/>
      <c r="I471" s="288"/>
    </row>
    <row r="472" spans="2:9">
      <c r="B472" s="284"/>
      <c r="C472" s="285"/>
      <c r="D472" s="286"/>
      <c r="E472" s="285"/>
      <c r="F472" s="295"/>
      <c r="G472" s="199"/>
      <c r="H472" s="287"/>
      <c r="I472" s="288"/>
    </row>
    <row r="473" spans="2:9">
      <c r="B473" s="284"/>
      <c r="C473" s="285"/>
      <c r="D473" s="286"/>
      <c r="E473" s="285"/>
      <c r="F473" s="295"/>
      <c r="G473" s="199"/>
      <c r="H473" s="287"/>
      <c r="I473" s="288"/>
    </row>
    <row r="474" spans="2:9">
      <c r="B474" s="284"/>
      <c r="C474" s="285"/>
      <c r="D474" s="286"/>
      <c r="E474" s="285"/>
      <c r="F474" s="295"/>
      <c r="G474" s="199"/>
      <c r="H474" s="287"/>
      <c r="I474" s="288"/>
    </row>
    <row r="475" spans="2:9">
      <c r="B475" s="284"/>
      <c r="C475" s="285"/>
      <c r="D475" s="286"/>
      <c r="E475" s="285"/>
      <c r="F475" s="295"/>
      <c r="G475" s="199"/>
      <c r="H475" s="287"/>
      <c r="I475" s="288"/>
    </row>
    <row r="476" spans="2:9">
      <c r="B476" s="284"/>
      <c r="C476" s="285"/>
      <c r="D476" s="286"/>
      <c r="E476" s="285"/>
      <c r="F476" s="295"/>
      <c r="G476" s="199"/>
      <c r="H476" s="287"/>
      <c r="I476" s="288"/>
    </row>
    <row r="477" spans="2:9">
      <c r="B477" s="284"/>
      <c r="C477" s="285"/>
      <c r="D477" s="286"/>
      <c r="E477" s="285"/>
      <c r="F477" s="295"/>
      <c r="G477" s="199"/>
      <c r="H477" s="287"/>
      <c r="I477" s="288"/>
    </row>
    <row r="478" spans="2:9">
      <c r="B478" s="284"/>
      <c r="C478" s="285"/>
      <c r="D478" s="286"/>
      <c r="E478" s="285"/>
      <c r="F478" s="295"/>
      <c r="G478" s="199"/>
      <c r="H478" s="287"/>
      <c r="I478" s="288"/>
    </row>
    <row r="479" spans="2:9">
      <c r="B479" s="284"/>
      <c r="C479" s="285"/>
      <c r="D479" s="286"/>
      <c r="E479" s="285"/>
      <c r="F479" s="295"/>
      <c r="G479" s="199"/>
      <c r="H479" s="287"/>
      <c r="I479" s="288"/>
    </row>
    <row r="480" spans="2:9">
      <c r="B480" s="284"/>
      <c r="C480" s="285"/>
      <c r="D480" s="286"/>
      <c r="E480" s="285"/>
      <c r="F480" s="295"/>
      <c r="G480" s="199"/>
      <c r="H480" s="287"/>
      <c r="I480" s="288"/>
    </row>
    <row r="481" spans="2:9">
      <c r="B481" s="284"/>
      <c r="C481" s="285"/>
      <c r="D481" s="286"/>
      <c r="E481" s="285"/>
      <c r="F481" s="295"/>
      <c r="G481" s="199"/>
      <c r="H481" s="287"/>
      <c r="I481" s="288"/>
    </row>
    <row r="482" spans="2:9">
      <c r="B482" s="284"/>
      <c r="C482" s="285"/>
      <c r="D482" s="286"/>
      <c r="E482" s="285"/>
      <c r="F482" s="295"/>
      <c r="G482" s="199"/>
      <c r="H482" s="287"/>
      <c r="I482" s="288"/>
    </row>
    <row r="483" spans="2:9">
      <c r="B483" s="284"/>
      <c r="C483" s="285"/>
      <c r="D483" s="286"/>
      <c r="E483" s="285"/>
      <c r="F483" s="295"/>
      <c r="G483" s="199"/>
      <c r="H483" s="287"/>
      <c r="I483" s="288"/>
    </row>
    <row r="484" spans="2:9">
      <c r="B484" s="284"/>
      <c r="C484" s="285"/>
      <c r="D484" s="286"/>
      <c r="E484" s="285"/>
      <c r="F484" s="295"/>
      <c r="G484" s="199"/>
      <c r="H484" s="287"/>
      <c r="I484" s="288"/>
    </row>
    <row r="485" spans="2:9">
      <c r="B485" s="284"/>
      <c r="C485" s="285"/>
      <c r="D485" s="286"/>
      <c r="E485" s="285"/>
      <c r="F485" s="295"/>
      <c r="G485" s="199"/>
      <c r="H485" s="287"/>
      <c r="I485" s="288"/>
    </row>
    <row r="486" spans="2:9">
      <c r="B486" s="284"/>
      <c r="C486" s="285"/>
      <c r="D486" s="286"/>
      <c r="E486" s="285"/>
      <c r="F486" s="295"/>
      <c r="G486" s="199"/>
      <c r="H486" s="287"/>
      <c r="I486" s="288"/>
    </row>
    <row r="487" spans="2:9">
      <c r="B487" s="284"/>
      <c r="C487" s="285"/>
      <c r="D487" s="286"/>
      <c r="E487" s="285"/>
      <c r="F487" s="295"/>
      <c r="G487" s="199"/>
      <c r="H487" s="287"/>
      <c r="I487" s="288"/>
    </row>
    <row r="488" spans="2:9">
      <c r="B488" s="284"/>
      <c r="C488" s="285"/>
      <c r="D488" s="286"/>
      <c r="E488" s="285"/>
      <c r="F488" s="295"/>
      <c r="G488" s="199"/>
      <c r="H488" s="287"/>
      <c r="I488" s="28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8A6FF07076DA458DD70211006EEBB4" ma:contentTypeVersion="11" ma:contentTypeDescription="Crear nuevo documento." ma:contentTypeScope="" ma:versionID="0513c025a64e9d2787fc2c146f04ed30">
  <xsd:schema xmlns:xsd="http://www.w3.org/2001/XMLSchema" xmlns:xs="http://www.w3.org/2001/XMLSchema" xmlns:p="http://schemas.microsoft.com/office/2006/metadata/properties" xmlns:ns3="fdc812d0-7ad8-4a82-9195-c1c1a8745337" xmlns:ns4="8a808b56-9519-4f3c-a07e-328060d9d6d3" targetNamespace="http://schemas.microsoft.com/office/2006/metadata/properties" ma:root="true" ma:fieldsID="fb87618cb5fba00c03cf8ff8d3915a45" ns3:_="" ns4:_="">
    <xsd:import namespace="fdc812d0-7ad8-4a82-9195-c1c1a8745337"/>
    <xsd:import namespace="8a808b56-9519-4f3c-a07e-328060d9d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2d0-7ad8-4a82-9195-c1c1a874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8b56-9519-4f3c-a07e-328060d9d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93C2BE-1329-4C25-BD8A-3B9DE7007D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2918D3-A825-4D28-8B00-5D0085677D3F}">
  <ds:schemaRefs>
    <ds:schemaRef ds:uri="http://purl.org/dc/dcmitype/"/>
    <ds:schemaRef ds:uri="8a808b56-9519-4f3c-a07e-328060d9d6d3"/>
    <ds:schemaRef ds:uri="http://schemas.openxmlformats.org/package/2006/metadata/core-properties"/>
    <ds:schemaRef ds:uri="http://purl.org/dc/elements/1.1/"/>
    <ds:schemaRef ds:uri="http://purl.org/dc/terms/"/>
    <ds:schemaRef ds:uri="http://www.w3.org/XML/1998/namespace"/>
    <ds:schemaRef ds:uri="fdc812d0-7ad8-4a82-9195-c1c1a8745337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1CDC8-3AB5-4340-936C-C01F0D779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2d0-7ad8-4a82-9195-c1c1a8745337"/>
    <ds:schemaRef ds:uri="8a808b56-9519-4f3c-a07e-328060d9d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</vt:i4>
      </vt:variant>
    </vt:vector>
  </HeadingPairs>
  <TitlesOfParts>
    <vt:vector size="21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P9</vt:lpstr>
      <vt:lpstr>P8</vt:lpstr>
      <vt:lpstr>P10</vt:lpstr>
      <vt:lpstr>P11</vt:lpstr>
      <vt:lpstr>P12</vt:lpstr>
      <vt:lpstr>P13</vt:lpstr>
      <vt:lpstr>Data 1</vt:lpstr>
      <vt:lpstr>Dat_01</vt:lpstr>
      <vt:lpstr>Dat_02</vt:lpstr>
      <vt:lpstr>Data 2</vt:lpstr>
      <vt:lpstr>Data 3</vt:lpstr>
      <vt:lpstr>Data 4</vt:lpstr>
      <vt:lpstr>'P10'!XXXX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2022-08-16T08:40:37Z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0x0101005B8A6FF07076DA458DD70211006EEBB4</vt:lpwstr>
  </property>
</Properties>
</file>